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theme/theme1.xml" ContentType="application/vnd.openxmlformats-officedocument.theme+xml"/>
  <Override PartName="/xl/drawings/_rels/drawing7.xml.rels" ContentType="application/vnd.openxmlformats-package.relationships+xml"/>
  <Override PartName="/xl/drawings/_rels/drawing6.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vmlDrawing2.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7.xml" ContentType="application/vnd.openxmlformats-officedocument.spreadsheetml.comments+xml"/>
  <Override PartName="/xl/styles.xml" ContentType="application/vnd.openxmlformats-officedocument.spreadsheetml.style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11.xml" ContentType="application/vnd.openxmlformats-officedocument.drawingml.chart+xml"/>
  <Override PartName="/xl/charts/chart6.xml" ContentType="application/vnd.openxmlformats-officedocument.drawingml.chart+xml"/>
  <Override PartName="/xl/charts/chart12.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jpeg" ContentType="image/jpeg"/>
  <Override PartName="/xl/media/image7.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3"/>
    <sheet name="Trajecto" sheetId="2" state="visible" r:id="rId4"/>
    <sheet name="Courbes" sheetId="3" state="visible" r:id="rId5"/>
    <sheet name="Propu" sheetId="4" state="visible" r:id="rId6"/>
    <sheet name="Calculs" sheetId="5" state="visible" r:id="rId7"/>
    <sheet name="Abaco" sheetId="6" state="visible" r:id="rId8"/>
    <sheet name="Info" sheetId="7" state="visible" r:id="rId9"/>
    <sheet name="Controle" sheetId="8" state="visible" r:id="rId10"/>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int" vbProcedure="false">Stabilito!$E$31</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int" vbProcedure="false">Stabilito!$E$27</definedName>
    <definedName function="false" hidden="false" localSheetId="0" name="n_int" vbProcedure="false">Stabilito!$E$28</definedName>
    <definedName function="false" hidden="false" localSheetId="0" name="p_int" vbProcedure="false">Stabilito!$E$29</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int" vbProcedure="false">Stabilito!$E$33</definedName>
    <definedName function="false" hidden="false" localSheetId="1" name="Version" vbProcedure="false">Trajecto!$N$35</definedName>
    <definedName function="false" hidden="false" localSheetId="5" name="Type_masquage" vbProcedure="false">Stabilito!$C$26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12" authorId="0">
      <text>
        <r>
          <rPr>
            <sz val="10"/>
            <rFont val="Arial"/>
            <family val="2"/>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B10" authorId="0">
      <text>
        <r>
          <rPr>
            <sz val="10"/>
            <rFont val="Arial"/>
            <family val="2"/>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B10" authorId="0">
      <text>
        <r>
          <rPr>
            <sz val="10"/>
            <rFont val="Arial"/>
            <family val="2"/>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Unknown Author</author>
  </authors>
  <commentList>
    <comment ref="E53" authorId="0">
      <text>
        <r>
          <rPr>
            <sz val="10"/>
            <rFont val="Arial"/>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<sst xmlns="http://schemas.openxmlformats.org/spreadsheetml/2006/main" count="1716" uniqueCount="560">
  <si>
    <t xml:space="preserve">STABILITO</t>
  </si>
  <si>
    <t xml:space="preserve">Français</t>
  </si>
  <si>
    <t xml:space="preserve">Fusée mono-diamètre,</t>
  </si>
  <si>
    <t xml:space="preserve">Transition A</t>
  </si>
  <si>
    <t xml:space="preserve">Transition B</t>
  </si>
  <si>
    <t xml:space="preserve">Ail et fines’eirb</t>
  </si>
  <si>
    <t xml:space="preserve">Club</t>
  </si>
  <si>
    <t xml:space="preserve">Eirspace</t>
  </si>
  <si>
    <t xml:space="preserve">Type</t>
  </si>
  <si>
    <t xml:space="preserve">Minifusée</t>
  </si>
  <si>
    <t xml:space="preserve">sans propu</t>
  </si>
  <si>
    <t xml:space="preserve">-</t>
  </si>
  <si>
    <t xml:space="preserve">Pandora (Pro24-6G BS)</t>
  </si>
  <si>
    <t xml:space="preserve">XCp</t>
  </si>
  <si>
    <t xml:space="preserve">Cnα</t>
  </si>
  <si>
    <t xml:space="preserve">Ogivale (pointue)</t>
  </si>
  <si>
    <t xml:space="preserve">M</t>
  </si>
  <si>
    <t xml:space="preserve">Mono-empennage</t>
  </si>
  <si>
    <t xml:space="preserve">Min</t>
  </si>
  <si>
    <t xml:space="preserve">Max</t>
  </si>
  <si>
    <t xml:space="preserve">Finesse</t>
  </si>
  <si>
    <t xml:space="preserve">MS /L</t>
  </si>
  <si>
    <t xml:space="preserve">Checksum :</t>
  </si>
  <si>
    <t xml:space="preserve">v3.4.2</t>
  </si>
  <si>
    <t xml:space="preserve">Trajecto</t>
  </si>
  <si>
    <t xml:space="preserve">English</t>
  </si>
  <si>
    <t xml:space="preserve">Rocketry Challenge</t>
  </si>
  <si>
    <t xml:space="preserve">,Minif Tests</t>
  </si>
  <si>
    <t xml:space="preserve">Bi-empennage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</si>
  <si>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</si>
  <si>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</si>
  <si>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</si>
  <si>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</si>
  <si>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</si>
  <si>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</si>
  <si>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</si>
  <si>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</si>
  <si>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</si>
  <si>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</si>
  <si>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</si>
  <si>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</si>
  <si>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</si>
  <si>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</si>
  <si>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</si>
  <si>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</si>
  <si>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</si>
  <si>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</si>
  <si>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</si>
  <si>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</si>
  <si>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</si>
  <si>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</si>
  <si>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</si>
  <si>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</si>
  <si>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</si>
  <si>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</si>
  <si>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</si>
  <si>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</si>
  <si>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</si>
  <si>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</si>
  <si>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</si>
  <si>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</si>
  <si>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</si>
  <si>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</si>
  <si>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</si>
  <si>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</si>
  <si>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</si>
  <si>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</si>
  <si>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</si>
  <si>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</si>
  <si>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</si>
  <si>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</si>
  <si>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</si>
  <si>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</si>
  <si>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</si>
  <si>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</si>
  <si>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</si>
  <si>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</si>
  <si>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</si>
  <si>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</si>
  <si>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</si>
  <si>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</si>
  <si>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</si>
  <si>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</si>
  <si>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</si>
  <si>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</si>
  <si>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</si>
  <si>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</si>
  <si>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</si>
  <si>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</si>
  <si>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</si>
  <si>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</si>
  <si>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</si>
  <si>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</si>
  <si>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</si>
  <si>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</si>
  <si>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</si>
  <si>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</si>
  <si>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</si>
  <si>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</si>
  <si>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</si>
  <si>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</si>
  <si>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</si>
  <si>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</si>
  <si>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</si>
  <si>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</si>
  <si>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</si>
  <si>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</si>
  <si>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</si>
  <si>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</si>
  <si>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</si>
  <si>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</si>
  <si>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</si>
  <si>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</si>
  <si>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</si>
  <si>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</si>
  <si>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</si>
  <si>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</si>
  <si>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</si>
  <si>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</si>
  <si>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</si>
  <si>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</si>
  <si>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</si>
  <si>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</si>
  <si>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</si>
  <si>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</si>
  <si>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</si>
  <si>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</si>
  <si>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</si>
  <si>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</si>
  <si>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</si>
  <si>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</si>
  <si>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</si>
  <si>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</si>
  <si>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</si>
  <si>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</si>
  <si>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</si>
  <si>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</si>
  <si>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</si>
  <si>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</si>
  <si>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</si>
  <si>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</si>
  <si>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</si>
  <si>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</si>
  <si>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</si>
  <si>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</si>
  <si>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</si>
  <si>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</si>
  <si>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</si>
  <si>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</si>
  <si>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</si>
  <si>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</si>
  <si>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</si>
  <si>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</si>
  <si>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</si>
  <si>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</si>
  <si>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</si>
  <si>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</si>
  <si>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</si>
  <si>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</si>
  <si>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</si>
  <si>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</si>
  <si>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</si>
  <si>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</si>
  <si>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</si>
  <si>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</si>
  <si>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</si>
  <si>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</si>
  <si>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</si>
  <si>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</si>
  <si>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</si>
  <si>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Vert</t>
  </si>
  <si>
    <t xml:space="preserve">Blanc</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</si>
  <si>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</si>
  <si>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</si>
  <si>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</si>
  <si>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</si>
  <si>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</si>
  <si>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</si>
  <si>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</si>
  <si>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</si>
  <si>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</si>
  <si>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</si>
  <si>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</si>
  <si>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</si>
  <si>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</si>
  <si>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</si>
  <si>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</si>
  <si>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</si>
  <si>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</si>
  <si>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</si>
  <si>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</si>
  <si>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</si>
  <si>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</si>
  <si>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</si>
  <si>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</si>
  <si>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</si>
  <si>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</si>
  <si>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</si>
  <si>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</si>
  <si>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</si>
  <si>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</si>
  <si>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</si>
  <si>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</si>
  <si>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</si>
  <si>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</si>
  <si>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</si>
  <si>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</si>
  <si>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</si>
  <si>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</si>
  <si>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</si>
  <si>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</si>
  <si>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</si>
  <si>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</si>
  <si>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</si>
  <si>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</si>
  <si>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</si>
  <si>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</si>
  <si>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</si>
  <si>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</si>
  <si>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</si>
  <si>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</si>
  <si>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</si>
  <si>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</si>
  <si>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</si>
  <si>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</si>
  <si>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</si>
  <si>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</si>
  <si>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</si>
  <si>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</si>
  <si>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</si>
  <si>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</si>
  <si>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</si>
  <si>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</si>
  <si>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</si>
  <si>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</si>
  <si>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</si>
  <si>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</si>
  <si>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</si>
  <si>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</si>
  <si>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</si>
  <si>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</si>
  <si>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</si>
  <si>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</si>
  <si>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</si>
  <si>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</si>
  <si>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</si>
  <si>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</si>
  <si>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</si>
  <si>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</si>
  <si>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</si>
  <si>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</si>
  <si>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</si>
  <si>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</si>
  <si>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</si>
  <si>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</si>
  <si>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</si>
  <si>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</si>
  <si>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</si>
  <si>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</si>
  <si>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</si>
  <si>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</si>
  <si>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</si>
  <si>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</si>
  <si>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</si>
  <si>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</si>
  <si>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</si>
  <si>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</si>
  <si>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</si>
  <si>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</si>
  <si>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</si>
  <si>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</si>
  <si>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</si>
  <si>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</si>
  <si>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</si>
  <si>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</si>
  <si>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</si>
  <si>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</si>
  <si>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</si>
  <si>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</si>
  <si>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</si>
  <si>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</si>
  <si>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</si>
  <si>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</si>
  <si>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</si>
  <si>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</si>
  <si>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</si>
  <si>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</si>
  <si>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</si>
  <si>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</si>
  <si>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</si>
  <si>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</si>
  <si>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</si>
  <si>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</si>
  <si>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</si>
  <si>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Barasinga (Pro54-5G C)</t>
  </si>
  <si>
    <t xml:space="preserve">Pro75-2G</t>
  </si>
  <si>
    <t xml:space="preserve">Orignal (Pro75-3G C)</t>
  </si>
  <si>
    <t xml:space="preserve">Pro98-2G WT</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</si>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</sst>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49">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mm"/>
    <numFmt numFmtId="172" formatCode="m/d/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0.000000&quot; m²&quot;"/>
    <numFmt numFmtId="181" formatCode="General&quot; m&quot;"/>
    <numFmt numFmtId="182" formatCode="General&quot; °&quot;"/>
    <numFmt numFmtId="183" formatCode="0.0&quot; m/s&quot;"/>
    <numFmt numFmtId="184" formatCode="0&quot; m/s&quot;"/>
    <numFmt numFmtId="185" formatCode="0&quot; m/s²&quot;"/>
    <numFmt numFmtId="186" formatCode="0.0&quot; s&quot;"/>
    <numFmt numFmtId="187" formatCode="0.0&quot; N&quot;"/>
    <numFmt numFmtId="188" formatCode="General&quot; s&quot;"/>
    <numFmt numFmtId="189" formatCode="0.00&quot; m²&quot;"/>
    <numFmt numFmtId="190" formatCode="General&quot; m²&quot;"/>
    <numFmt numFmtId="191" formatCode="0&quot; J&quot;"/>
    <numFmt numFmtId="192" formatCode="General&quot; m/s&quot;"/>
    <numFmt numFmtId="193" formatCode="0&quot; s&quot;"/>
    <numFmt numFmtId="194" formatCode="&quot;± &quot;0&quot; m&quot;"/>
    <numFmt numFmtId="195" formatCode="0.0&quot; N.s&quot;"/>
    <numFmt numFmtId="196" formatCode="0.#"/>
    <numFmt numFmtId="197" formatCode="0.00&quot; s&quot;"/>
    <numFmt numFmtId="198" formatCode="0.0&quot; mm&quot;"/>
    <numFmt numFmtId="199" formatCode="0.000"/>
    <numFmt numFmtId="200" formatCode="General&quot; kg ±100%&quot;"/>
    <numFmt numFmtId="201" formatCode="0&quot; mm ±50%&quot;"/>
    <numFmt numFmtId="202" formatCode="&quot;Ø = &quot;0&quot; mm&quot;"/>
    <numFmt numFmtId="203" formatCode="General&quot; m/s²&quot;"/>
    <numFmt numFmtId="204" formatCode="General\°"/>
    <numFmt numFmtId="205" formatCode="#,##0.000\ [$KG]"/>
    <numFmt numFmtId="206" formatCode="#,##0\ [$ mm²]"/>
    <numFmt numFmtId="207" formatCode="#,#00\ [$ mm]"/>
    <numFmt numFmtId="208" formatCode="#,##0\ [$mm]"/>
    <numFmt numFmtId="209" formatCode="#,##0.0\ [$ N]"/>
    <numFmt numFmtId="210" formatCode="#,##0"/>
    <numFmt numFmtId="211" formatCode="#,##0.00000\ [$ m²]"/>
    <numFmt numFmtId="212" formatCode="#,##0.0\ [$ kg]"/>
  </numFmts>
  <fonts count="57">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theme="0"/>
      <name val="Arial"/>
      <family val="2"/>
      <charset val="1"/>
    </font>
    <font>
      <u val="single"/>
      <sz val="10"/>
      <color rgb="FF0000FF"/>
      <name val="Arial"/>
      <family val="2"/>
      <charset val="1"/>
    </font>
    <font>
      <sz val="10"/>
      <name val="Arial"/>
      <family val="2"/>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true" hidden="false"/>
    </xf>
    <xf numFmtId="164" fontId="4" fillId="0" borderId="0" xfId="21" applyFont="true" applyBorder="false" applyAlignment="true" applyProtection="true">
      <alignment horizontal="center" vertical="bottom"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true"/>
    </xf>
    <xf numFmtId="164" fontId="4" fillId="0" borderId="1"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general" vertical="bottom" textRotation="0" wrapText="false" indent="0" shrinkToFit="false"/>
      <protection locked="true" hidden="false"/>
    </xf>
    <xf numFmtId="164" fontId="4" fillId="0" borderId="2" xfId="21" applyFont="true" applyBorder="true" applyAlignment="true" applyProtection="true">
      <alignment horizontal="center" vertical="bottom" textRotation="0" wrapText="fals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0" fillId="0" borderId="2" xfId="21" applyFont="true" applyBorder="true" applyAlignment="true" applyProtection="true">
      <alignment horizontal="general" vertical="bottom" textRotation="0" wrapText="false" indent="0" shrinkToFit="false"/>
      <protection locked="true" hidden="true"/>
    </xf>
    <xf numFmtId="164" fontId="0" fillId="0" borderId="3" xfId="21" applyFont="true" applyBorder="true" applyAlignment="true" applyProtection="true">
      <alignment horizontal="general"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true" hidden="false"/>
    </xf>
    <xf numFmtId="164" fontId="4" fillId="0" borderId="4" xfId="21" applyFont="true" applyBorder="true" applyAlignment="true" applyProtection="true">
      <alignment horizontal="general" vertical="bottom" textRotation="0" wrapText="false" indent="0" shrinkToFit="false"/>
      <protection locked="true" hidden="false"/>
    </xf>
    <xf numFmtId="164" fontId="6" fillId="2" borderId="0" xfId="21" applyFont="true" applyBorder="true" applyAlignment="true" applyProtection="true">
      <alignment horizontal="center" vertical="bottom" textRotation="0" wrapText="false" indent="0" shrinkToFit="false"/>
      <protection locked="true" hidden="false"/>
    </xf>
    <xf numFmtId="164" fontId="5" fillId="0" borderId="0"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true"/>
    </xf>
    <xf numFmtId="165" fontId="4" fillId="3" borderId="5" xfId="21" applyFont="true" applyBorder="true" applyAlignment="true" applyProtection="tru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general" vertical="bottom" textRotation="0" wrapText="false" indent="0" shrinkToFit="false"/>
      <protection locked="true" hidden="true"/>
    </xf>
    <xf numFmtId="164" fontId="7" fillId="0"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true" applyProtection="true">
      <alignment horizontal="general" vertical="bottom" textRotation="0" wrapText="false" indent="0" shrinkToFit="false"/>
      <protection locked="true" hidden="false"/>
    </xf>
    <xf numFmtId="165" fontId="4" fillId="0" borderId="0" xfId="21" applyFont="true" applyBorder="true" applyAlignment="true" applyProtection="tru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4" fontId="4" fillId="0" borderId="0" xfId="21" applyFont="true" applyBorder="true" applyAlignment="true" applyProtection="true">
      <alignment horizontal="center" vertical="bottom" textRotation="0" wrapText="false" indent="0" shrinkToFit="false"/>
      <protection locked="tru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true" applyAlignment="tru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true" applyProtection="tru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true" applyProtection="tru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tru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tru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true" applyAlignment="true" applyProtection="true">
      <alignment horizontal="general" vertical="bottom" textRotation="0" wrapText="false" indent="0" shrinkToFit="false"/>
      <protection locked="true" hidden="fals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true" applyProtection="true">
      <alignment horizontal="general" vertical="bottom" textRotation="0" wrapText="false" indent="0" shrinkToFit="false"/>
      <protection locked="true" hidden="true"/>
    </xf>
    <xf numFmtId="164" fontId="10" fillId="5" borderId="5" xfId="21" applyFont="true" applyBorder="true" applyAlignment="true" applyProtection="true">
      <alignment horizontal="center"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true"/>
    </xf>
    <xf numFmtId="169" fontId="10" fillId="6" borderId="5" xfId="21" applyFont="true" applyBorder="true" applyAlignment="true" applyProtection="true">
      <alignment horizontal="center" vertical="bottom" textRotation="0" wrapText="false" indent="0" shrinkToFit="false"/>
      <protection locked="true" hidden="false"/>
    </xf>
    <xf numFmtId="170" fontId="10" fillId="6" borderId="5" xfId="21" applyFont="true" applyBorder="true" applyAlignment="true" applyProtection="true">
      <alignment horizontal="center" vertical="bottom" textRotation="0" wrapText="false" indent="0" shrinkToFit="false"/>
      <protection locked="true" hidden="false"/>
    </xf>
    <xf numFmtId="165" fontId="8" fillId="0" borderId="0" xfId="21" applyFont="true" applyBorder="tru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true">
      <alignment horizontal="center"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5"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0" fillId="0"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72" fontId="0" fillId="0" borderId="0" xfId="21" applyFont="true" applyBorder="tru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4" fontId="8" fillId="0" borderId="0" xfId="21" applyFont="true" applyBorder="true" applyAlignment="true" applyProtection="true">
      <alignment horizontal="general" vertical="bottom" textRotation="0" wrapText="false" indent="0" shrinkToFit="false"/>
      <protection locked="true" hidden="fals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true">
      <alignment horizontal="center" vertical="bottom" textRotation="0" wrapText="false" indent="0" shrinkToFit="false"/>
      <protection locked="true" hidden="false"/>
    </xf>
    <xf numFmtId="164" fontId="4" fillId="5" borderId="5" xfId="21" applyFont="true" applyBorder="true" applyAlignment="true" applyProtection="tru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true">
      <alignment horizontal="center" vertical="bottom" textRotation="0" wrapText="false" indent="0" shrinkToFit="false"/>
      <protection locked="true" hidden="false"/>
    </xf>
    <xf numFmtId="170" fontId="4" fillId="6" borderId="17"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true">
      <alignment horizontal="center" vertical="bottom" textRotation="0" wrapText="false" indent="0" shrinkToFit="false"/>
      <protection locked="true" hidden="false"/>
    </xf>
    <xf numFmtId="175" fontId="4" fillId="6" borderId="19" xfId="21" applyFont="true" applyBorder="true" applyAlignment="true" applyProtection="true">
      <alignment horizontal="center" vertical="bottom" textRotation="0" wrapText="false" indent="0" shrinkToFit="false"/>
      <protection locked="true" hidden="false"/>
    </xf>
    <xf numFmtId="165" fontId="4" fillId="5" borderId="18" xfId="21" applyFont="true" applyBorder="true" applyAlignment="true" applyProtection="tru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tru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true">
      <alignment horizontal="center" vertical="bottom" textRotation="0" wrapText="false" indent="0" shrinkToFit="false"/>
      <protection locked="true" hidden="false"/>
    </xf>
    <xf numFmtId="169" fontId="12" fillId="6" borderId="17" xfId="21" applyFont="true" applyBorder="true" applyAlignment="true" applyProtection="tru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true">
      <alignment horizontal="center" vertical="bottom" textRotation="0" wrapText="false" indent="0" shrinkToFit="false"/>
      <protection locked="true" hidden="false"/>
    </xf>
    <xf numFmtId="176" fontId="12" fillId="6" borderId="19" xfId="21" applyFont="true" applyBorder="true" applyAlignment="true" applyProtection="true">
      <alignment horizontal="center" vertical="bottom" textRotation="0" wrapText="false" indent="0" shrinkToFit="false"/>
      <protection locked="true" hidden="false"/>
    </xf>
    <xf numFmtId="164" fontId="15" fillId="6" borderId="5" xfId="21" applyFont="true" applyBorder="true" applyAlignment="true" applyProtection="true">
      <alignment horizontal="center" vertical="center" textRotation="0" wrapText="false" indent="0" shrinkToFit="false"/>
      <protection locked="true" hidden="false"/>
    </xf>
    <xf numFmtId="169" fontId="12" fillId="7" borderId="5" xfId="21" applyFont="true" applyBorder="true" applyAlignment="true" applyProtection="true">
      <alignment horizontal="center" vertical="bottom" textRotation="0" wrapText="false" indent="0" shrinkToFit="false"/>
      <protection locked="true" hidden="false"/>
    </xf>
    <xf numFmtId="164" fontId="4" fillId="0" borderId="21" xfId="21" applyFont="true" applyBorder="true" applyAlignment="true" applyProtection="true">
      <alignment horizontal="general" vertical="bottom" textRotation="0" wrapText="false" indent="0" shrinkToFit="false"/>
      <protection locked="true" hidden="false"/>
    </xf>
    <xf numFmtId="165" fontId="0" fillId="0" borderId="22" xfId="21" applyFont="true" applyBorder="true" applyAlignment="true" applyProtection="tru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true" applyProtection="true">
      <alignment horizontal="general" vertical="bottom" textRotation="0" wrapText="false" indent="0" shrinkToFit="false"/>
      <protection locked="false" hidden="false"/>
    </xf>
    <xf numFmtId="164" fontId="5" fillId="0" borderId="22" xfId="21" applyFont="true" applyBorder="true" applyAlignment="true" applyProtection="true">
      <alignment horizontal="general" vertical="bottom" textRotation="0" wrapText="false" indent="0" shrinkToFit="false"/>
      <protection locked="false" hidden="false"/>
    </xf>
    <xf numFmtId="164" fontId="0" fillId="0" borderId="22" xfId="21" applyFont="true" applyBorder="true" applyAlignment="true" applyProtection="true">
      <alignment horizontal="general" vertical="bottom" textRotation="0" wrapText="false" indent="0" shrinkToFit="false"/>
      <protection locked="false" hidden="false"/>
    </xf>
    <xf numFmtId="164" fontId="11" fillId="0" borderId="22" xfId="21" applyFont="true" applyBorder="true" applyAlignment="true" applyProtection="true">
      <alignment horizontal="right" vertical="bottom" textRotation="0" wrapText="false" indent="0" shrinkToFit="false"/>
      <protection locked="true" hidden="false"/>
    </xf>
    <xf numFmtId="164" fontId="11" fillId="0" borderId="22" xfId="21" applyFont="true" applyBorder="true" applyAlignment="true" applyProtection="true">
      <alignment horizontal="general" vertical="bottom" textRotation="0" wrapText="false" indent="0" shrinkToFit="false"/>
      <protection locked="true" hidden="false"/>
    </xf>
    <xf numFmtId="165" fontId="16" fillId="0" borderId="22" xfId="21" applyFont="true" applyBorder="true" applyAlignment="true" applyProtection="true">
      <alignment horizontal="left" vertical="bottom" textRotation="0" wrapText="false" indent="0" shrinkToFit="false"/>
      <protection locked="true" hidden="false"/>
    </xf>
    <xf numFmtId="164" fontId="12" fillId="0" borderId="22" xfId="21" applyFont="true" applyBorder="true" applyAlignment="true" applyProtection="true">
      <alignment horizontal="general" vertical="bottom" textRotation="0" wrapText="false" indent="0" shrinkToFit="false"/>
      <protection locked="true" hidden="false"/>
    </xf>
    <xf numFmtId="164" fontId="11" fillId="0" borderId="23"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true" applyAlignment="tru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false" hidden="false"/>
    </xf>
    <xf numFmtId="166" fontId="4" fillId="0" borderId="0" xfId="21" applyFont="true" applyBorder="false" applyAlignment="true" applyProtection="true">
      <alignment horizontal="general" vertical="bottom" textRotation="0" wrapText="false" indent="0" shrinkToFit="false"/>
      <protection locked="true" hidden="false"/>
    </xf>
    <xf numFmtId="177" fontId="0" fillId="0" borderId="0" xfId="21" applyFont="true" applyBorder="false" applyAlignment="true" applyProtection="true">
      <alignment horizontal="general" vertical="bottom" textRotation="0" wrapText="false" indent="0" shrinkToFit="false"/>
      <protection locked="true" hidden="true"/>
    </xf>
    <xf numFmtId="178" fontId="4" fillId="0" borderId="0" xfId="21" applyFont="true" applyBorder="true" applyAlignment="true" applyProtection="true">
      <alignment horizontal="general" vertical="bottom" textRotation="0" wrapText="false" indent="0" shrinkToFit="false"/>
      <protection locked="fals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0" fillId="0" borderId="0"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5" fillId="0" borderId="0"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false" applyAlignment="true" applyProtection="true">
      <alignment horizontal="general"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false"/>
    </xf>
    <xf numFmtId="165" fontId="0" fillId="0" borderId="28" xfId="21" applyFont="true" applyBorder="true" applyAlignment="true" applyProtection="true">
      <alignment horizontal="center" vertical="bottom" textRotation="0" wrapText="false" indent="0" shrinkToFit="false"/>
      <protection locked="true" hidden="false"/>
    </xf>
    <xf numFmtId="164" fontId="0" fillId="0" borderId="31" xfId="21" applyFont="true" applyBorder="true" applyAlignment="true" applyProtection="true">
      <alignment horizontal="center"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false" hidden="false"/>
    </xf>
    <xf numFmtId="164" fontId="14" fillId="0" borderId="0" xfId="21" applyFont="true" applyBorder="false" applyAlignment="true" applyProtection="true">
      <alignment horizontal="general" vertical="bottom" textRotation="0" wrapText="false" indent="0" shrinkToFit="false"/>
      <protection locked="true" hidden="false"/>
    </xf>
    <xf numFmtId="165" fontId="4" fillId="0" borderId="0" xfId="21" applyFont="true" applyBorder="false" applyAlignment="true" applyProtection="true">
      <alignment horizontal="center" vertical="bottom" textRotation="0" wrapText="false" indent="0" shrinkToFit="false"/>
      <protection locked="true" hidden="false"/>
    </xf>
    <xf numFmtId="165" fontId="0" fillId="0" borderId="0" xfId="21"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0" fillId="0" borderId="3" xfId="0" applyFont="false" applyBorder="true" applyAlignment="true" applyProtection="true">
      <alignment horizontal="general" vertical="center"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tru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5" fontId="9"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8" fontId="4" fillId="7" borderId="18" xfId="0" applyFont="true" applyBorder="true" applyAlignment="true" applyProtection="tru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5" fontId="4" fillId="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80" fontId="4" fillId="7" borderId="18" xfId="0" applyFont="true" applyBorder="true" applyAlignment="true" applyProtection="tru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1"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72" fontId="0" fillId="0" borderId="0" xfId="0" applyFont="true" applyBorder="true" applyAlignment="true" applyProtection="tru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3" fillId="5" borderId="18" xfId="0" applyFont="true" applyBorder="true" applyAlignment="true" applyProtection="true">
      <alignment horizontal="center" vertical="center" textRotation="0" wrapText="false" indent="0" shrinkToFit="false"/>
      <protection locked="true" hidden="true"/>
    </xf>
    <xf numFmtId="180" fontId="4" fillId="5" borderId="19" xfId="0" applyFont="true" applyBorder="true" applyAlignment="true" applyProtection="true">
      <alignment horizontal="center" vertical="center" textRotation="0" wrapText="false" indent="0" shrinkToFit="false"/>
      <protection locked="true" hidden="false"/>
    </xf>
    <xf numFmtId="165" fontId="34"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5"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true">
      <alignment horizontal="center" vertical="center" textRotation="0" wrapText="false" indent="0" shrinkToFit="false"/>
      <protection locked="true" hidden="false"/>
    </xf>
    <xf numFmtId="183" fontId="4"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false" applyBorder="true" applyAlignment="true" applyProtection="true">
      <alignment horizontal="center" vertical="center" textRotation="0" wrapText="false" indent="0" shrinkToFit="false"/>
      <protection locked="true" hidden="false"/>
    </xf>
    <xf numFmtId="164" fontId="0" fillId="6" borderId="5" xfId="0" applyFont="false" applyBorder="true" applyAlignment="true" applyProtection="tru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68" fontId="4" fillId="4" borderId="18" xfId="0" applyFont="true" applyBorder="true" applyAlignment="true" applyProtection="true">
      <alignment horizontal="center" vertical="center" textRotation="0" wrapText="false" indent="0" shrinkToFit="false"/>
      <protection locked="false" hidden="false"/>
    </xf>
    <xf numFmtId="184" fontId="4" fillId="6" borderId="5" xfId="0" applyFont="true" applyBorder="true" applyAlignment="true" applyProtection="true">
      <alignment horizontal="center" vertical="center" textRotation="0" wrapText="false" indent="0" shrinkToFit="false"/>
      <protection locked="true" hidden="false"/>
    </xf>
    <xf numFmtId="185" fontId="4" fillId="6" borderId="5" xfId="0" applyFont="true" applyBorder="true" applyAlignment="true" applyProtection="true">
      <alignment horizontal="center"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false"/>
    </xf>
    <xf numFmtId="186" fontId="4" fillId="4" borderId="5" xfId="0" applyFont="true" applyBorder="true" applyAlignment="true" applyProtection="true">
      <alignment horizontal="center" vertical="center" textRotation="0" wrapText="false" indent="0" shrinkToFit="false"/>
      <protection locked="true" hidden="false"/>
    </xf>
    <xf numFmtId="164" fontId="0" fillId="4" borderId="5" xfId="0" applyFont="false" applyBorder="true" applyAlignment="true" applyProtection="true">
      <alignment horizontal="general" vertical="center" textRotation="0" wrapText="false" indent="0" shrinkToFit="false"/>
      <protection locked="true" hidden="false"/>
    </xf>
    <xf numFmtId="165" fontId="36" fillId="5" borderId="32" xfId="0" applyFont="true" applyBorder="true" applyAlignment="true" applyProtection="true">
      <alignment horizontal="center" vertical="center" textRotation="0" wrapText="false" indent="0" shrinkToFit="false"/>
      <protection locked="true" hidden="true"/>
    </xf>
    <xf numFmtId="186" fontId="0" fillId="6" borderId="32" xfId="0" applyFont="true" applyBorder="true" applyAlignment="true" applyProtection="true">
      <alignment horizontal="center" vertical="center" textRotation="0" wrapText="false" indent="0" shrinkToFit="false"/>
      <protection locked="true" hidden="false"/>
    </xf>
    <xf numFmtId="178" fontId="4" fillId="6" borderId="32" xfId="0" applyFont="true" applyBorder="true" applyAlignment="true" applyProtection="true">
      <alignment horizontal="center" vertical="center" textRotation="0" wrapText="false" indent="0" shrinkToFit="false"/>
      <protection locked="true" hidden="false"/>
    </xf>
    <xf numFmtId="178" fontId="0" fillId="6" borderId="32" xfId="0" applyFont="true" applyBorder="true" applyAlignment="true" applyProtection="true">
      <alignment horizontal="center" vertical="center" textRotation="0" wrapText="false" indent="0" shrinkToFit="false"/>
      <protection locked="true" hidden="false"/>
    </xf>
    <xf numFmtId="184" fontId="4" fillId="6" borderId="32" xfId="0" applyFont="true" applyBorder="true" applyAlignment="true" applyProtection="true">
      <alignment horizontal="center" vertical="center" textRotation="0" wrapText="false" indent="0" shrinkToFit="false"/>
      <protection locked="true" hidden="false"/>
    </xf>
    <xf numFmtId="170" fontId="0" fillId="6" borderId="32" xfId="0" applyFont="false" applyBorder="true" applyAlignment="true" applyProtection="true">
      <alignment horizontal="center" vertical="center" textRotation="0" wrapText="false" indent="0" shrinkToFit="false"/>
      <protection locked="true" hidden="false"/>
    </xf>
    <xf numFmtId="187" fontId="4" fillId="6" borderId="5" xfId="0" applyFont="true" applyBorder="true" applyAlignment="true" applyProtection="tru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8" fontId="4" fillId="4" borderId="9" xfId="0" applyFont="true" applyBorder="true" applyAlignment="true" applyProtection="true">
      <alignment horizontal="center" vertical="center" textRotation="0" wrapText="false" indent="0" shrinkToFit="false"/>
      <protection locked="false" hidden="false"/>
    </xf>
    <xf numFmtId="186" fontId="4" fillId="6" borderId="5" xfId="0" applyFont="true" applyBorder="true" applyAlignment="true" applyProtection="true">
      <alignment horizontal="center" vertical="center" textRotation="0" wrapText="false" indent="0" shrinkToFit="false"/>
      <protection locked="true" hidden="false"/>
    </xf>
    <xf numFmtId="178" fontId="4" fillId="6" borderId="5" xfId="0" applyFont="true" applyBorder="true" applyAlignment="true" applyProtection="true">
      <alignment horizontal="center" vertical="center" textRotation="0" wrapText="false" indent="0" shrinkToFit="false"/>
      <protection locked="true" hidden="false"/>
    </xf>
    <xf numFmtId="178" fontId="0" fillId="6" borderId="5" xfId="0" applyFont="true" applyBorder="true" applyAlignment="true" applyProtection="true">
      <alignment horizontal="center" vertical="center" textRotation="0" wrapText="false" indent="0" shrinkToFit="false"/>
      <protection locked="true" hidden="false"/>
    </xf>
    <xf numFmtId="184" fontId="0" fillId="6" borderId="5" xfId="0" applyFont="true" applyBorder="true" applyAlignment="true" applyProtection="true">
      <alignment horizontal="center" vertical="center" textRotation="0" wrapText="false" indent="0" shrinkToFit="false"/>
      <protection locked="true" hidden="false"/>
    </xf>
    <xf numFmtId="170" fontId="0" fillId="6" borderId="5" xfId="0" applyFont="true" applyBorder="true" applyAlignment="true" applyProtection="true">
      <alignment horizontal="center" vertical="center" textRotation="0" wrapText="false" indent="0" shrinkToFit="false"/>
      <protection locked="true" hidden="false"/>
    </xf>
    <xf numFmtId="189" fontId="4" fillId="4" borderId="5" xfId="0" applyFont="true" applyBorder="true" applyAlignment="true" applyProtection="true">
      <alignment horizontal="center" vertical="center" textRotation="0" wrapText="false" indent="0" shrinkToFit="false"/>
      <protection locked="false" hidden="false"/>
    </xf>
    <xf numFmtId="190" fontId="4" fillId="4" borderId="5" xfId="0" applyFont="true" applyBorder="true" applyAlignment="true" applyProtection="true">
      <alignment horizontal="center" vertical="center" textRotation="0" wrapText="false" indent="0" shrinkToFit="false"/>
      <protection locked="false" hidden="false"/>
    </xf>
    <xf numFmtId="165" fontId="37"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6" fontId="0" fillId="6" borderId="5" xfId="0" applyFont="true" applyBorder="true" applyAlignment="true" applyProtection="true">
      <alignment horizontal="center" vertical="center" textRotation="0" wrapText="false" indent="0" shrinkToFit="false"/>
      <protection locked="true" hidden="false"/>
    </xf>
    <xf numFmtId="164" fontId="0" fillId="6" borderId="17" xfId="0" applyFont="true" applyBorder="true" applyAlignment="true" applyProtection="true">
      <alignment horizontal="center" vertical="center" textRotation="0" wrapText="false" indent="0" shrinkToFit="false"/>
      <protection locked="true" hidden="false"/>
    </xf>
    <xf numFmtId="183" fontId="0" fillId="6" borderId="19" xfId="0" applyFont="true" applyBorder="true" applyAlignment="true" applyProtection="true">
      <alignment horizontal="center" vertical="center" textRotation="0" wrapText="false" indent="0" shrinkToFit="false"/>
      <protection locked="true" hidden="false"/>
    </xf>
    <xf numFmtId="191" fontId="0" fillId="6" borderId="5" xfId="0" applyFont="false" applyBorder="true" applyAlignment="true" applyProtection="true">
      <alignment horizontal="center" vertical="center" textRotation="0" wrapText="false" indent="0" shrinkToFit="false"/>
      <protection locked="true" hidden="false"/>
    </xf>
    <xf numFmtId="192" fontId="4" fillId="7" borderId="5"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true">
      <alignment horizontal="center" vertical="center" textRotation="0" wrapText="false" indent="0" shrinkToFit="false"/>
      <protection locked="true" hidden="true"/>
    </xf>
    <xf numFmtId="186" fontId="4" fillId="0" borderId="0" xfId="0" applyFont="true" applyBorder="true" applyAlignment="true" applyProtection="true">
      <alignment horizontal="center" vertical="center" textRotation="0" wrapText="false" indent="0" shrinkToFit="false"/>
      <protection locked="true" hidden="false"/>
    </xf>
    <xf numFmtId="180" fontId="4" fillId="0" borderId="0" xfId="0" applyFont="true" applyBorder="true" applyAlignment="true" applyProtection="true">
      <alignment horizontal="right"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3" fontId="4" fillId="6" borderId="5" xfId="0" applyFont="true" applyBorder="true" applyAlignment="true" applyProtection="true">
      <alignment horizontal="center" vertical="center" textRotation="0" wrapText="false" indent="0" shrinkToFit="false"/>
      <protection locked="true" hidden="false"/>
    </xf>
    <xf numFmtId="180" fontId="38" fillId="0" borderId="0" xfId="0" applyFont="true" applyBorder="true" applyAlignment="true" applyProtection="true">
      <alignment horizontal="general" vertical="center" textRotation="0" wrapText="false" indent="0" shrinkToFit="false"/>
      <protection locked="true" hidden="false"/>
    </xf>
    <xf numFmtId="180" fontId="0" fillId="0" borderId="7" xfId="0" applyFont="false" applyBorder="true" applyAlignment="true" applyProtection="tru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true">
      <alignment horizontal="right" vertical="center"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94" fontId="4" fillId="6" borderId="5" xfId="0" applyFont="true" applyBorder="true" applyAlignment="true" applyProtection="true">
      <alignment horizontal="center" vertical="center" textRotation="0" wrapText="false" indent="0" shrinkToFit="false"/>
      <protection locked="true" hidden="false"/>
    </xf>
    <xf numFmtId="165" fontId="16" fillId="0" borderId="7"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7" xfId="0" applyFont="true" applyBorder="true" applyAlignment="true" applyProtection="true">
      <alignment horizontal="right" vertical="center" textRotation="0" wrapText="false" indent="0" shrinkToFit="false"/>
      <protection locked="true" hidden="false"/>
    </xf>
    <xf numFmtId="164" fontId="0" fillId="0" borderId="21" xfId="0" applyFont="false" applyBorder="true" applyAlignment="true" applyProtection="true">
      <alignment horizontal="general" vertical="center" textRotation="0" wrapText="false" indent="0" shrinkToFit="false"/>
      <protection locked="true" hidden="false"/>
    </xf>
    <xf numFmtId="165" fontId="0" fillId="0" borderId="22" xfId="0" applyFont="true" applyBorder="true" applyAlignment="true" applyProtection="tru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true">
      <alignment horizontal="right" vertical="center" textRotation="0" wrapText="false" indent="0" shrinkToFit="false"/>
      <protection locked="true" hidden="false"/>
    </xf>
    <xf numFmtId="165" fontId="0" fillId="0" borderId="18" xfId="0" applyFont="false" applyBorder="true" applyAlignment="true" applyProtection="tru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3"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true">
      <alignment horizontal="general" vertical="center" textRotation="0" wrapText="false" indent="0" shrinkToFit="false"/>
      <protection locked="true" hidden="false"/>
    </xf>
    <xf numFmtId="164" fontId="0" fillId="0" borderId="28" xfId="0" applyFont="false" applyBorder="true" applyAlignment="true" applyProtection="true">
      <alignment horizontal="general" vertical="center" textRotation="0" wrapText="false" indent="0" shrinkToFit="false"/>
      <protection locked="true" hidden="false"/>
    </xf>
    <xf numFmtId="164" fontId="4" fillId="0" borderId="29" xfId="0" applyFont="true" applyBorder="true" applyAlignment="true" applyProtection="true">
      <alignment horizontal="general" vertical="center" textRotation="0" wrapText="false" indent="0" shrinkToFit="false"/>
      <protection locked="true" hidden="false"/>
    </xf>
    <xf numFmtId="172" fontId="0" fillId="0" borderId="31" xfId="0" applyFont="true" applyBorder="true" applyAlignment="true" applyProtection="tru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tru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true">
      <alignment horizontal="center" vertical="center" textRotation="0" wrapText="false" indent="0" shrinkToFit="false"/>
      <protection locked="true" hidden="false"/>
    </xf>
    <xf numFmtId="170" fontId="4" fillId="6" borderId="5" xfId="0" applyFont="true" applyBorder="true" applyAlignment="true" applyProtection="tru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true">
      <alignment horizontal="center" vertical="center" textRotation="0" wrapText="false" indent="0" shrinkToFit="false"/>
      <protection locked="true" hidden="false"/>
    </xf>
    <xf numFmtId="173" fontId="0" fillId="6" borderId="5" xfId="0" applyFont="true" applyBorder="true" applyAlignment="true" applyProtection="tru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0" fontId="0" fillId="6" borderId="32" xfId="0" applyFont="true" applyBorder="true" applyAlignment="true" applyProtection="true">
      <alignment horizontal="center" vertical="center" textRotation="0" wrapText="false" indent="0" shrinkToFit="false"/>
      <protection locked="true" hidden="false"/>
    </xf>
    <xf numFmtId="173" fontId="4" fillId="6" borderId="32" xfId="0" applyFont="true" applyBorder="true" applyAlignment="true" applyProtection="true">
      <alignment horizontal="center" vertical="center" textRotation="0" wrapText="false" indent="0" shrinkToFit="false"/>
      <protection locked="true" hidden="false"/>
    </xf>
    <xf numFmtId="189" fontId="4" fillId="6" borderId="9" xfId="0" applyFont="true" applyBorder="true" applyAlignment="true" applyProtection="true">
      <alignment horizontal="center" vertical="center" textRotation="0" wrapText="false" indent="0" shrinkToFit="false"/>
      <protection locked="true" hidden="false"/>
    </xf>
    <xf numFmtId="165" fontId="37"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true">
      <alignment horizontal="center" vertical="center" textRotation="0" wrapText="false" indent="0" shrinkToFit="false"/>
      <protection locked="true" hidden="false"/>
    </xf>
    <xf numFmtId="164" fontId="0" fillId="6" borderId="33" xfId="0" applyFont="true" applyBorder="true" applyAlignment="true" applyProtection="true">
      <alignment horizontal="center" vertical="center" textRotation="0" wrapText="false" indent="0" shrinkToFit="false"/>
      <protection locked="true" hidden="false"/>
    </xf>
    <xf numFmtId="173" fontId="0" fillId="6" borderId="33" xfId="0" applyFont="true" applyBorder="true" applyAlignment="true" applyProtection="true">
      <alignment horizontal="center" vertical="center" textRotation="0" wrapText="false" indent="0" shrinkToFit="false"/>
      <protection locked="true" hidden="false"/>
    </xf>
    <xf numFmtId="173" fontId="0" fillId="6" borderId="33" xfId="0" applyFont="false" applyBorder="true" applyAlignment="true" applyProtection="true">
      <alignment horizontal="center" vertical="center" textRotation="0" wrapText="false" indent="0" shrinkToFit="false"/>
      <protection locked="true" hidden="false"/>
    </xf>
    <xf numFmtId="170" fontId="0" fillId="6" borderId="33" xfId="0" applyFont="false" applyBorder="true" applyAlignment="true" applyProtection="true">
      <alignment horizontal="center" vertical="center" textRotation="0" wrapText="false" indent="0" shrinkToFit="false"/>
      <protection locked="true" hidden="false"/>
    </xf>
    <xf numFmtId="173" fontId="0" fillId="6" borderId="32" xfId="0" applyFont="true" applyBorder="true" applyAlignment="true" applyProtection="tru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0" fontId="4" fillId="6" borderId="33" xfId="0" applyFont="true" applyBorder="true" applyAlignment="true" applyProtection="true">
      <alignment horizontal="center" vertical="center" textRotation="0" wrapText="false" indent="0" shrinkToFit="false"/>
      <protection locked="true" hidden="false"/>
    </xf>
    <xf numFmtId="164" fontId="0" fillId="0" borderId="29" xfId="0" applyFont="false" applyBorder="true" applyAlignment="true" applyProtection="true">
      <alignment horizontal="general" vertical="center" textRotation="0" wrapText="false" indent="0" shrinkToFit="false"/>
      <protection locked="true" hidden="false"/>
    </xf>
    <xf numFmtId="164" fontId="0" fillId="0" borderId="30" xfId="0" applyFont="false" applyBorder="true" applyAlignment="true" applyProtection="true">
      <alignment horizontal="general" vertical="center" textRotation="0" wrapText="false" indent="0" shrinkToFit="false"/>
      <protection locked="true" hidden="false"/>
    </xf>
    <xf numFmtId="164" fontId="0" fillId="0" borderId="31" xfId="0" applyFont="fals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right" vertical="center" textRotation="0" wrapText="false" indent="0" shrinkToFit="false"/>
      <protection locked="true" hidden="false"/>
    </xf>
    <xf numFmtId="186"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88" fontId="0" fillId="0" borderId="0" xfId="0" applyFont="false" applyBorder="false" applyAlignment="true" applyProtection="true">
      <alignment horizontal="right" vertical="center" textRotation="0" wrapText="false" indent="0" shrinkToFit="false"/>
      <protection locked="true" hidden="false"/>
    </xf>
    <xf numFmtId="188" fontId="0" fillId="0" borderId="0" xfId="0" applyFont="false" applyBorder="false" applyAlignment="true" applyProtection="true">
      <alignment horizontal="general" vertical="center" textRotation="0" wrapText="false" indent="0" shrinkToFit="false"/>
      <protection locked="true" hidden="false"/>
    </xf>
    <xf numFmtId="164" fontId="0" fillId="0" borderId="26" xfId="0" applyFont="true" applyBorder="true" applyAlignment="true" applyProtection="true">
      <alignment horizontal="center" vertical="center" textRotation="0" wrapText="false" indent="0" shrinkToFit="false"/>
      <protection locked="true" hidden="false"/>
    </xf>
    <xf numFmtId="173" fontId="0" fillId="0" borderId="31" xfId="0" applyFont="tru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center" vertical="center" textRotation="0" wrapText="false" indent="0" shrinkToFit="false"/>
      <protection locked="true" hidden="false"/>
    </xf>
    <xf numFmtId="173" fontId="0" fillId="0" borderId="29" xfId="0" applyFont="true" applyBorder="true" applyAlignment="true" applyProtection="true">
      <alignment horizontal="center" vertical="center" textRotation="0" wrapText="false" indent="0" shrinkToFit="false"/>
      <protection locked="true" hidden="false"/>
    </xf>
    <xf numFmtId="173" fontId="0" fillId="0" borderId="28" xfId="0" applyFont="true" applyBorder="true" applyAlignment="true" applyProtection="true">
      <alignment horizontal="center" vertical="center" textRotation="0" wrapText="false" indent="0" shrinkToFit="false"/>
      <protection locked="true" hidden="false"/>
    </xf>
    <xf numFmtId="173" fontId="0" fillId="0" borderId="27" xfId="0" applyFont="true" applyBorder="true" applyAlignment="true" applyProtection="true">
      <alignment horizontal="center" vertical="center" textRotation="0" wrapText="false" indent="0" shrinkToFit="false"/>
      <protection locked="true" hidden="false"/>
    </xf>
    <xf numFmtId="164" fontId="0" fillId="0" borderId="31" xfId="0" applyFont="true" applyBorder="true" applyAlignment="true" applyProtection="true">
      <alignment horizontal="center" vertical="center" textRotation="0" wrapText="false" indent="0" shrinkToFit="false"/>
      <protection locked="true" hidden="false"/>
    </xf>
    <xf numFmtId="164" fontId="0" fillId="0" borderId="24" xfId="0" applyFont="false" applyBorder="true" applyAlignment="true" applyProtection="true">
      <alignment horizontal="general" vertical="center" textRotation="0" wrapText="false" indent="0" shrinkToFit="false"/>
      <protection locked="true" hidden="false"/>
    </xf>
    <xf numFmtId="164" fontId="0" fillId="0" borderId="26" xfId="0" applyFont="true" applyBorder="true" applyAlignment="true" applyProtection="true">
      <alignment horizontal="left" vertical="center" textRotation="0" wrapText="false" indent="0" shrinkToFit="false"/>
      <protection locked="true" hidden="false"/>
    </xf>
    <xf numFmtId="164" fontId="0" fillId="0" borderId="28" xfId="0" applyFont="true" applyBorder="true" applyAlignment="true" applyProtection="true">
      <alignment horizontal="left" vertical="center" textRotation="0" wrapText="false" indent="0" shrinkToFit="false"/>
      <protection locked="true" hidden="false"/>
    </xf>
    <xf numFmtId="170" fontId="0" fillId="0" borderId="27" xfId="0" applyFont="true" applyBorder="true" applyAlignment="true" applyProtection="true">
      <alignment horizontal="center" vertical="center" textRotation="0" wrapText="false" indent="0" shrinkToFit="false"/>
      <protection locked="true" hidden="false"/>
    </xf>
    <xf numFmtId="164" fontId="4" fillId="0" borderId="28" xfId="0" applyFont="true" applyBorder="true" applyAlignment="true" applyProtection="true">
      <alignment horizontal="center" vertical="center" textRotation="0" wrapText="false" indent="0" shrinkToFit="false"/>
      <protection locked="true" hidden="false"/>
    </xf>
    <xf numFmtId="164" fontId="0" fillId="0" borderId="27" xfId="0" applyFont="true" applyBorder="true" applyAlignment="true" applyProtection="true">
      <alignment horizontal="right" vertical="center" textRotation="0" wrapText="false" indent="0" shrinkToFit="false"/>
      <protection locked="true" hidden="false"/>
    </xf>
    <xf numFmtId="179" fontId="0" fillId="0" borderId="28" xfId="0" applyFont="false" applyBorder="true" applyAlignment="true" applyProtection="true">
      <alignment horizontal="center" vertical="center" textRotation="0" wrapText="false" indent="0" shrinkToFit="false"/>
      <protection locked="true" hidden="false"/>
    </xf>
    <xf numFmtId="164" fontId="0" fillId="0" borderId="29" xfId="0" applyFont="true" applyBorder="true" applyAlignment="true" applyProtection="true">
      <alignment horizontal="right" vertical="center" textRotation="0" wrapText="false" indent="0" shrinkToFit="false"/>
      <protection locked="true" hidden="false"/>
    </xf>
    <xf numFmtId="179" fontId="0" fillId="0" borderId="31" xfId="0" applyFont="false" applyBorder="true" applyAlignment="true" applyProtection="true">
      <alignment horizontal="center" vertical="center" textRotation="0" wrapText="false" indent="0" shrinkToFit="false"/>
      <protection locked="true" hidden="false"/>
    </xf>
    <xf numFmtId="170" fontId="0" fillId="0" borderId="29" xfId="0" applyFont="true" applyBorder="true" applyAlignment="true" applyProtection="true">
      <alignment horizontal="center" vertical="center" textRotation="0" wrapText="false" indent="0" shrinkToFit="false"/>
      <protection locked="true" hidden="false"/>
    </xf>
    <xf numFmtId="164" fontId="0" fillId="0" borderId="24" xfId="0" applyFont="true" applyBorder="true" applyAlignment="true" applyProtection="true">
      <alignment horizontal="right" vertical="center" textRotation="0" wrapText="false" indent="0" shrinkToFit="false"/>
      <protection locked="true" hidden="false"/>
    </xf>
    <xf numFmtId="179" fontId="0" fillId="0" borderId="26" xfId="0" applyFont="false" applyBorder="true" applyAlignment="true" applyProtection="true">
      <alignment horizontal="center" vertical="center" textRotation="0" wrapText="false" indent="0" shrinkToFit="false"/>
      <protection locked="true" hidden="false"/>
    </xf>
    <xf numFmtId="164" fontId="0" fillId="0" borderId="25" xfId="0" applyFont="true" applyBorder="true" applyAlignment="true" applyProtection="true">
      <alignment horizontal="center" vertical="center" textRotation="0" wrapText="false" indent="0" shrinkToFit="false"/>
      <protection locked="true" hidden="false"/>
    </xf>
    <xf numFmtId="173" fontId="0" fillId="0" borderId="0" xfId="0" applyFont="false" applyBorder="true" applyAlignment="true" applyProtection="true">
      <alignment horizontal="center" vertical="center" textRotation="0" wrapText="false" indent="0" shrinkToFit="false"/>
      <protection locked="true" hidden="false"/>
    </xf>
    <xf numFmtId="173" fontId="0" fillId="0" borderId="28" xfId="0" applyFont="false" applyBorder="true" applyAlignment="true" applyProtection="true">
      <alignment horizontal="center" vertical="center" textRotation="0" wrapText="false" indent="0" shrinkToFit="false"/>
      <protection locked="true" hidden="false"/>
    </xf>
    <xf numFmtId="173" fontId="0" fillId="0" borderId="30" xfId="0" applyFont="true" applyBorder="true" applyAlignment="true" applyProtection="true">
      <alignment horizontal="center" vertical="center" textRotation="0" wrapText="false" indent="0" shrinkToFit="false"/>
      <protection locked="true" hidden="false"/>
    </xf>
    <xf numFmtId="173" fontId="0" fillId="0" borderId="31" xfId="0" applyFont="false" applyBorder="true" applyAlignment="true" applyProtection="true">
      <alignment horizontal="center" vertical="center" textRotation="0" wrapText="false" indent="0" shrinkToFit="false"/>
      <protection locked="true" hidden="false"/>
    </xf>
    <xf numFmtId="165" fontId="0" fillId="0" borderId="27" xfId="0" applyFont="false" applyBorder="true" applyAlignment="true" applyProtection="true">
      <alignment horizontal="center" vertical="center" textRotation="0" wrapText="false" indent="0" shrinkToFit="false"/>
      <protection locked="true" hidden="false"/>
    </xf>
    <xf numFmtId="165" fontId="0" fillId="0" borderId="29" xfId="0" applyFont="false" applyBorder="true" applyAlignment="true" applyProtection="true">
      <alignment horizontal="center" vertical="center" textRotation="0" wrapText="false" indent="0" shrinkToFit="false"/>
      <protection locked="true" hidden="false"/>
    </xf>
    <xf numFmtId="164" fontId="5" fillId="0" borderId="25" xfId="0" applyFont="true" applyBorder="true" applyAlignment="true" applyProtection="true">
      <alignment horizontal="center" vertical="center" textRotation="0" wrapText="false" indent="0" shrinkToFit="false"/>
      <protection locked="true" hidden="false"/>
    </xf>
    <xf numFmtId="164" fontId="5" fillId="0" borderId="26"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30" xfId="0" applyFont="false" applyBorder="true" applyAlignment="true" applyProtection="true">
      <alignment horizontal="center" vertical="center" textRotation="0" wrapText="false" indent="0" shrinkToFit="false"/>
      <protection locked="true" hidden="false"/>
    </xf>
    <xf numFmtId="173" fontId="0" fillId="0" borderId="30" xfId="0" applyFont="false" applyBorder="true" applyAlignment="true" applyProtection="true">
      <alignment horizontal="center" vertical="center" textRotation="0" wrapText="false" indent="0" shrinkToFit="false"/>
      <protection locked="true" hidden="false"/>
    </xf>
    <xf numFmtId="165" fontId="0" fillId="3" borderId="34" xfId="0" applyFont="true" applyBorder="true" applyAlignment="true" applyProtection="true">
      <alignment horizontal="center" vertical="bottom" textRotation="0" wrapText="false" indent="0" shrinkToFit="false"/>
      <protection locked="true" hidden="false"/>
    </xf>
    <xf numFmtId="165" fontId="0" fillId="7" borderId="35" xfId="0" applyFont="false" applyBorder="true" applyAlignment="true" applyProtection="true">
      <alignment horizontal="center" vertical="bottom" textRotation="0" wrapText="false" indent="0" shrinkToFit="false"/>
      <protection locked="true" hidden="false"/>
    </xf>
    <xf numFmtId="164" fontId="0" fillId="3" borderId="36" xfId="0" applyFont="true" applyBorder="true" applyAlignment="true" applyProtection="true">
      <alignment horizontal="center" vertical="bottom" textRotation="0" wrapText="false" indent="0" shrinkToFit="false"/>
      <protection locked="true" hidden="false"/>
    </xf>
    <xf numFmtId="195" fontId="0" fillId="7" borderId="37" xfId="0" applyFont="false" applyBorder="true" applyAlignment="true" applyProtection="true">
      <alignment horizontal="center" vertical="bottom" textRotation="0" wrapText="false" indent="0" shrinkToFit="false"/>
      <protection locked="true" hidden="false"/>
    </xf>
    <xf numFmtId="193" fontId="0" fillId="7" borderId="37" xfId="0" applyFont="false" applyBorder="true" applyAlignment="true" applyProtection="true">
      <alignment horizontal="center" vertical="bottom" textRotation="0" wrapText="false" indent="0" shrinkToFit="false"/>
      <protection locked="true" hidden="false"/>
    </xf>
    <xf numFmtId="168" fontId="0" fillId="7" borderId="37" xfId="0" applyFont="false" applyBorder="true" applyAlignment="true" applyProtection="true">
      <alignment horizontal="center" vertical="bottom" textRotation="0" wrapText="false" indent="0" shrinkToFit="false"/>
      <protection locked="true" hidden="false"/>
    </xf>
    <xf numFmtId="169" fontId="0" fillId="7" borderId="37" xfId="0" applyFont="false" applyBorder="true" applyAlignment="true" applyProtection="true">
      <alignment horizontal="center" vertical="bottom" textRotation="0" wrapText="false" indent="0" shrinkToFit="false"/>
      <protection locked="true" hidden="false"/>
    </xf>
    <xf numFmtId="164" fontId="0" fillId="7" borderId="37" xfId="0" applyFont="false" applyBorder="true" applyAlignment="true" applyProtection="true">
      <alignment horizontal="center" vertical="bottom" textRotation="0" wrapText="false" indent="0" shrinkToFit="false"/>
      <protection locked="true" hidden="false"/>
    </xf>
    <xf numFmtId="164" fontId="0" fillId="3" borderId="38" xfId="0" applyFont="true" applyBorder="true" applyAlignment="true" applyProtection="true">
      <alignment horizontal="center" vertical="bottom" textRotation="0" wrapText="false" indent="0" shrinkToFit="false"/>
      <protection locked="true" hidden="false"/>
    </xf>
    <xf numFmtId="186" fontId="0" fillId="7" borderId="37" xfId="0" applyFont="false" applyBorder="true" applyAlignment="true" applyProtection="true">
      <alignment horizontal="center" vertical="bottom" textRotation="0" wrapText="false" indent="0" shrinkToFit="false"/>
      <protection locked="true" hidden="false"/>
    </xf>
    <xf numFmtId="165" fontId="0" fillId="7" borderId="1" xfId="0" applyFont="false" applyBorder="true" applyAlignment="true" applyProtection="true">
      <alignment horizontal="center" vertical="bottom" textRotation="0" wrapText="false" indent="0" shrinkToFit="false"/>
      <protection locked="true" hidden="false"/>
    </xf>
    <xf numFmtId="165" fontId="0" fillId="7" borderId="2" xfId="0" applyFont="false" applyBorder="true" applyAlignment="true" applyProtection="true">
      <alignment horizontal="center" vertical="bottom" textRotation="0" wrapText="false" indent="0" shrinkToFit="false"/>
      <protection locked="true" hidden="false"/>
    </xf>
    <xf numFmtId="165" fontId="0" fillId="7" borderId="3" xfId="0" applyFont="false" applyBorder="true" applyAlignment="true" applyProtection="true">
      <alignment horizontal="center" vertical="bottom" textRotation="0" wrapText="false" indent="0" shrinkToFit="false"/>
      <protection locked="true" hidden="false"/>
    </xf>
    <xf numFmtId="165" fontId="0" fillId="3" borderId="35" xfId="0" applyFont="true" applyBorder="true" applyAlignment="true" applyProtection="true">
      <alignment horizontal="center" vertical="bottom" textRotation="0" wrapText="false" indent="0" shrinkToFit="false"/>
      <protection locked="true" hidden="false"/>
    </xf>
    <xf numFmtId="165" fontId="0" fillId="7" borderId="21" xfId="0" applyFont="false" applyBorder="true" applyAlignment="true" applyProtection="true">
      <alignment horizontal="center" vertical="bottom" textRotation="0" wrapText="false" indent="0" shrinkToFit="false"/>
      <protection locked="true" hidden="false"/>
    </xf>
    <xf numFmtId="165" fontId="0" fillId="7" borderId="22" xfId="0" applyFont="false" applyBorder="true" applyAlignment="true" applyProtection="true">
      <alignment horizontal="center" vertical="bottom" textRotation="0" wrapText="false" indent="0" shrinkToFit="false"/>
      <protection locked="true" hidden="false"/>
    </xf>
    <xf numFmtId="165" fontId="0" fillId="7" borderId="23"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3" borderId="39" xfId="0" applyFont="true" applyBorder="true" applyAlignment="true" applyProtection="true">
      <alignment horizontal="center" vertical="bottom" textRotation="0" wrapText="false" indent="0" shrinkToFit="false"/>
      <protection locked="true" hidden="false"/>
    </xf>
    <xf numFmtId="165" fontId="0" fillId="7" borderId="39" xfId="0" applyFont="false" applyBorder="true" applyAlignment="true" applyProtection="true">
      <alignment horizontal="center" vertical="bottom" textRotation="0" wrapText="false" indent="0" shrinkToFit="false"/>
      <protection locked="true" hidden="false"/>
    </xf>
    <xf numFmtId="168" fontId="0" fillId="4" borderId="37" xfId="0" applyFont="false" applyBorder="true" applyAlignment="true" applyProtection="true">
      <alignment horizontal="center" vertical="bottom" textRotation="0" wrapText="false" indent="0" shrinkToFit="false"/>
      <protection locked="true" hidden="false"/>
    </xf>
    <xf numFmtId="169" fontId="0" fillId="4" borderId="37" xfId="0" applyFont="false" applyBorder="true" applyAlignment="true" applyProtection="true">
      <alignment horizontal="center" vertical="bottom" textRotation="0" wrapText="false" indent="0" shrinkToFit="false"/>
      <protection locked="true" hidden="false"/>
    </xf>
    <xf numFmtId="164" fontId="0" fillId="4" borderId="37" xfId="0" applyFont="true" applyBorder="true" applyAlignment="true" applyProtection="true">
      <alignment horizontal="center"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4" borderId="2" xfId="0" applyFont="false" applyBorder="true" applyAlignment="true" applyProtection="true">
      <alignment horizontal="center" vertical="bottom" textRotation="0" wrapText="false" indent="0" shrinkToFit="false"/>
      <protection locked="true" hidden="false"/>
    </xf>
    <xf numFmtId="164" fontId="0" fillId="3" borderId="40" xfId="0" applyFont="true" applyBorder="true" applyAlignment="true" applyProtection="true">
      <alignment horizontal="center" vertical="bottom" textRotation="0" wrapText="false" indent="0" shrinkToFit="false"/>
      <protection locked="true" hidden="false"/>
    </xf>
    <xf numFmtId="164" fontId="0" fillId="4" borderId="4"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true" applyAlignment="true" applyProtection="true">
      <alignment horizontal="center" vertical="bottom" textRotation="0" wrapText="false" indent="0" shrinkToFit="false"/>
      <protection locked="true" hidden="false"/>
    </xf>
    <xf numFmtId="164" fontId="0" fillId="7" borderId="7" xfId="0" applyFont="false" applyBorder="true" applyAlignment="true" applyProtection="true">
      <alignment horizontal="center" vertical="bottom" textRotation="0" wrapText="false" indent="0" shrinkToFit="false"/>
      <protection locked="true" hidden="false"/>
    </xf>
    <xf numFmtId="196" fontId="0" fillId="7" borderId="21" xfId="0" applyFont="false" applyBorder="true" applyAlignment="true" applyProtection="true">
      <alignment horizontal="center" vertical="bottom" textRotation="0" wrapText="false" indent="0" shrinkToFit="false"/>
      <protection locked="true" hidden="false"/>
    </xf>
    <xf numFmtId="196" fontId="0" fillId="7" borderId="22" xfId="0" applyFont="false" applyBorder="true" applyAlignment="true" applyProtection="true">
      <alignment horizontal="center" vertical="bottom" textRotation="0" wrapText="false" indent="0" shrinkToFit="false"/>
      <protection locked="true" hidden="false"/>
    </xf>
    <xf numFmtId="197" fontId="0" fillId="7" borderId="37"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98" fontId="0" fillId="4" borderId="37" xfId="0" applyFont="fals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79" fontId="0" fillId="4" borderId="0" xfId="0" applyFont="false" applyBorder="true" applyAlignment="true" applyProtection="true">
      <alignment horizontal="center" vertical="bottom" textRotation="0" wrapText="false" indent="0" shrinkToFit="false"/>
      <protection locked="true" hidden="false"/>
    </xf>
    <xf numFmtId="165" fontId="0" fillId="7" borderId="36" xfId="0" applyFont="false" applyBorder="true" applyAlignment="true" applyProtection="true">
      <alignment horizontal="center" vertical="bottom" textRotation="0" wrapText="false" indent="0" shrinkToFit="false"/>
      <protection locked="true" hidden="false"/>
    </xf>
    <xf numFmtId="199" fontId="0" fillId="4" borderId="2" xfId="0" applyFont="false" applyBorder="true" applyAlignment="true" applyProtection="true">
      <alignment horizontal="center" vertical="bottom" textRotation="0" wrapText="false" indent="0" shrinkToFit="false"/>
      <protection locked="true" hidden="false"/>
    </xf>
    <xf numFmtId="196" fontId="0" fillId="7" borderId="23" xfId="0" applyFont="false" applyBorder="true" applyAlignment="true" applyProtection="true">
      <alignment horizontal="center" vertical="bottom" textRotation="0" wrapText="false" indent="0" shrinkToFit="false"/>
      <protection locked="true" hidden="false"/>
    </xf>
    <xf numFmtId="196" fontId="0" fillId="3" borderId="35" xfId="0" applyFont="true" applyBorder="true" applyAlignment="true" applyProtection="true">
      <alignment horizontal="center" vertical="bottom" textRotation="0" wrapText="false" indent="0" shrinkToFit="false"/>
      <protection locked="true" hidden="false"/>
    </xf>
    <xf numFmtId="165" fontId="0" fillId="3" borderId="18" xfId="0" applyFont="true" applyBorder="true" applyAlignment="true" applyProtection="true">
      <alignment horizontal="center" vertical="bottom" textRotation="0" wrapText="false" indent="0" shrinkToFit="false"/>
      <protection locked="true" hidden="false"/>
    </xf>
    <xf numFmtId="164" fontId="0" fillId="3" borderId="18"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7" borderId="20" xfId="0" applyFont="false" applyBorder="true" applyAlignment="true" applyProtection="tru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true">
      <alignment horizontal="center" vertical="bottom" textRotation="0" wrapText="false" indent="0" shrinkToFit="false"/>
      <protection locked="true" hidden="false"/>
    </xf>
    <xf numFmtId="165" fontId="0" fillId="7" borderId="28"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5" fontId="0" fillId="7" borderId="9" xfId="0" applyFont="false" applyBorder="true" applyAlignment="true" applyProtection="true">
      <alignment horizontal="center" vertical="bottom" textRotation="0" wrapText="false" indent="0" shrinkToFit="false"/>
      <protection locked="true" hidden="false"/>
    </xf>
    <xf numFmtId="165" fontId="0" fillId="4" borderId="9" xfId="0" applyFont="false" applyBorder="true" applyAlignment="true" applyProtection="true">
      <alignment horizontal="center" vertical="bottom" textRotation="0" wrapText="false" indent="0" shrinkToFit="false"/>
      <protection locked="true" hidden="false"/>
    </xf>
    <xf numFmtId="179" fontId="0" fillId="0" borderId="0" xfId="0" applyFont="false" applyBorder="false" applyAlignment="true" applyProtection="true">
      <alignment horizontal="center" vertical="bottom" textRotation="0" wrapText="false" indent="0" shrinkToFit="false"/>
      <protection locked="true" hidden="false"/>
    </xf>
    <xf numFmtId="179" fontId="47" fillId="0" borderId="0" xfId="0" applyFont="true" applyBorder="false" applyAlignment="true" applyProtection="true">
      <alignment horizontal="center" vertical="bottom" textRotation="0" wrapText="false" indent="0" shrinkToFit="false"/>
      <protection locked="true" hidden="false"/>
    </xf>
    <xf numFmtId="179" fontId="0" fillId="5" borderId="39" xfId="0" applyFont="true" applyBorder="true" applyAlignment="true" applyProtection="true">
      <alignment horizontal="center" vertical="bottom" textRotation="0" wrapText="false" indent="0" shrinkToFit="false"/>
      <protection locked="true" hidden="false"/>
    </xf>
    <xf numFmtId="179" fontId="0" fillId="8" borderId="0" xfId="0" applyFont="false" applyBorder="false" applyAlignment="true" applyProtection="true">
      <alignment horizontal="center" vertical="bottom" textRotation="0" wrapText="false" indent="0" shrinkToFit="false"/>
      <protection locked="true" hidden="false"/>
    </xf>
    <xf numFmtId="179" fontId="0" fillId="5" borderId="34" xfId="0" applyFont="true" applyBorder="true" applyAlignment="true" applyProtection="true">
      <alignment horizontal="center" vertical="bottom" textRotation="0" wrapText="false" indent="0" shrinkToFit="false"/>
      <protection locked="true" hidden="false"/>
    </xf>
    <xf numFmtId="164" fontId="0" fillId="5" borderId="41" xfId="0" applyFont="true" applyBorder="true" applyAlignment="true" applyProtection="true">
      <alignment horizontal="center" vertical="bottom" textRotation="0" wrapText="false" indent="0" shrinkToFit="false"/>
      <protection locked="true" hidden="false"/>
    </xf>
    <xf numFmtId="164" fontId="0" fillId="5" borderId="42" xfId="0" applyFont="true" applyBorder="true" applyAlignment="true" applyProtection="true">
      <alignment horizontal="center" vertical="bottom" textRotation="0" wrapText="false" indent="0" shrinkToFit="false"/>
      <protection locked="true" hidden="false"/>
    </xf>
    <xf numFmtId="164" fontId="47" fillId="0" borderId="0" xfId="0" applyFont="true" applyBorder="false" applyAlignment="true" applyProtection="true">
      <alignment horizontal="center" vertical="bottom" textRotation="0" wrapText="false" indent="0" shrinkToFit="false"/>
      <protection locked="true" hidden="false"/>
    </xf>
    <xf numFmtId="164" fontId="0" fillId="5" borderId="43" xfId="0" applyFont="true" applyBorder="true" applyAlignment="true" applyProtection="true">
      <alignment horizontal="center" vertical="bottom" textRotation="0" wrapText="false" indent="0" shrinkToFit="false"/>
      <protection locked="true" hidden="false"/>
    </xf>
    <xf numFmtId="164" fontId="0" fillId="5" borderId="44" xfId="0" applyFont="true" applyBorder="true" applyAlignment="true" applyProtection="true">
      <alignment horizontal="center" vertical="bottom" textRotation="0" wrapText="false" indent="0" shrinkToFit="false"/>
      <protection locked="true" hidden="false"/>
    </xf>
    <xf numFmtId="164" fontId="0" fillId="5" borderId="45" xfId="0" applyFont="true" applyBorder="true" applyAlignment="true" applyProtection="true">
      <alignment horizontal="center" vertical="bottom" textRotation="0" wrapText="false" indent="0" shrinkToFit="false"/>
      <protection locked="true" hidden="false"/>
    </xf>
    <xf numFmtId="164" fontId="47" fillId="0" borderId="40" xfId="0" applyFont="true" applyBorder="true" applyAlignment="true" applyProtection="true">
      <alignment horizontal="center" vertical="bottom" textRotation="0" wrapText="false" indent="0" shrinkToFit="false"/>
      <protection locked="true" hidden="false"/>
    </xf>
    <xf numFmtId="164" fontId="0" fillId="5" borderId="46" xfId="0" applyFont="true" applyBorder="true" applyAlignment="true" applyProtection="true">
      <alignment horizontal="center" vertical="bottom" textRotation="0" wrapText="false" indent="0" shrinkToFit="false"/>
      <protection locked="true" hidden="false"/>
    </xf>
    <xf numFmtId="164" fontId="5" fillId="5" borderId="41" xfId="0" applyFont="true" applyBorder="true" applyAlignment="true" applyProtection="true">
      <alignment horizontal="center" vertical="bottom" textRotation="0" wrapText="false" indent="0" shrinkToFit="false"/>
      <protection locked="true" hidden="false"/>
    </xf>
    <xf numFmtId="164" fontId="0" fillId="5" borderId="47" xfId="0" applyFont="true" applyBorder="true" applyAlignment="true" applyProtection="true">
      <alignment horizontal="center" vertical="bottom" textRotation="0" wrapText="false" indent="0" shrinkToFit="false"/>
      <protection locked="true" hidden="false"/>
    </xf>
    <xf numFmtId="164" fontId="0" fillId="5" borderId="48" xfId="0" applyFont="true" applyBorder="true" applyAlignment="true" applyProtection="true">
      <alignment horizontal="center" vertical="bottom" textRotation="0" wrapText="false" indent="0" shrinkToFit="false"/>
      <protection locked="true" hidden="false"/>
    </xf>
    <xf numFmtId="164" fontId="0" fillId="5" borderId="49"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center" vertical="bottom" textRotation="0" wrapText="false" indent="0" shrinkToFit="false"/>
      <protection locked="true" hidden="false"/>
    </xf>
    <xf numFmtId="164" fontId="0" fillId="5" borderId="50" xfId="0" applyFont="true" applyBorder="true" applyAlignment="true" applyProtection="true">
      <alignment horizontal="center" vertical="bottom" textRotation="0" wrapText="false" indent="0" shrinkToFit="false"/>
      <protection locked="true" hidden="false"/>
    </xf>
    <xf numFmtId="164" fontId="0" fillId="5" borderId="18" xfId="0" applyFont="true" applyBorder="true" applyAlignment="true" applyProtection="true">
      <alignment horizontal="center" vertical="bottom" textRotation="0" wrapText="false" indent="0" shrinkToFit="false"/>
      <protection locked="true" hidden="false"/>
    </xf>
    <xf numFmtId="164" fontId="0" fillId="5" borderId="51" xfId="0" applyFont="true" applyBorder="true" applyAlignment="true" applyProtection="true">
      <alignment horizontal="center" vertical="bottom" textRotation="0" wrapText="false" indent="0" shrinkToFit="false"/>
      <protection locked="true" hidden="false"/>
    </xf>
    <xf numFmtId="164" fontId="0" fillId="5" borderId="52" xfId="0" applyFont="false" applyBorder="true" applyAlignment="true" applyProtection="true">
      <alignment horizontal="center" vertical="bottom" textRotation="0" wrapText="false" indent="0" shrinkToFit="false"/>
      <protection locked="true" hidden="false"/>
    </xf>
    <xf numFmtId="164" fontId="0" fillId="5" borderId="25" xfId="0" applyFont="false" applyBorder="true" applyAlignment="true" applyProtection="true">
      <alignment horizontal="center" vertical="bottom" textRotation="0" wrapText="false" indent="0" shrinkToFit="false"/>
      <protection locked="true" hidden="false"/>
    </xf>
    <xf numFmtId="164" fontId="0" fillId="5" borderId="53" xfId="0" applyFont="false" applyBorder="true" applyAlignment="true" applyProtection="true">
      <alignment horizontal="center" vertical="bottom" textRotation="0" wrapText="false" indent="0" shrinkToFit="false"/>
      <protection locked="true" hidden="false"/>
    </xf>
    <xf numFmtId="179" fontId="0" fillId="9" borderId="24" xfId="0" applyFont="true" applyBorder="true" applyAlignment="true" applyProtection="true">
      <alignment horizontal="center" vertical="bottom" textRotation="0" wrapText="false" indent="0" shrinkToFit="false"/>
      <protection locked="true" hidden="false"/>
    </xf>
    <xf numFmtId="179" fontId="0" fillId="7" borderId="26" xfId="0" applyFont="false" applyBorder="true" applyAlignment="true" applyProtection="true">
      <alignment horizontal="center" vertical="bottom" textRotation="0" wrapText="false" indent="0" shrinkToFit="false"/>
      <protection locked="true" hidden="false"/>
    </xf>
    <xf numFmtId="179" fontId="47" fillId="0" borderId="0" xfId="0" applyFont="true" applyBorder="true" applyAlignment="true" applyProtection="true">
      <alignment horizontal="center" vertical="bottom" textRotation="0" wrapText="false" indent="0" shrinkToFit="false"/>
      <protection locked="true" hidden="false"/>
    </xf>
    <xf numFmtId="179" fontId="0" fillId="9" borderId="25" xfId="0" applyFont="true" applyBorder="true" applyAlignment="true" applyProtection="true">
      <alignment horizontal="center" vertical="bottom" textRotation="0" wrapText="false" indent="0" shrinkToFit="false"/>
      <protection locked="true" hidden="false"/>
    </xf>
    <xf numFmtId="179" fontId="0" fillId="9" borderId="26" xfId="0" applyFont="true" applyBorder="true" applyAlignment="true" applyProtection="true">
      <alignment horizontal="center" vertical="bottom" textRotation="0" wrapText="false" indent="0" shrinkToFit="false"/>
      <protection locked="true" hidden="false"/>
    </xf>
    <xf numFmtId="179" fontId="0" fillId="7" borderId="24" xfId="0" applyFont="false" applyBorder="true" applyAlignment="true" applyProtection="true">
      <alignment horizontal="center" vertical="bottom" textRotation="0" wrapText="false" indent="0" shrinkToFit="false"/>
      <protection locked="true" hidden="false"/>
    </xf>
    <xf numFmtId="179" fontId="0" fillId="7" borderId="25" xfId="0" applyFont="false" applyBorder="true" applyAlignment="true" applyProtection="true">
      <alignment horizontal="center" vertical="bottom" textRotation="0" wrapText="false" indent="0" shrinkToFit="false"/>
      <protection locked="true" hidden="false"/>
    </xf>
    <xf numFmtId="179" fontId="0" fillId="6" borderId="26" xfId="0" applyFont="false" applyBorder="true" applyAlignment="true" applyProtection="true">
      <alignment horizontal="center" vertical="bottom" textRotation="0" wrapText="false" indent="0" shrinkToFit="false"/>
      <protection locked="true" hidden="false"/>
    </xf>
    <xf numFmtId="179" fontId="0" fillId="6" borderId="18" xfId="0" applyFont="false" applyBorder="true" applyAlignment="true" applyProtection="true">
      <alignment horizontal="center" vertical="bottom" textRotation="0" wrapText="false" indent="0" shrinkToFit="false"/>
      <protection locked="true" hidden="false"/>
    </xf>
    <xf numFmtId="179" fontId="0" fillId="6" borderId="24" xfId="0" applyFont="false" applyBorder="true" applyAlignment="true" applyProtection="true">
      <alignment horizontal="center" vertical="bottom" textRotation="0" wrapText="false" indent="0" shrinkToFit="false"/>
      <protection locked="true" hidden="false"/>
    </xf>
    <xf numFmtId="164" fontId="0" fillId="9" borderId="24" xfId="0" applyFont="true" applyBorder="true" applyAlignment="true" applyProtection="true">
      <alignment horizontal="center" vertical="bottom" textRotation="0" wrapText="false" indent="0" shrinkToFit="false"/>
      <protection locked="true" hidden="false"/>
    </xf>
    <xf numFmtId="164" fontId="0" fillId="9" borderId="25" xfId="0" applyFont="true" applyBorder="true" applyAlignment="true" applyProtection="true">
      <alignment horizontal="center" vertical="bottom" textRotation="0" wrapText="false" indent="0" shrinkToFit="false"/>
      <protection locked="true" hidden="false"/>
    </xf>
    <xf numFmtId="164" fontId="0" fillId="9" borderId="26" xfId="0" applyFont="true" applyBorder="true" applyAlignment="true" applyProtection="true">
      <alignment horizontal="center" vertical="bottom" textRotation="0" wrapText="false" indent="0" shrinkToFit="false"/>
      <protection locked="true" hidden="false"/>
    </xf>
    <xf numFmtId="179" fontId="0" fillId="0" borderId="0" xfId="0" applyFont="false" applyBorder="true" applyAlignment="true" applyProtection="true">
      <alignment horizontal="center" vertical="bottom" textRotation="0" wrapText="false" indent="0" shrinkToFit="false"/>
      <protection locked="true" hidden="false"/>
    </xf>
    <xf numFmtId="173" fontId="0" fillId="6" borderId="24" xfId="0" applyFont="false" applyBorder="true" applyAlignment="true" applyProtection="true">
      <alignment horizontal="center" vertical="bottom" textRotation="0" wrapText="false" indent="0" shrinkToFit="false"/>
      <protection locked="true" hidden="false"/>
    </xf>
    <xf numFmtId="173" fontId="0" fillId="6" borderId="25" xfId="0" applyFont="false" applyBorder="true" applyAlignment="true" applyProtection="true">
      <alignment horizontal="center" vertical="bottom" textRotation="0" wrapText="false" indent="0" shrinkToFit="false"/>
      <protection locked="true" hidden="false"/>
    </xf>
    <xf numFmtId="173" fontId="0" fillId="6" borderId="26" xfId="0" applyFont="false" applyBorder="true" applyAlignment="true" applyProtection="true">
      <alignment horizontal="center" vertical="bottom" textRotation="0" wrapText="false" indent="0" shrinkToFit="false"/>
      <protection locked="true" hidden="false"/>
    </xf>
    <xf numFmtId="179" fontId="0" fillId="6" borderId="27" xfId="0" applyFont="true" applyBorder="true" applyAlignment="true" applyProtection="true">
      <alignment horizontal="center" vertical="bottom" textRotation="0" wrapText="false" indent="0" shrinkToFit="false"/>
      <protection locked="true" hidden="false"/>
    </xf>
    <xf numFmtId="179" fontId="0" fillId="6" borderId="28" xfId="0" applyFont="false" applyBorder="true" applyAlignment="true" applyProtection="true">
      <alignment horizontal="center" vertical="bottom" textRotation="0" wrapText="false" indent="0" shrinkToFit="false"/>
      <protection locked="true" hidden="false"/>
    </xf>
    <xf numFmtId="179" fontId="0" fillId="6" borderId="27" xfId="0" applyFont="false" applyBorder="true" applyAlignment="true" applyProtection="true">
      <alignment horizontal="center" vertical="bottom" textRotation="0" wrapText="false" indent="0" shrinkToFit="false"/>
      <protection locked="true" hidden="false"/>
    </xf>
    <xf numFmtId="179" fontId="0" fillId="6" borderId="0" xfId="0" applyFont="false" applyBorder="true" applyAlignment="true" applyProtection="true">
      <alignment horizontal="center" vertical="bottom" textRotation="0" wrapText="false" indent="0" shrinkToFit="false"/>
      <protection locked="true" hidden="false"/>
    </xf>
    <xf numFmtId="173" fontId="0" fillId="6" borderId="27" xfId="0" applyFont="false" applyBorder="true" applyAlignment="true" applyProtection="true">
      <alignment horizontal="center" vertical="bottom" textRotation="0" wrapText="false" indent="0" shrinkToFit="false"/>
      <protection locked="true" hidden="false"/>
    </xf>
    <xf numFmtId="179" fontId="0" fillId="6" borderId="20" xfId="0" applyFont="false" applyBorder="true" applyAlignment="true" applyProtection="true">
      <alignment horizontal="center" vertical="bottom" textRotation="0" wrapText="false" indent="0" shrinkToFit="false"/>
      <protection locked="true" hidden="false"/>
    </xf>
    <xf numFmtId="164" fontId="0" fillId="6" borderId="27"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general" vertical="bottom" textRotation="0" wrapText="false" indent="0" shrinkToFit="false"/>
      <protection locked="true" hidden="false"/>
    </xf>
    <xf numFmtId="164" fontId="0" fillId="6" borderId="28" xfId="0" applyFont="false" applyBorder="true" applyAlignment="true" applyProtection="true">
      <alignment horizontal="center" vertical="bottom" textRotation="0" wrapText="false" indent="0" shrinkToFit="false"/>
      <protection locked="true" hidden="false"/>
    </xf>
    <xf numFmtId="173" fontId="0" fillId="6" borderId="0" xfId="0" applyFont="false" applyBorder="true" applyAlignment="true" applyProtection="true">
      <alignment horizontal="center" vertical="bottom" textRotation="0" wrapText="false" indent="0" shrinkToFit="false"/>
      <protection locked="true" hidden="false"/>
    </xf>
    <xf numFmtId="173" fontId="0" fillId="6" borderId="28" xfId="0" applyFont="false" applyBorder="true" applyAlignment="true" applyProtection="true">
      <alignment horizontal="center" vertical="bottom" textRotation="0" wrapText="false" indent="0" shrinkToFit="false"/>
      <protection locked="true" hidden="false"/>
    </xf>
    <xf numFmtId="179" fontId="0" fillId="6" borderId="29" xfId="0" applyFont="true" applyBorder="true" applyAlignment="true" applyProtection="true">
      <alignment horizontal="center" vertical="bottom" textRotation="0" wrapText="false" indent="0" shrinkToFit="false"/>
      <protection locked="true" hidden="false"/>
    </xf>
    <xf numFmtId="179" fontId="0" fillId="6" borderId="31" xfId="0" applyFont="false" applyBorder="true" applyAlignment="true" applyProtection="true">
      <alignment horizontal="center" vertical="bottom" textRotation="0" wrapText="false" indent="0" shrinkToFit="false"/>
      <protection locked="true" hidden="false"/>
    </xf>
    <xf numFmtId="179" fontId="0" fillId="6" borderId="29" xfId="0" applyFont="false" applyBorder="true" applyAlignment="true" applyProtection="true">
      <alignment horizontal="center" vertical="bottom" textRotation="0" wrapText="false" indent="0" shrinkToFit="false"/>
      <protection locked="true" hidden="false"/>
    </xf>
    <xf numFmtId="179" fontId="0" fillId="6" borderId="30" xfId="0" applyFont="false" applyBorder="true" applyAlignment="true" applyProtection="true">
      <alignment horizontal="center" vertical="bottom" textRotation="0" wrapText="false" indent="0" shrinkToFit="false"/>
      <protection locked="true" hidden="false"/>
    </xf>
    <xf numFmtId="173" fontId="0" fillId="6" borderId="29" xfId="0" applyFont="false" applyBorder="true" applyAlignment="true" applyProtection="true">
      <alignment horizontal="center" vertical="bottom" textRotation="0" wrapText="false" indent="0" shrinkToFit="false"/>
      <protection locked="true" hidden="false"/>
    </xf>
    <xf numFmtId="179" fontId="0" fillId="6" borderId="9" xfId="0" applyFont="false" applyBorder="true" applyAlignment="true" applyProtection="true">
      <alignment horizontal="center" vertical="bottom" textRotation="0" wrapText="false" indent="0" shrinkToFit="false"/>
      <protection locked="true" hidden="false"/>
    </xf>
    <xf numFmtId="165" fontId="0" fillId="6" borderId="29" xfId="0" applyFont="false" applyBorder="true" applyAlignment="true" applyProtection="true">
      <alignment horizontal="general" vertical="bottom" textRotation="0" wrapText="false" indent="0" shrinkToFit="false"/>
      <protection locked="true" hidden="false"/>
    </xf>
    <xf numFmtId="165" fontId="0" fillId="6" borderId="30" xfId="0" applyFont="false" applyBorder="true" applyAlignment="true" applyProtection="true">
      <alignment horizontal="general" vertical="bottom" textRotation="0" wrapText="false" indent="0" shrinkToFit="false"/>
      <protection locked="true" hidden="false"/>
    </xf>
    <xf numFmtId="165" fontId="0" fillId="6" borderId="31" xfId="0" applyFont="false" applyBorder="true" applyAlignment="true" applyProtection="true">
      <alignment horizontal="center" vertical="bottom" textRotation="0" wrapText="false" indent="0" shrinkToFit="false"/>
      <protection locked="true" hidden="false"/>
    </xf>
    <xf numFmtId="173" fontId="0" fillId="6" borderId="30" xfId="0" applyFont="false" applyBorder="true" applyAlignment="true" applyProtection="true">
      <alignment horizontal="center" vertical="bottom" textRotation="0" wrapText="false" indent="0" shrinkToFit="false"/>
      <protection locked="true" hidden="false"/>
    </xf>
    <xf numFmtId="173" fontId="0" fillId="6" borderId="31" xfId="0" applyFont="false" applyBorder="true" applyAlignment="true" applyProtection="true">
      <alignment horizontal="center" vertical="bottom" textRotation="0" wrapText="false" indent="0" shrinkToFit="false"/>
      <protection locked="true" hidden="false"/>
    </xf>
    <xf numFmtId="179" fontId="48" fillId="0" borderId="0" xfId="0" applyFont="true" applyBorder="fals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true">
      <alignment horizontal="left" vertical="bottom" textRotation="0" wrapText="false" indent="0" shrinkToFit="false"/>
      <protection locked="true" hidden="false"/>
    </xf>
    <xf numFmtId="179" fontId="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200" fontId="4" fillId="7" borderId="18" xfId="0" applyFont="true" applyBorder="true" applyAlignment="true" applyProtection="true">
      <alignment horizontal="center" vertical="center" textRotation="0" wrapText="false" indent="0" shrinkToFit="false"/>
      <protection locked="true" hidden="false"/>
    </xf>
    <xf numFmtId="165" fontId="4" fillId="7" borderId="18" xfId="0" applyFont="true" applyBorder="true" applyAlignment="true" applyProtection="true">
      <alignment horizontal="center" vertical="center" textRotation="0" wrapText="false" indent="0" shrinkToFit="false"/>
      <protection locked="true" hidden="false"/>
    </xf>
    <xf numFmtId="201" fontId="4" fillId="7" borderId="5" xfId="0" applyFont="true" applyBorder="true" applyAlignment="true" applyProtection="tru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202" fontId="10" fillId="6" borderId="18" xfId="21" applyFont="true" applyBorder="true" applyAlignment="true" applyProtection="true">
      <alignment horizontal="center" vertical="bottom" textRotation="0" wrapText="false" indent="0" shrinkToFit="false"/>
      <protection locked="true" hidden="false"/>
    </xf>
    <xf numFmtId="165" fontId="10" fillId="6" borderId="26" xfId="21" applyFont="true" applyBorder="true" applyAlignment="true" applyProtection="tru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3" fontId="10" fillId="6" borderId="26" xfId="21" applyFont="true" applyBorder="true" applyAlignment="true" applyProtection="true">
      <alignment horizontal="center" vertical="bottom" textRotation="0" wrapText="false" indent="0" shrinkToFit="false"/>
      <protection locked="true" hidden="false"/>
    </xf>
    <xf numFmtId="168" fontId="10" fillId="6" borderId="26" xfId="21" applyFont="true" applyBorder="true" applyAlignment="true" applyProtection="true">
      <alignment horizontal="center" vertical="bottom" textRotation="0" wrapText="false" indent="0" shrinkToFit="false"/>
      <protection locked="true" hidden="false"/>
    </xf>
    <xf numFmtId="192" fontId="10" fillId="6" borderId="26" xfId="21" applyFont="true" applyBorder="true" applyAlignment="true" applyProtection="true">
      <alignment horizontal="center" vertical="bottom" textRotation="0" wrapText="false" indent="0" shrinkToFit="false"/>
      <protection locked="true" hidden="false"/>
    </xf>
    <xf numFmtId="181" fontId="10" fillId="6" borderId="26" xfId="21" applyFont="true" applyBorder="true" applyAlignment="true" applyProtection="true">
      <alignment horizontal="center" vertical="bottom" textRotation="0" wrapText="false" indent="0" shrinkToFit="false"/>
      <protection locked="true" hidden="false"/>
    </xf>
    <xf numFmtId="188" fontId="10" fillId="6" borderId="26" xfId="21" applyFont="true" applyBorder="true" applyAlignment="true" applyProtection="true">
      <alignment horizontal="center" vertical="bottom" textRotation="0" wrapText="false" indent="0" shrinkToFit="false"/>
      <protection locked="true" hidden="false"/>
    </xf>
    <xf numFmtId="202" fontId="10" fillId="6" borderId="20" xfId="21" applyFont="true" applyBorder="true" applyAlignment="true" applyProtection="true">
      <alignment horizontal="center" vertical="bottom" textRotation="0" wrapText="false" indent="0" shrinkToFit="false"/>
      <protection locked="true" hidden="false"/>
    </xf>
    <xf numFmtId="165" fontId="10" fillId="6" borderId="28" xfId="21" applyFont="true" applyBorder="true" applyAlignment="true" applyProtection="tru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3" fontId="10" fillId="6" borderId="28" xfId="21" applyFont="true" applyBorder="true" applyAlignment="true" applyProtection="true">
      <alignment horizontal="center" vertical="bottom" textRotation="0" wrapText="false" indent="0" shrinkToFit="false"/>
      <protection locked="true" hidden="false"/>
    </xf>
    <xf numFmtId="192" fontId="10" fillId="6" borderId="28" xfId="21" applyFont="true" applyBorder="true" applyAlignment="true" applyProtection="true">
      <alignment horizontal="center" vertical="bottom" textRotation="0" wrapText="false" indent="0" shrinkToFit="false"/>
      <protection locked="true" hidden="false"/>
    </xf>
    <xf numFmtId="181" fontId="10" fillId="6" borderId="28" xfId="21" applyFont="true" applyBorder="true" applyAlignment="true" applyProtection="true">
      <alignment horizontal="center" vertical="bottom" textRotation="0" wrapText="false" indent="0" shrinkToFit="false"/>
      <protection locked="true" hidden="false"/>
    </xf>
    <xf numFmtId="188" fontId="10" fillId="6" borderId="28" xfId="21" applyFont="true" applyBorder="true" applyAlignment="true" applyProtection="true">
      <alignment horizontal="center" vertical="bottom" textRotation="0" wrapText="false" indent="0" shrinkToFit="false"/>
      <protection locked="true" hidden="false"/>
    </xf>
    <xf numFmtId="202" fontId="10" fillId="6" borderId="9" xfId="21" applyFont="true" applyBorder="true" applyAlignment="true" applyProtection="true">
      <alignment horizontal="center" vertical="bottom" textRotation="0" wrapText="false" indent="0" shrinkToFit="false"/>
      <protection locked="true" hidden="false"/>
    </xf>
    <xf numFmtId="165" fontId="10" fillId="6" borderId="31" xfId="21" applyFont="true" applyBorder="true" applyAlignment="true" applyProtection="tru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3" fontId="10" fillId="6" borderId="31" xfId="21" applyFont="true" applyBorder="true" applyAlignment="true" applyProtection="true">
      <alignment horizontal="center" vertical="bottom" textRotation="0" wrapText="false" indent="0" shrinkToFit="false"/>
      <protection locked="true" hidden="false"/>
    </xf>
    <xf numFmtId="192" fontId="10" fillId="6" borderId="31" xfId="21" applyFont="true" applyBorder="true" applyAlignment="true" applyProtection="true">
      <alignment horizontal="center" vertical="bottom" textRotation="0" wrapText="false" indent="0" shrinkToFit="false"/>
      <protection locked="true" hidden="false"/>
    </xf>
    <xf numFmtId="181" fontId="10" fillId="6" borderId="31" xfId="21" applyFont="true" applyBorder="true" applyAlignment="true" applyProtection="true">
      <alignment horizontal="center" vertical="bottom" textRotation="0" wrapText="false" indent="0" shrinkToFit="false"/>
      <protection locked="true" hidden="false"/>
    </xf>
    <xf numFmtId="188" fontId="10" fillId="6" borderId="31" xfId="21" applyFont="true" applyBorder="true" applyAlignment="true" applyProtection="true">
      <alignment horizontal="center" vertical="bottom" textRotation="0" wrapText="false" indent="0" shrinkToFit="false"/>
      <protection locked="true" hidden="false"/>
    </xf>
    <xf numFmtId="165" fontId="52" fillId="0"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48" fillId="0" borderId="0" xfId="0" applyFont="true" applyBorder="false" applyAlignment="true" applyProtection="tru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true" applyProtection="true">
      <alignment horizontal="left"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true"/>
    </xf>
    <xf numFmtId="199" fontId="0" fillId="0" borderId="0" xfId="0" applyFont="true" applyBorder="true" applyAlignment="true" applyProtection="true">
      <alignment horizontal="general" vertical="center" textRotation="0" wrapText="false" indent="0" shrinkToFit="false"/>
      <protection locked="true" hidden="tru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top"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center" vertical="bottom" textRotation="0" wrapText="false" indent="0" shrinkToFit="false"/>
      <protection locked="true" hidden="false"/>
    </xf>
    <xf numFmtId="165" fontId="4" fillId="0" borderId="26" xfId="0" applyFont="true" applyBorder="true" applyAlignment="true" applyProtection="true">
      <alignment horizontal="center" vertical="bottom" textRotation="0" wrapText="false" indent="0" shrinkToFit="false"/>
      <protection locked="true" hidden="false"/>
    </xf>
    <xf numFmtId="164" fontId="4" fillId="0" borderId="25" xfId="0" applyFont="true" applyBorder="true" applyAlignment="true" applyProtection="true">
      <alignment horizontal="center" vertical="bottom" textRotation="0" wrapText="false" indent="0" shrinkToFit="false"/>
      <protection locked="true" hidden="false"/>
    </xf>
    <xf numFmtId="170" fontId="4" fillId="0" borderId="26" xfId="0" applyFont="true" applyBorder="true" applyAlignment="true" applyProtection="true">
      <alignment horizontal="center" vertical="center" textRotation="0" wrapText="false" indent="0" shrinkToFit="false"/>
      <protection locked="true" hidden="false"/>
    </xf>
    <xf numFmtId="170" fontId="0" fillId="0" borderId="0" xfId="0" applyFont="false" applyBorder="true" applyAlignment="true" applyProtection="tru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4" fillId="0" borderId="28" xfId="0" applyFont="true" applyBorder="true" applyAlignment="true" applyProtection="true">
      <alignment horizontal="center" vertical="bottom" textRotation="0" wrapText="false" indent="0" shrinkToFit="false"/>
      <protection locked="true" hidden="false"/>
    </xf>
    <xf numFmtId="170" fontId="4" fillId="0" borderId="28" xfId="0" applyFont="true" applyBorder="true" applyAlignment="true" applyProtection="true">
      <alignment horizontal="center" vertical="center" textRotation="0" wrapText="false" indent="0" shrinkToFit="false"/>
      <protection locked="true" hidden="false"/>
    </xf>
    <xf numFmtId="170" fontId="4" fillId="0" borderId="0" xfId="0" applyFont="true" applyBorder="true" applyAlignment="true" applyProtection="true">
      <alignment horizontal="center" vertical="center" textRotation="0" wrapText="false" indent="0" shrinkToFit="false"/>
      <protection locked="true" hidden="false"/>
    </xf>
    <xf numFmtId="170" fontId="4" fillId="0" borderId="28" xfId="0" applyFont="true" applyBorder="true" applyAlignment="true" applyProtection="true">
      <alignment horizontal="center" vertical="bottom" textRotation="0" wrapText="false" indent="0" shrinkToFit="false"/>
      <protection locked="true" hidden="false"/>
    </xf>
    <xf numFmtId="165" fontId="54" fillId="0" borderId="28" xfId="0" applyFont="true" applyBorder="true" applyAlignment="true" applyProtection="true">
      <alignment horizontal="left" vertical="bottom" textRotation="0" wrapText="false" indent="0" shrinkToFit="false"/>
      <protection locked="true" hidden="false"/>
    </xf>
    <xf numFmtId="170"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4" fillId="0" borderId="28" xfId="0" applyFont="true" applyBorder="true" applyAlignment="true" applyProtection="true">
      <alignment horizontal="center" vertical="bottom" textRotation="0" wrapText="false" indent="0" shrinkToFit="false"/>
      <protection locked="true" hidden="false"/>
    </xf>
    <xf numFmtId="165" fontId="4" fillId="0" borderId="28" xfId="0" applyFont="true" applyBorder="true" applyAlignment="true" applyProtection="true">
      <alignment horizontal="center" vertical="center" textRotation="0" wrapText="false" indent="0" shrinkToFit="false"/>
      <protection locked="true" hidden="false"/>
    </xf>
    <xf numFmtId="164" fontId="0" fillId="0" borderId="28" xfId="0" applyFont="true" applyBorder="true" applyAlignment="true" applyProtection="true">
      <alignment horizontal="center"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4" fillId="0" borderId="30" xfId="0" applyFont="true" applyBorder="true" applyAlignment="true" applyProtection="true">
      <alignment horizontal="center" vertical="center" textRotation="0" wrapText="false" indent="0" shrinkToFit="false"/>
      <protection locked="true" hidden="false"/>
    </xf>
    <xf numFmtId="164" fontId="4" fillId="0" borderId="30" xfId="0" applyFont="true" applyBorder="true" applyAlignment="true" applyProtection="true">
      <alignment horizontal="center" vertical="bottom" textRotation="0" wrapText="false" indent="0" shrinkToFit="false"/>
      <protection locked="true" hidden="false"/>
    </xf>
    <xf numFmtId="178" fontId="4" fillId="0" borderId="31" xfId="0" applyFont="true" applyBorder="true" applyAlignment="true" applyProtection="true">
      <alignment horizontal="center" vertical="center" textRotation="0" wrapText="false" indent="0" shrinkToFit="false"/>
      <protection locked="true" hidden="false"/>
    </xf>
    <xf numFmtId="178" fontId="4" fillId="0" borderId="0" xfId="0" applyFont="true" applyBorder="true" applyAlignment="true" applyProtection="true">
      <alignment horizontal="center" vertical="center" textRotation="0" wrapText="false" indent="0" shrinkToFit="false"/>
      <protection locked="true" hidden="false"/>
    </xf>
    <xf numFmtId="173" fontId="4" fillId="0" borderId="3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73" fontId="4" fillId="0" borderId="5" xfId="0" applyFont="true" applyBorder="true" applyAlignment="true" applyProtection="true">
      <alignment horizontal="center" vertical="bottom"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4" fillId="0" borderId="54"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center" textRotation="0" wrapText="false" indent="0" shrinkToFit="false"/>
      <protection locked="true" hidden="false"/>
    </xf>
    <xf numFmtId="164" fontId="4" fillId="0" borderId="55" xfId="0" applyFont="true" applyBorder="true" applyAlignment="true" applyProtection="true">
      <alignment horizontal="center" vertical="bottom" textRotation="0" wrapText="false" indent="0" shrinkToFit="false"/>
      <protection locked="true" hidden="false"/>
    </xf>
    <xf numFmtId="204" fontId="4" fillId="0" borderId="55" xfId="0" applyFont="true" applyBorder="true" applyAlignment="true" applyProtection="true">
      <alignment horizontal="center" vertical="bottom" textRotation="0" wrapText="false" indent="0" shrinkToFit="false"/>
      <protection locked="true" hidden="false"/>
    </xf>
    <xf numFmtId="173" fontId="4" fillId="0" borderId="55" xfId="0" applyFont="true" applyBorder="true" applyAlignment="true" applyProtection="true">
      <alignment horizontal="center" vertical="bottom" textRotation="0" wrapText="false" indent="0" shrinkToFit="false"/>
      <protection locked="true" hidden="false"/>
    </xf>
    <xf numFmtId="170" fontId="4" fillId="0" borderId="55" xfId="0" applyFont="true" applyBorder="true" applyAlignment="true" applyProtection="true">
      <alignment horizontal="center" vertical="center" textRotation="0" wrapText="false" indent="0" shrinkToFit="false"/>
      <protection locked="true" hidden="false"/>
    </xf>
    <xf numFmtId="173" fontId="4" fillId="0" borderId="55" xfId="0" applyFont="true" applyBorder="true" applyAlignment="true" applyProtection="true">
      <alignment horizontal="center" vertical="center" textRotation="0" wrapText="false" indent="0" shrinkToFit="false"/>
      <protection locked="true" hidden="false"/>
    </xf>
    <xf numFmtId="170" fontId="4" fillId="0" borderId="55" xfId="0" applyFont="true" applyBorder="true" applyAlignment="true" applyProtection="true">
      <alignment horizontal="center" vertical="bottom" textRotation="0" wrapText="false" indent="0" shrinkToFit="false"/>
      <protection locked="true" hidden="false"/>
    </xf>
    <xf numFmtId="204" fontId="4" fillId="0" borderId="0" xfId="0" applyFont="true" applyBorder="true" applyAlignment="true" applyProtection="true">
      <alignment horizontal="center" vertical="bottom" textRotation="0" wrapText="false" indent="0" shrinkToFit="false"/>
      <protection locked="true" hidden="false"/>
    </xf>
    <xf numFmtId="173" fontId="4" fillId="0" borderId="0" xfId="0" applyFont="true" applyBorder="true" applyAlignment="true" applyProtection="true">
      <alignment horizontal="center" vertical="bottom" textRotation="0" wrapText="false" indent="0" shrinkToFit="false"/>
      <protection locked="true" hidden="false"/>
    </xf>
    <xf numFmtId="173" fontId="4" fillId="0" borderId="0" xfId="0" applyFont="true" applyBorder="true" applyAlignment="true" applyProtection="true">
      <alignment horizontal="center" vertical="center" textRotation="0" wrapText="false" indent="0" shrinkToFit="false"/>
      <protection locked="true" hidden="false"/>
    </xf>
    <xf numFmtId="170" fontId="4" fillId="0" borderId="0" xfId="0" applyFont="true" applyBorder="true" applyAlignment="true" applyProtection="true">
      <alignment horizontal="center" vertical="bottom" textRotation="0" wrapText="false" indent="0" shrinkToFit="false"/>
      <protection locked="true" hidden="false"/>
    </xf>
    <xf numFmtId="165" fontId="0" fillId="0" borderId="39" xfId="0" applyFont="false" applyBorder="true" applyAlignment="true" applyProtection="true">
      <alignment horizontal="center" vertical="bottom" textRotation="0" wrapText="false" indent="0" shrinkToFit="false"/>
      <protection locked="true" hidden="false"/>
    </xf>
    <xf numFmtId="173" fontId="0" fillId="0" borderId="0" xfId="0" applyFont="true" applyBorder="true" applyAlignment="true" applyProtection="true">
      <alignment horizontal="center" vertical="bottom" textRotation="0" wrapText="false" indent="0" shrinkToFit="false"/>
      <protection locked="true" hidden="false"/>
    </xf>
    <xf numFmtId="170" fontId="0" fillId="0" borderId="0" xfId="0" applyFont="true" applyBorder="true" applyAlignment="true" applyProtection="true">
      <alignment horizontal="center" vertical="center" textRotation="0" wrapText="false" indent="0" shrinkToFit="false"/>
      <protection locked="true" hidden="false"/>
    </xf>
    <xf numFmtId="173" fontId="0" fillId="0" borderId="0" xfId="0" applyFont="true" applyBorder="true" applyAlignment="true" applyProtection="true">
      <alignment horizontal="center" vertical="center"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true" hidden="false"/>
    </xf>
    <xf numFmtId="164" fontId="0" fillId="0" borderId="22" xfId="0" applyFont="true" applyBorder="true" applyAlignment="true" applyProtection="true">
      <alignment horizontal="general" vertical="bottom" textRotation="0" wrapText="false" indent="0" shrinkToFit="false"/>
      <protection locked="true" hidden="false"/>
    </xf>
    <xf numFmtId="164" fontId="0" fillId="0" borderId="25" xfId="0" applyFont="false" applyBorder="true" applyAlignment="true" applyProtection="true">
      <alignment horizontal="general" vertical="bottom" textRotation="0" wrapText="false" indent="0" shrinkToFit="false"/>
      <protection locked="true" hidden="false"/>
    </xf>
    <xf numFmtId="164" fontId="0" fillId="0" borderId="26"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173" fontId="4" fillId="0" borderId="31" xfId="0" applyFont="true" applyBorder="true" applyAlignment="true" applyProtection="true">
      <alignment horizontal="center" vertical="bottom" textRotation="0" wrapText="false" indent="0" shrinkToFit="false"/>
      <protection locked="true" hidden="false"/>
    </xf>
    <xf numFmtId="170" fontId="4" fillId="0" borderId="30"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4" fontId="0" fillId="0" borderId="30" xfId="0" applyFont="false" applyBorder="true" applyAlignment="true" applyProtection="true">
      <alignment horizontal="general" vertical="bottom" textRotation="0" wrapText="false" indent="0" shrinkToFit="false"/>
      <protection locked="true" hidden="false"/>
    </xf>
    <xf numFmtId="173" fontId="4" fillId="0" borderId="28" xfId="0" applyFont="true" applyBorder="true" applyAlignment="true" applyProtection="tru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true">
      <alignment horizontal="center" vertical="bottom" textRotation="0" wrapText="false" indent="0" shrinkToFit="false"/>
      <protection locked="true" hidden="false"/>
    </xf>
    <xf numFmtId="165" fontId="4" fillId="0" borderId="3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general" vertical="bottom" textRotation="0" wrapText="false" indent="0" shrinkToFit="false"/>
      <protection locked="true" hidden="false"/>
    </xf>
    <xf numFmtId="173" fontId="4" fillId="0" borderId="56" xfId="0" applyFont="true" applyBorder="true" applyAlignment="true" applyProtection="true">
      <alignment horizontal="center" vertical="bottom" textRotation="0" wrapText="false" indent="0" shrinkToFit="false"/>
      <protection locked="true" hidden="false"/>
    </xf>
    <xf numFmtId="164" fontId="4" fillId="0" borderId="56" xfId="0" applyFont="true" applyBorder="true" applyAlignment="true" applyProtection="tru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true" hidden="false"/>
    </xf>
    <xf numFmtId="170" fontId="4" fillId="0" borderId="25"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73" fontId="4" fillId="0" borderId="28" xfId="0" applyFont="true" applyBorder="true" applyAlignment="true" applyProtection="true">
      <alignment horizontal="center" vertical="center" textRotation="0" wrapText="false" indent="0" shrinkToFit="false"/>
      <protection locked="true" hidden="false"/>
    </xf>
    <xf numFmtId="170" fontId="4" fillId="0" borderId="31" xfId="0" applyFont="true" applyBorder="true" applyAlignment="true" applyProtection="true">
      <alignment horizontal="center" vertical="center" textRotation="0" wrapText="false" indent="0" shrinkToFit="false"/>
      <protection locked="true" hidden="false"/>
    </xf>
    <xf numFmtId="164" fontId="55" fillId="0" borderId="0" xfId="0" applyFont="true" applyBorder="true" applyAlignment="true" applyProtection="true">
      <alignment horizontal="center" vertical="bottom" textRotation="0" wrapText="false" indent="0" shrinkToFit="false"/>
      <protection locked="true" hidden="false"/>
    </xf>
    <xf numFmtId="164" fontId="55" fillId="0" borderId="0"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left" vertical="bottom" textRotation="0" wrapText="false" indent="0" shrinkToFit="false"/>
      <protection locked="true" hidden="false"/>
    </xf>
    <xf numFmtId="172"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28" xfId="0" applyFont="tru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5" fontId="4" fillId="0" borderId="19" xfId="0" applyFont="true" applyBorder="true" applyAlignment="true" applyProtection="true">
      <alignment horizontal="center" vertical="bottom" textRotation="0" wrapText="false" indent="0" shrinkToFit="false"/>
      <protection locked="true" hidden="false"/>
    </xf>
    <xf numFmtId="205" fontId="4" fillId="4" borderId="26" xfId="0" applyFont="true" applyBorder="true" applyAlignment="true" applyProtection="true">
      <alignment horizontal="general" vertical="bottom" textRotation="0" wrapText="false" indent="0" shrinkToFit="false"/>
      <protection locked="false" hidden="false"/>
    </xf>
    <xf numFmtId="206" fontId="4" fillId="0" borderId="31" xfId="0" applyFont="true" applyBorder="true" applyAlignment="true" applyProtection="true">
      <alignment horizontal="general" vertical="bottom" textRotation="0" wrapText="false" indent="0" shrinkToFit="false"/>
      <protection locked="true" hidden="false"/>
    </xf>
    <xf numFmtId="207" fontId="4" fillId="0" borderId="25" xfId="0" applyFont="true" applyBorder="true" applyAlignment="true" applyProtection="true">
      <alignment horizontal="center" vertical="bottom" textRotation="0" wrapText="false" indent="0" shrinkToFit="false"/>
      <protection locked="true" hidden="false"/>
    </xf>
    <xf numFmtId="208" fontId="4" fillId="0" borderId="26" xfId="0" applyFont="true" applyBorder="true" applyAlignment="true" applyProtection="true">
      <alignment horizontal="center" vertical="bottom" textRotation="0" wrapText="false" indent="0" shrinkToFit="false"/>
      <protection locked="true" hidden="false"/>
    </xf>
    <xf numFmtId="209" fontId="4" fillId="0" borderId="0" xfId="0" applyFont="true" applyBorder="true" applyAlignment="true" applyProtection="true">
      <alignment horizontal="center" vertical="bottom" textRotation="0" wrapText="false" indent="0" shrinkToFit="false"/>
      <protection locked="true" hidden="false"/>
    </xf>
    <xf numFmtId="205" fontId="4" fillId="0" borderId="28" xfId="0" applyFont="true" applyBorder="true" applyAlignment="true" applyProtection="true">
      <alignment horizontal="center" vertical="bottom" textRotation="0" wrapText="false" indent="0" shrinkToFit="false"/>
      <protection locked="true" hidden="false"/>
    </xf>
    <xf numFmtId="209" fontId="4" fillId="0" borderId="30" xfId="0" applyFont="true" applyBorder="true" applyAlignment="true" applyProtection="true">
      <alignment horizontal="center" vertical="bottom" textRotation="0" wrapText="false" indent="0" shrinkToFit="false"/>
      <protection locked="true" hidden="false"/>
    </xf>
    <xf numFmtId="205" fontId="4" fillId="0" borderId="31" xfId="0" applyFont="true" applyBorder="true" applyAlignment="true" applyProtection="true">
      <alignment horizontal="center" vertical="bottom" textRotation="0" wrapText="false" indent="0" shrinkToFit="false"/>
      <protection locked="true" hidden="false"/>
    </xf>
    <xf numFmtId="164" fontId="56" fillId="0" borderId="0" xfId="0" applyFont="true" applyBorder="true" applyAlignment="true" applyProtection="true">
      <alignment horizontal="general" vertical="bottom" textRotation="0" wrapText="false" indent="0" shrinkToFit="false"/>
      <protection locked="true" hidden="false"/>
    </xf>
    <xf numFmtId="210" fontId="4" fillId="4" borderId="26" xfId="0" applyFont="true" applyBorder="true" applyAlignment="true" applyProtection="true">
      <alignment horizontal="center" vertical="bottom" textRotation="0" wrapText="false" indent="0" shrinkToFit="false"/>
      <protection locked="true" hidden="false"/>
    </xf>
    <xf numFmtId="211"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left" vertical="bottom" textRotation="0" wrapText="false" indent="0" shrinkToFit="false"/>
      <protection locked="true" hidden="false"/>
    </xf>
    <xf numFmtId="209" fontId="4" fillId="0" borderId="25" xfId="0" applyFont="true" applyBorder="true" applyAlignment="true" applyProtection="true">
      <alignment horizontal="center" vertical="bottom" textRotation="0" wrapText="false" indent="0" shrinkToFit="false"/>
      <protection locked="true" hidden="false"/>
    </xf>
    <xf numFmtId="205" fontId="4" fillId="0" borderId="26"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209" fontId="0" fillId="0" borderId="0" xfId="0" applyFont="false" applyBorder="true" applyAlignment="true" applyProtection="true">
      <alignment horizontal="general" vertical="bottom" textRotation="0" wrapText="false" indent="0" shrinkToFit="false"/>
      <protection locked="true" hidden="false"/>
    </xf>
    <xf numFmtId="205" fontId="0" fillId="0" borderId="0" xfId="0" applyFont="false" applyBorder="true" applyAlignment="true" applyProtection="true">
      <alignment horizontal="general" vertical="bottom" textRotation="0" wrapText="false" indent="0" shrinkToFit="false"/>
      <protection locked="true" hidden="false"/>
    </xf>
    <xf numFmtId="205" fontId="4" fillId="4" borderId="26" xfId="0" applyFont="true" applyBorder="true" applyAlignment="true" applyProtection="true">
      <alignment horizontal="center" vertical="bottom" textRotation="0" wrapText="false" indent="0" shrinkToFit="false"/>
      <protection locked="false" hidden="false"/>
    </xf>
    <xf numFmtId="211" fontId="0" fillId="0" borderId="0" xfId="0" applyFont="true" applyBorder="true" applyAlignment="true" applyProtection="true">
      <alignment horizontal="general" vertical="bottom" textRotation="0" wrapText="false" indent="0" shrinkToFit="false"/>
      <protection locked="true" hidden="false"/>
    </xf>
    <xf numFmtId="212" fontId="4" fillId="0" borderId="31" xfId="0" applyFont="true" applyBorder="true" applyAlignment="true" applyProtection="tru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4">
    <dxf>
      <font>
        <color rgb="FFFF0000"/>
      </font>
    </dxf>
    <dxf>
      <font>
        <color rgb="FF00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FFFF"/>
      </font>
      <border diagonalUp="false" diagonalDown="false">
        <left/>
        <right/>
        <top/>
        <bottom/>
        <diagonal/>
      </border>
    </dxf>
    <dxf>
      <font>
        <color rgb="FFFFFFFF"/>
      </font>
      <fill>
        <patternFill>
          <bgColor theme="0"/>
        </patternFill>
      </fill>
      <border diagonalUp="false" diagonalDown="false">
        <left/>
        <right/>
        <top/>
        <bottom/>
        <diagonal/>
      </border>
    </dxf>
    <dxf>
      <font>
        <color rgb="FFFF0000"/>
      </font>
    </dxf>
    <dxf>
      <font>
        <color rgb="FFFF0000"/>
      </font>
    </dxf>
    <dxf>
      <font>
        <color rgb="FFFF0000"/>
      </font>
    </dxf>
    <dxf>
      <font>
        <color rgb="FFFF0000"/>
      </font>
    </dxf>
    <dxf>
      <font>
        <color rgb="FFFF0000"/>
      </font>
    </dxf>
    <dxf>
      <font>
        <color rgb="FFFF0000"/>
      </font>
    </dxf>
    <dxf>
      <font>
        <color rgb="FFFFFFFF"/>
      </font>
      <border diagonalUp="false" diagonalDown="false">
        <left/>
        <right/>
        <top/>
        <bottom/>
        <diagonal/>
      </border>
    </dxf>
    <dxf>
      <font>
        <color rgb="FF00FF00"/>
      </font>
    </dxf>
    <dxf>
      <font>
        <color rgb="FFFFFFFF"/>
      </font>
      <fill>
        <patternFill>
          <bgColor rgb="FFFFFFFF"/>
        </patternFill>
      </fill>
      <border diagonalUp="false" diagonalDown="false">
        <left/>
        <right/>
        <top/>
        <bottom/>
        <diagonal/>
      </border>
    </dxf>
    <dxf>
      <font>
        <color rgb="FFFFFFFF"/>
      </font>
      <border diagonalUp="false" diagonalDown="false">
        <left/>
        <right/>
        <top/>
        <bottom/>
        <diagonal/>
      </border>
    </dxf>
    <dxf>
      <font>
        <color rgb="FFFF0000"/>
      </font>
    </dxf>
    <dxf>
      <font>
        <color rgb="FF000000"/>
      </font>
    </dxf>
    <dxf>
      <font>
        <color rgb="FFFFFFFF"/>
      </font>
    </dxf>
    <dxf>
      <font>
        <color rgb="FFFFFFFF"/>
      </font>
      <fill>
        <patternFill>
          <bgColor theme="0"/>
        </patternFill>
      </fill>
      <border diagonalUp="false" diagonalDown="false">
        <left/>
        <right/>
        <top/>
        <bottom/>
        <diagonal/>
      </border>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rgb="FFFFFFFF"/>
      </font>
      <border diagonalUp="false" diagonalDown="false">
        <left/>
        <right/>
        <top/>
        <bottom/>
        <diagonal/>
      </border>
    </dxf>
    <dxf>
      <font>
        <color rgb="FFFFFFFF"/>
      </font>
      <border diagonalUp="false" diagonalDown="false">
        <left/>
        <right/>
        <top/>
        <bottom/>
        <diagonal/>
      </border>
    </dxf>
    <dxf>
      <font>
        <color rgb="FF99CCFF"/>
      </font>
    </dxf>
    <dxf>
      <fill>
        <patternFill>
          <bgColor rgb="FFFF0000"/>
        </patternFill>
      </fill>
    </dxf>
    <dxf>
      <font>
        <color rgb="FFFFFFFF"/>
      </font>
      <fill>
        <patternFill>
          <bgColor theme="0"/>
        </patternFill>
      </fill>
      <border diagonalUp="false" diagonalDown="false">
        <left/>
        <right/>
        <top/>
        <bottom/>
        <diagonal/>
      </border>
    </dxf>
    <dxf>
      <font>
        <color rgb="FFFFFFFF"/>
      </font>
      <fill>
        <patternFill>
          <bgColor theme="0"/>
        </patternFill>
      </fill>
      <border diagonalUp="false" diagonalDown="false">
        <left/>
        <right/>
        <top/>
        <bottom/>
        <diagonal/>
      </border>
    </dxf>
    <dxf>
      <fill>
        <patternFill>
          <bgColor rgb="FFFF0000"/>
        </patternFill>
      </fill>
    </dxf>
    <dxf>
      <font>
        <color rgb="FFCCFFFF"/>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CC99"/>
      </font>
    </dxf>
    <dxf>
      <font>
        <name val="Cambria"/>
        <charset val="1"/>
        <family val="0"/>
        <color rgb="FFFFFF99"/>
      </font>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696034196153"/>
          <c:y val="0.0646751740139211"/>
          <c:w val="0.848492044644977"/>
          <c:h val="0.905452436194896"/>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29.5</c:v>
                </c:pt>
                <c:pt idx="2">
                  <c:v>29.5</c:v>
                </c:pt>
                <c:pt idx="3">
                  <c:v>29.5</c:v>
                </c:pt>
                <c:pt idx="4">
                  <c:v>29.5</c:v>
                </c:pt>
                <c:pt idx="5">
                  <c:v>29.5</c:v>
                </c:pt>
                <c:pt idx="6">
                  <c:v>29.5</c:v>
                </c:pt>
                <c:pt idx="7">
                  <c:v>0</c:v>
                </c:pt>
              </c:numCache>
            </c:numRef>
          </c:xVal>
          <c:yVal>
            <c:numRef>
              <c:f>Stabilito!$C$124:$C$131</c:f>
              <c:numCache>
                <c:formatCode>General</c:formatCode>
                <c:ptCount val="8"/>
                <c:pt idx="0">
                  <c:v>-199</c:v>
                </c:pt>
                <c:pt idx="1">
                  <c:v>-199</c:v>
                </c:pt>
                <c:pt idx="2">
                  <c:v>-199</c:v>
                </c:pt>
                <c:pt idx="3">
                  <c:v>-199</c:v>
                </c:pt>
                <c:pt idx="4">
                  <c:v>-199</c:v>
                </c:pt>
                <c:pt idx="5">
                  <c:v>-199</c:v>
                </c:pt>
                <c:pt idx="6">
                  <c:v>-1200</c:v>
                </c:pt>
                <c:pt idx="7">
                  <c:v>-1200</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29.5</c:v>
                </c:pt>
                <c:pt idx="1">
                  <c:v>128.5</c:v>
                </c:pt>
                <c:pt idx="2">
                  <c:v>128.5</c:v>
                </c:pt>
                <c:pt idx="3">
                  <c:v>29.5</c:v>
                </c:pt>
                <c:pt idx="4">
                  <c:v>29.5</c:v>
                </c:pt>
              </c:numCache>
            </c:numRef>
          </c:xVal>
          <c:yVal>
            <c:numRef>
              <c:f>Stabilito!$C$132:$C$136</c:f>
              <c:numCache>
                <c:formatCode>General</c:formatCode>
                <c:ptCount val="5"/>
                <c:pt idx="0">
                  <c:v>-1091</c:v>
                </c:pt>
                <c:pt idx="1">
                  <c:v>-1200</c:v>
                </c:pt>
                <c:pt idx="2">
                  <c:v>-1259</c:v>
                </c:pt>
                <c:pt idx="3">
                  <c:v>-1200</c:v>
                </c:pt>
                <c:pt idx="4">
                  <c:v>-1091</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-29.5</c:v>
                </c:pt>
                <c:pt idx="2">
                  <c:v>-29.5</c:v>
                </c:pt>
                <c:pt idx="3">
                  <c:v>-29.5</c:v>
                </c:pt>
                <c:pt idx="4">
                  <c:v>-29.5</c:v>
                </c:pt>
                <c:pt idx="5">
                  <c:v>-29.5</c:v>
                </c:pt>
                <c:pt idx="6">
                  <c:v>-29.5</c:v>
                </c:pt>
                <c:pt idx="7">
                  <c:v>-0</c:v>
                </c:pt>
              </c:numCache>
            </c:numRef>
          </c:xVal>
          <c:yVal>
            <c:numRef>
              <c:f>Stabilito!$C$124:$C$131</c:f>
              <c:numCache>
                <c:formatCode>General</c:formatCode>
                <c:ptCount val="8"/>
                <c:pt idx="0">
                  <c:v>-199</c:v>
                </c:pt>
                <c:pt idx="1">
                  <c:v>-199</c:v>
                </c:pt>
                <c:pt idx="2">
                  <c:v>-199</c:v>
                </c:pt>
                <c:pt idx="3">
                  <c:v>-199</c:v>
                </c:pt>
                <c:pt idx="4">
                  <c:v>-199</c:v>
                </c:pt>
                <c:pt idx="5">
                  <c:v>-199</c:v>
                </c:pt>
                <c:pt idx="6">
                  <c:v>-1200</c:v>
                </c:pt>
                <c:pt idx="7">
                  <c:v>-1200</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-29.5</c:v>
                </c:pt>
                <c:pt idx="1">
                  <c:v>-128.5</c:v>
                </c:pt>
                <c:pt idx="2">
                  <c:v>-128.5</c:v>
                </c:pt>
                <c:pt idx="3">
                  <c:v>-29.5</c:v>
                </c:pt>
                <c:pt idx="4">
                  <c:v>-29.5</c:v>
                </c:pt>
              </c:numCache>
            </c:numRef>
          </c:xVal>
          <c:yVal>
            <c:numRef>
              <c:f>Stabilito!$C$132:$C$136</c:f>
              <c:numCache>
                <c:formatCode>General</c:formatCode>
                <c:ptCount val="5"/>
                <c:pt idx="0">
                  <c:v>-1091</c:v>
                </c:pt>
                <c:pt idx="1">
                  <c:v>-1200</c:v>
                </c:pt>
                <c:pt idx="2">
                  <c:v>-1259</c:v>
                </c:pt>
                <c:pt idx="3">
                  <c:v>-1200</c:v>
                </c:pt>
                <c:pt idx="4">
                  <c:v>-1091</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-829.316879287134</c:v>
                </c:pt>
                <c:pt idx="1">
                  <c:v>-816.243212288621</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1">
                  <c:v>84.5569288418741</c:v>
                </c:pt>
                <c:pt idx="2">
                  <c:v>84.5569288418741</c:v>
                </c:pt>
                <c:pt idx="3">
                  <c:v>0</c:v>
                </c:pt>
              </c:numCache>
            </c:numRef>
          </c:xVal>
          <c:yVal>
            <c:numRef>
              <c:f>Stabilito!$C$151:$C$154</c:f>
              <c:numCache>
                <c:formatCode>General</c:formatCode>
                <c:ptCount val="4"/>
                <c:pt idx="0">
                  <c:v>-1062.2742500687</c:v>
                </c:pt>
                <c:pt idx="1">
                  <c:v>-1062.2742500687</c:v>
                </c:pt>
                <c:pt idx="2">
                  <c:v>-1062.2742500687</c:v>
                </c:pt>
                <c:pt idx="3">
                  <c:v>-1062.2742500687</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pt idx="0">
                  <c:v>0</c:v>
                </c:pt>
                <c:pt idx="1">
                  <c:v>0</c:v>
                </c:pt>
                <c:pt idx="2">
                  <c:v>0</c:v>
                </c:pt>
                <c:pt idx="3">
                  <c:v>0</c:v>
                </c:pt>
                <c:pt idx="4">
                  <c:v>0</c:v>
                </c:pt>
              </c:numCache>
            </c:numRef>
          </c:xVal>
          <c:yVal>
            <c:numRef>
              <c:f>Stabilito!$C$158:$C$162</c:f>
              <c:numCache>
                <c:formatCode>General</c:formatCode>
                <c:ptCount val="5"/>
                <c:pt idx="0">
                  <c:v>0</c:v>
                </c:pt>
                <c:pt idx="1">
                  <c:v>0</c:v>
                </c:pt>
                <c:pt idx="2">
                  <c:v>0</c:v>
                </c:pt>
                <c:pt idx="3">
                  <c:v>0</c:v>
                </c:pt>
                <c:pt idx="4">
                  <c:v>0</c:v>
                </c:pt>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pt idx="0">
                  <c:v>-0</c:v>
                </c:pt>
                <c:pt idx="1">
                  <c:v>-0</c:v>
                </c:pt>
                <c:pt idx="2">
                  <c:v>-0</c:v>
                </c:pt>
                <c:pt idx="3">
                  <c:v>-0</c:v>
                </c:pt>
                <c:pt idx="4">
                  <c:v>-0</c:v>
                </c:pt>
              </c:numCache>
            </c:numRef>
          </c:xVal>
          <c:yVal>
            <c:numRef>
              <c:f>Stabilito!$C$158:$C$162</c:f>
              <c:numCache>
                <c:formatCode>General</c:formatCode>
                <c:ptCount val="5"/>
                <c:pt idx="0">
                  <c:v>0</c:v>
                </c:pt>
                <c:pt idx="1">
                  <c:v>0</c:v>
                </c:pt>
                <c:pt idx="2">
                  <c:v>0</c:v>
                </c:pt>
                <c:pt idx="3">
                  <c:v>0</c:v>
                </c:pt>
                <c:pt idx="4">
                  <c:v>0</c:v>
                </c:pt>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400</c:v>
                </c:pt>
                <c:pt idx="1">
                  <c:v>-400</c:v>
                </c:pt>
              </c:numCache>
            </c:numRef>
          </c:xVal>
          <c:yVal>
            <c:numRef>
              <c:f>Stabilito!$C$168:$C$169</c:f>
              <c:numCache>
                <c:formatCode>General</c:formatCode>
                <c:ptCount val="2"/>
                <c:pt idx="0">
                  <c:v>-1271.59</c:v>
                </c:pt>
                <c:pt idx="1">
                  <c:v>-1271.59</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-12</c:v>
                </c:pt>
                <c:pt idx="1">
                  <c:v>12</c:v>
                </c:pt>
                <c:pt idx="2">
                  <c:v>12</c:v>
                </c:pt>
                <c:pt idx="3">
                  <c:v>-12</c:v>
                </c:pt>
                <c:pt idx="4">
                  <c:v>-12</c:v>
                </c:pt>
              </c:numCache>
            </c:numRef>
          </c:xVal>
          <c:yVal>
            <c:numRef>
              <c:f>Stabilito!$C$170:$C$174</c:f>
              <c:numCache>
                <c:formatCode>General</c:formatCode>
                <c:ptCount val="5"/>
                <c:pt idx="0">
                  <c:v>-972</c:v>
                </c:pt>
                <c:pt idx="1">
                  <c:v>-972</c:v>
                </c:pt>
                <c:pt idx="2">
                  <c:v>-1200</c:v>
                </c:pt>
                <c:pt idx="3">
                  <c:v>-1200</c:v>
                </c:pt>
                <c:pt idx="4">
                  <c:v>-972</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5.9</c:v>
                </c:pt>
                <c:pt idx="2">
                  <c:v>14.75</c:v>
                </c:pt>
                <c:pt idx="3">
                  <c:v>22.125</c:v>
                </c:pt>
                <c:pt idx="4">
                  <c:v>26.55</c:v>
                </c:pt>
                <c:pt idx="5">
                  <c:v>29.5</c:v>
                </c:pt>
              </c:numCache>
            </c:numRef>
          </c:xVal>
          <c:yVal>
            <c:numRef>
              <c:f>Stabilito!$C$175:$C$180</c:f>
              <c:numCache>
                <c:formatCode>General</c:formatCode>
                <c:ptCount val="6"/>
                <c:pt idx="0">
                  <c:v>0</c:v>
                </c:pt>
                <c:pt idx="1">
                  <c:v>-19.9</c:v>
                </c:pt>
                <c:pt idx="2">
                  <c:v>-49.75</c:v>
                </c:pt>
                <c:pt idx="3">
                  <c:v>-99.5</c:v>
                </c:pt>
                <c:pt idx="4">
                  <c:v>-149.25</c:v>
                </c:pt>
                <c:pt idx="5">
                  <c:v>-199</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-5.9</c:v>
                </c:pt>
                <c:pt idx="2">
                  <c:v>-14.75</c:v>
                </c:pt>
                <c:pt idx="3">
                  <c:v>-22.125</c:v>
                </c:pt>
                <c:pt idx="4">
                  <c:v>-26.55</c:v>
                </c:pt>
                <c:pt idx="5">
                  <c:v>-29.5</c:v>
                </c:pt>
              </c:numCache>
            </c:numRef>
          </c:xVal>
          <c:yVal>
            <c:numRef>
              <c:f>Stabilito!$C$175:$C$180</c:f>
              <c:numCache>
                <c:formatCode>General</c:formatCode>
                <c:ptCount val="6"/>
                <c:pt idx="0">
                  <c:v>0</c:v>
                </c:pt>
                <c:pt idx="1">
                  <c:v>-19.9</c:v>
                </c:pt>
                <c:pt idx="2">
                  <c:v>-49.75</c:v>
                </c:pt>
                <c:pt idx="3">
                  <c:v>-99.5</c:v>
                </c:pt>
                <c:pt idx="4">
                  <c:v>-149.25</c:v>
                </c:pt>
                <c:pt idx="5">
                  <c:v>-199</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-128.5</c:v>
                </c:pt>
                <c:pt idx="1">
                  <c:v>-79</c:v>
                </c:pt>
                <c:pt idx="2">
                  <c:v>-29.5</c:v>
                </c:pt>
              </c:numCache>
            </c:numRef>
          </c:xVal>
          <c:yVal>
            <c:numRef>
              <c:f>Stabilito!$C$137:$C$139</c:f>
              <c:numCache>
                <c:formatCode>General</c:formatCode>
                <c:ptCount val="3"/>
                <c:pt idx="0">
                  <c:v>-1299</c:v>
                </c:pt>
                <c:pt idx="1">
                  <c:v>-1299</c:v>
                </c:pt>
                <c:pt idx="2">
                  <c:v>-1299</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-168.5</c:v>
                </c:pt>
                <c:pt idx="1">
                  <c:v>-168.5</c:v>
                </c:pt>
                <c:pt idx="2">
                  <c:v>-168.5</c:v>
                </c:pt>
              </c:numCache>
            </c:numRef>
          </c:xVal>
          <c:yVal>
            <c:numRef>
              <c:f>Stabilito!$C$143:$C$145</c:f>
              <c:numCache>
                <c:formatCode>General</c:formatCode>
                <c:ptCount val="3"/>
                <c:pt idx="0">
                  <c:v>-1091</c:v>
                </c:pt>
                <c:pt idx="1">
                  <c:v>-1145.5</c:v>
                </c:pt>
                <c:pt idx="2">
                  <c:v>-1200</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-188.5</c:v>
                </c:pt>
                <c:pt idx="1">
                  <c:v>-188.5</c:v>
                </c:pt>
                <c:pt idx="2">
                  <c:v>-188.5</c:v>
                </c:pt>
              </c:numCache>
            </c:numRef>
          </c:xVal>
          <c:yVal>
            <c:numRef>
              <c:f>Stabilito!$C$146:$C$148</c:f>
              <c:numCache>
                <c:formatCode>General</c:formatCode>
                <c:ptCount val="3"/>
                <c:pt idx="0">
                  <c:v>-1200</c:v>
                </c:pt>
                <c:pt idx="1">
                  <c:v>-1229.5</c:v>
                </c:pt>
                <c:pt idx="2">
                  <c:v>-1259</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188.5</c:v>
                </c:pt>
                <c:pt idx="1">
                  <c:v>188.5</c:v>
                </c:pt>
                <c:pt idx="2">
                  <c:v>188.5</c:v>
                </c:pt>
              </c:numCache>
            </c:numRef>
          </c:xVal>
          <c:yVal>
            <c:numRef>
              <c:f>Stabilito!$C$140:$C$142</c:f>
              <c:numCache>
                <c:formatCode>General</c:formatCode>
                <c:ptCount val="3"/>
                <c:pt idx="0">
                  <c:v>-1091</c:v>
                </c:pt>
                <c:pt idx="1">
                  <c:v>-1145.5</c:v>
                </c:pt>
                <c:pt idx="2">
                  <c:v>-1200</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-188.5</c:v>
                </c:pt>
                <c:pt idx="1">
                  <c:v>-188.5</c:v>
                </c:pt>
                <c:pt idx="2">
                  <c:v>-188.5</c:v>
                </c:pt>
              </c:numCache>
            </c:numRef>
          </c:xVal>
          <c:yVal>
            <c:numRef>
              <c:f>Stabilito!$C$155:$C$157</c:f>
              <c:numCache>
                <c:formatCode>General</c:formatCode>
                <c:ptCount val="3"/>
                <c:pt idx="0">
                  <c:v>-822.780045787877</c:v>
                </c:pt>
                <c:pt idx="1">
                  <c:v>-942.527147928289</c:v>
                </c:pt>
                <c:pt idx="2">
                  <c:v>-1062.2742500687</c:v>
                </c:pt>
              </c:numCache>
            </c:numRef>
          </c:yVal>
          <c:smooth val="0"/>
        </c:ser>
        <c:axId val="62808989"/>
        <c:axId val="76112619"/>
      </c:scatterChart>
      <c:valAx>
        <c:axId val="62808989"/>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76112619"/>
        <c:crosses val="max"/>
        <c:crossBetween val="midCat"/>
      </c:valAx>
      <c:valAx>
        <c:axId val="76112619"/>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62808989"/>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651861892991"/>
          <c:y val="0.0327277584825007"/>
        </c:manualLayout>
      </c:layout>
      <c:overlay val="0"/>
      <c:spPr>
        <a:noFill/>
        <a:ln w="0">
          <a:noFill/>
        </a:ln>
      </c:spPr>
    </c:title>
    <c:autoTitleDeleted val="0"/>
    <c:plotArea>
      <c:layout>
        <c:manualLayout>
          <c:layoutTarget val="inner"/>
          <c:xMode val="edge"/>
          <c:yMode val="edge"/>
          <c:x val="0.13611354756399"/>
          <c:y val="0.0514293347582153"/>
          <c:w val="0.813491747069612"/>
          <c:h val="0.832353726956986"/>
        </c:manualLayout>
      </c:layout>
      <c:scatterChart>
        <c:scatterStyle val="lineMarker"/>
        <c:varyColors val="0"/>
        <c:ser>
          <c:idx val="0"/>
          <c:order val="0"/>
          <c:tx>
            <c:strRef>
              <c:f>Abaco!$B$41</c:f>
              <c:strCache>
                <c:ptCount val="1"/>
                <c:pt idx="0">
                  <c:v>Ø = 30 mm</c:v>
                </c:pt>
              </c:strCache>
            </c:strRef>
          </c:tx>
          <c:spPr>
            <a:solidFill>
              <a:srgbClr val="4a7ebb"/>
            </a:solidFill>
            <a:ln w="28440">
              <a:solidFill>
                <a:srgbClr val="4a7ebb"/>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Abaco!$K$41:$K$49</c:f>
              <c:numCache>
                <c:formatCode>General</c:formatCode>
                <c:ptCount val="9"/>
                <c:pt idx="0">
                  <c:v>556.870377387549</c:v>
                </c:pt>
                <c:pt idx="1">
                  <c:v>260.710810541538</c:v>
                </c:pt>
                <c:pt idx="2">
                  <c:v>149.758114428227</c:v>
                </c:pt>
                <c:pt idx="3">
                  <c:v>100.686834470203</c:v>
                </c:pt>
                <c:pt idx="4">
                  <c:v>73.463768960789</c:v>
                </c:pt>
                <c:pt idx="5">
                  <c:v>56.2292119549254</c:v>
                </c:pt>
                <c:pt idx="6">
                  <c:v>44.3576855116242</c:v>
                </c:pt>
                <c:pt idx="7">
                  <c:v>35.689660132218</c:v>
                </c:pt>
                <c:pt idx="8">
                  <c:v>29.0853210323039</c:v>
                </c:pt>
              </c:numCache>
            </c:numRef>
          </c:yVal>
          <c:smooth val="0"/>
        </c:ser>
        <c:ser>
          <c:idx val="1"/>
          <c:order val="1"/>
          <c:tx>
            <c:strRef>
              <c:f>Abaco!$B$50</c:f>
              <c:strCache>
                <c:ptCount val="1"/>
                <c:pt idx="0">
                  <c:v>Ø = 59 mm</c:v>
                </c:pt>
              </c:strCache>
            </c:strRef>
          </c:tx>
          <c:spPr>
            <a:solidFill>
              <a:srgbClr val="be4b48"/>
            </a:solidFill>
            <a:ln w="28440">
              <a:solidFill>
                <a:srgbClr val="be4b48"/>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Abaco!$K$50:$K$58</c:f>
              <c:numCache>
                <c:formatCode>General</c:formatCode>
                <c:ptCount val="9"/>
                <c:pt idx="0">
                  <c:v>288.982186094172</c:v>
                </c:pt>
                <c:pt idx="1">
                  <c:v>214.813335075263</c:v>
                </c:pt>
                <c:pt idx="2">
                  <c:v>139.396365165599</c:v>
                </c:pt>
                <c:pt idx="3">
                  <c:v>97.2319600100253</c:v>
                </c:pt>
                <c:pt idx="4">
                  <c:v>72.0183875594115</c:v>
                </c:pt>
                <c:pt idx="5">
                  <c:v>55.533854336004</c:v>
                </c:pt>
                <c:pt idx="6">
                  <c:v>43.9910798974784</c:v>
                </c:pt>
                <c:pt idx="7">
                  <c:v>35.4839361397595</c:v>
                </c:pt>
                <c:pt idx="8">
                  <c:v>28.9647936421288</c:v>
                </c:pt>
              </c:numCache>
            </c:numRef>
          </c:yVal>
          <c:smooth val="0"/>
        </c:ser>
        <c:ser>
          <c:idx val="2"/>
          <c:order val="2"/>
          <c:tx>
            <c:strRef>
              <c:f>Abaco!$B$59</c:f>
              <c:strCache>
                <c:ptCount val="1"/>
                <c:pt idx="0">
                  <c:v>Ø = 89 mm</c:v>
                </c:pt>
              </c:strCache>
            </c:strRef>
          </c:tx>
          <c:spPr>
            <a:solidFill>
              <a:srgbClr val="98b855"/>
            </a:solidFill>
            <a:ln w="28440">
              <a:solidFill>
                <a:srgbClr val="98b855"/>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Abaco!$K$59:$K$67</c:f>
              <c:numCache>
                <c:formatCode>General</c:formatCode>
                <c:ptCount val="9"/>
                <c:pt idx="0">
                  <c:v>192.790533476008</c:v>
                </c:pt>
                <c:pt idx="1">
                  <c:v>170.189600481807</c:v>
                </c:pt>
                <c:pt idx="2">
                  <c:v>125.48560777501</c:v>
                </c:pt>
                <c:pt idx="3">
                  <c:v>92.0654858009284</c:v>
                </c:pt>
                <c:pt idx="4">
                  <c:v>69.7553432654255</c:v>
                </c:pt>
                <c:pt idx="5">
                  <c:v>54.4196800635019</c:v>
                </c:pt>
                <c:pt idx="6">
                  <c:v>43.3959672808321</c:v>
                </c:pt>
                <c:pt idx="7">
                  <c:v>35.1473152381268</c:v>
                </c:pt>
                <c:pt idx="8">
                  <c:v>28.7665565309032</c:v>
                </c:pt>
              </c:numCache>
            </c:numRef>
          </c:yVal>
          <c:smooth val="0"/>
        </c:ser>
        <c:axId val="41445657"/>
        <c:axId val="62431976"/>
      </c:scatterChart>
      <c:valAx>
        <c:axId val="41445657"/>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5357626983"/>
              <c:y val="0.808976756612343"/>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2431976"/>
        <c:crosses val="autoZero"/>
        <c:crossBetween val="midCat"/>
      </c:valAx>
      <c:valAx>
        <c:axId val="62431976"/>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535762698349"/>
              <c:y val="0.0575741383916644"/>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41445657"/>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651861892991"/>
          <c:y val="0.0325996099191975"/>
        </c:manualLayout>
      </c:layout>
      <c:overlay val="0"/>
      <c:spPr>
        <a:noFill/>
        <a:ln w="0">
          <a:noFill/>
        </a:ln>
      </c:spPr>
    </c:title>
    <c:autoTitleDeleted val="0"/>
    <c:plotArea>
      <c:layout>
        <c:manualLayout>
          <c:layoutTarget val="inner"/>
          <c:xMode val="edge"/>
          <c:yMode val="edge"/>
          <c:x val="0.13611354756399"/>
          <c:y val="0.0514070771802731"/>
          <c:w val="0.813491747069612"/>
          <c:h val="0.832404569517972"/>
        </c:manualLayout>
      </c:layout>
      <c:scatterChart>
        <c:scatterStyle val="lineMarker"/>
        <c:varyColors val="0"/>
        <c:ser>
          <c:idx val="0"/>
          <c:order val="0"/>
          <c:tx>
            <c:strRef>
              <c:f>Abaco!$B$41</c:f>
              <c:strCache>
                <c:ptCount val="1"/>
                <c:pt idx="0">
                  <c:v>Ø = 30 mm</c:v>
                </c:pt>
              </c:strCache>
            </c:strRef>
          </c:tx>
          <c:spPr>
            <a:solidFill>
              <a:srgbClr val="4a7ebb"/>
            </a:solidFill>
            <a:ln w="28440">
              <a:solidFill>
                <a:srgbClr val="4a7ebb"/>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Abaco!$L$41:$L$49</c:f>
              <c:numCache>
                <c:formatCode>General</c:formatCode>
                <c:ptCount val="9"/>
                <c:pt idx="0">
                  <c:v>1644.49154684195</c:v>
                </c:pt>
                <c:pt idx="1">
                  <c:v>1793.70752649326</c:v>
                </c:pt>
                <c:pt idx="2">
                  <c:v>1044.06131769783</c:v>
                </c:pt>
                <c:pt idx="3">
                  <c:v>574.2194637716</c:v>
                </c:pt>
                <c:pt idx="4">
                  <c:v>338.63567426724</c:v>
                </c:pt>
                <c:pt idx="5">
                  <c:v>214.602590404104</c:v>
                </c:pt>
                <c:pt idx="6">
                  <c:v>143.75357699472</c:v>
                </c:pt>
                <c:pt idx="7">
                  <c:v>100.299685964936</c:v>
                </c:pt>
                <c:pt idx="8">
                  <c:v>72.088193271208</c:v>
                </c:pt>
              </c:numCache>
            </c:numRef>
          </c:yVal>
          <c:smooth val="0"/>
        </c:ser>
        <c:ser>
          <c:idx val="1"/>
          <c:order val="1"/>
          <c:tx>
            <c:strRef>
              <c:f>Abaco!$B$50</c:f>
              <c:strCache>
                <c:ptCount val="1"/>
                <c:pt idx="0">
                  <c:v>Ø = 59 mm</c:v>
                </c:pt>
              </c:strCache>
            </c:strRef>
          </c:tx>
          <c:spPr>
            <a:solidFill>
              <a:srgbClr val="be4b48"/>
            </a:solidFill>
            <a:ln w="28440">
              <a:solidFill>
                <a:srgbClr val="be4b48"/>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Abaco!$L$50:$L$58</c:f>
              <c:numCache>
                <c:formatCode>General</c:formatCode>
                <c:ptCount val="9"/>
                <c:pt idx="0">
                  <c:v>701.32581305236</c:v>
                </c:pt>
                <c:pt idx="1">
                  <c:v>843.667267812802</c:v>
                </c:pt>
                <c:pt idx="2">
                  <c:v>678.342947893959</c:v>
                </c:pt>
                <c:pt idx="3">
                  <c:v>463.470460600301</c:v>
                </c:pt>
                <c:pt idx="4">
                  <c:v>304.334071761575</c:v>
                </c:pt>
                <c:pt idx="5">
                  <c:v>202.880352542977</c:v>
                </c:pt>
                <c:pt idx="6">
                  <c:v>139.318749164709</c:v>
                </c:pt>
                <c:pt idx="7">
                  <c:v>98.4724351692558</c:v>
                </c:pt>
                <c:pt idx="8">
                  <c:v>71.2833579399776</c:v>
                </c:pt>
              </c:numCache>
            </c:numRef>
          </c:yVal>
          <c:smooth val="0"/>
        </c:ser>
        <c:ser>
          <c:idx val="2"/>
          <c:order val="2"/>
          <c:tx>
            <c:strRef>
              <c:f>Abaco!$B$59</c:f>
              <c:strCache>
                <c:ptCount val="1"/>
                <c:pt idx="0">
                  <c:v>Ø = 89 mm</c:v>
                </c:pt>
              </c:strCache>
            </c:strRef>
          </c:tx>
          <c:spPr>
            <a:solidFill>
              <a:srgbClr val="98b855"/>
            </a:solidFill>
            <a:ln w="28440">
              <a:solidFill>
                <a:srgbClr val="98b855"/>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Abaco!$L$59:$L$67</c:f>
              <c:numCache>
                <c:formatCode>General</c:formatCode>
                <c:ptCount val="9"/>
                <c:pt idx="0">
                  <c:v>440.23746069517</c:v>
                </c:pt>
                <c:pt idx="1">
                  <c:v>517.077145410768</c:v>
                </c:pt>
                <c:pt idx="2">
                  <c:v>467.328872691185</c:v>
                </c:pt>
                <c:pt idx="3">
                  <c:v>364.705682397396</c:v>
                </c:pt>
                <c:pt idx="4">
                  <c:v>264.170574800713</c:v>
                </c:pt>
                <c:pt idx="5">
                  <c:v>186.904853641744</c:v>
                </c:pt>
                <c:pt idx="6">
                  <c:v>132.752546092061</c:v>
                </c:pt>
                <c:pt idx="7">
                  <c:v>95.6389555598539</c:v>
                </c:pt>
                <c:pt idx="8">
                  <c:v>70.0014682846682</c:v>
                </c:pt>
              </c:numCache>
            </c:numRef>
          </c:yVal>
          <c:smooth val="0"/>
        </c:ser>
        <c:axId val="86477897"/>
        <c:axId val="89495021"/>
      </c:scatterChart>
      <c:valAx>
        <c:axId val="86477897"/>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5357626983"/>
              <c:y val="0.808999721370855"/>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9495021"/>
        <c:crosses val="autoZero"/>
        <c:crossBetween val="midCat"/>
      </c:valAx>
      <c:valAx>
        <c:axId val="89495021"/>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535762698349"/>
              <c:y val="0.0575369183616606"/>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6477897"/>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883346124328"/>
          <c:y val="0.0325996099191975"/>
        </c:manualLayout>
      </c:layout>
      <c:overlay val="0"/>
      <c:spPr>
        <a:noFill/>
        <a:ln w="0">
          <a:noFill/>
        </a:ln>
      </c:spPr>
    </c:title>
    <c:autoTitleDeleted val="0"/>
    <c:plotArea>
      <c:layout>
        <c:manualLayout>
          <c:layoutTarget val="inner"/>
          <c:xMode val="edge"/>
          <c:yMode val="edge"/>
          <c:x val="0.136147352264006"/>
          <c:y val="0.0514070771802731"/>
          <c:w val="0.81350729086723"/>
          <c:h val="0.832404569517972"/>
        </c:manualLayout>
      </c:layout>
      <c:scatterChart>
        <c:scatterStyle val="lineMarker"/>
        <c:varyColors val="0"/>
        <c:ser>
          <c:idx val="0"/>
          <c:order val="0"/>
          <c:tx>
            <c:strRef>
              <c:f>Abaco!$B$41</c:f>
              <c:strCache>
                <c:ptCount val="1"/>
                <c:pt idx="0">
                  <c:v>Ø = 30 mm</c:v>
                </c:pt>
              </c:strCache>
            </c:strRef>
          </c:tx>
          <c:spPr>
            <a:solidFill>
              <a:srgbClr val="4a7ebb"/>
            </a:solidFill>
            <a:ln w="28440">
              <a:solidFill>
                <a:srgbClr val="4a7ebb"/>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Abaco!$M$41:$M$49</c:f>
              <c:numCache>
                <c:formatCode>General</c:formatCode>
                <c:ptCount val="9"/>
                <c:pt idx="0">
                  <c:v>11.3443848613847</c:v>
                </c:pt>
                <c:pt idx="1">
                  <c:v>17.5623206656784</c:v>
                </c:pt>
                <c:pt idx="2">
                  <c:v>14.9597513206045</c:v>
                </c:pt>
                <c:pt idx="3">
                  <c:v>11.6770432746885</c:v>
                </c:pt>
                <c:pt idx="4">
                  <c:v>9.30354133535847</c:v>
                </c:pt>
                <c:pt idx="5">
                  <c:v>7.6630675075539</c:v>
                </c:pt>
                <c:pt idx="6">
                  <c:v>6.49304027785314</c:v>
                </c:pt>
                <c:pt idx="7">
                  <c:v>5.62516747805983</c:v>
                </c:pt>
                <c:pt idx="8">
                  <c:v>4.95870276086787</c:v>
                </c:pt>
              </c:numCache>
            </c:numRef>
          </c:yVal>
          <c:smooth val="0"/>
        </c:ser>
        <c:ser>
          <c:idx val="1"/>
          <c:order val="1"/>
          <c:tx>
            <c:strRef>
              <c:f>Abaco!$B$50</c:f>
              <c:strCache>
                <c:ptCount val="1"/>
                <c:pt idx="0">
                  <c:v>Ø = 59 mm</c:v>
                </c:pt>
              </c:strCache>
            </c:strRef>
          </c:tx>
          <c:spPr>
            <a:solidFill>
              <a:srgbClr val="be4b48"/>
            </a:solidFill>
            <a:ln w="28440">
              <a:solidFill>
                <a:srgbClr val="be4b48"/>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Abaco!$M$50:$M$58</c:f>
              <c:numCache>
                <c:formatCode>General</c:formatCode>
                <c:ptCount val="9"/>
                <c:pt idx="0">
                  <c:v>6.68522980667309</c:v>
                </c:pt>
                <c:pt idx="1">
                  <c:v>11.0907187829891</c:v>
                </c:pt>
                <c:pt idx="2">
                  <c:v>11.462788057173</c:v>
                </c:pt>
                <c:pt idx="3">
                  <c:v>10.2338691892923</c:v>
                </c:pt>
                <c:pt idx="4">
                  <c:v>8.71946977073452</c:v>
                </c:pt>
                <c:pt idx="5">
                  <c:v>7.41132793968108</c:v>
                </c:pt>
                <c:pt idx="6">
                  <c:v>6.37614676506006</c:v>
                </c:pt>
                <c:pt idx="7">
                  <c:v>5.56725477861204</c:v>
                </c:pt>
                <c:pt idx="8">
                  <c:v>4.92850269377165</c:v>
                </c:pt>
              </c:numCache>
            </c:numRef>
          </c:yVal>
          <c:smooth val="0"/>
        </c:ser>
        <c:ser>
          <c:idx val="2"/>
          <c:order val="2"/>
          <c:tx>
            <c:strRef>
              <c:f>Abaco!$B$59</c:f>
              <c:strCache>
                <c:ptCount val="1"/>
                <c:pt idx="0">
                  <c:v>Ø = 89 mm</c:v>
                </c:pt>
              </c:strCache>
            </c:strRef>
          </c:tx>
          <c:spPr>
            <a:solidFill>
              <a:srgbClr val="98b855"/>
            </a:solidFill>
            <a:ln w="28440">
              <a:solidFill>
                <a:srgbClr val="98b855"/>
              </a:solidFill>
              <a:round/>
            </a:ln>
          </c:spP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0.1599</c:v>
                </c:pt>
                <c:pt idx="1">
                  <c:v>0.5099</c:v>
                </c:pt>
                <c:pt idx="2">
                  <c:v>0.8599</c:v>
                </c:pt>
                <c:pt idx="3">
                  <c:v>1.2099</c:v>
                </c:pt>
                <c:pt idx="4">
                  <c:v>1.5599</c:v>
                </c:pt>
                <c:pt idx="5">
                  <c:v>1.9099</c:v>
                </c:pt>
                <c:pt idx="6">
                  <c:v>2.2599</c:v>
                </c:pt>
                <c:pt idx="7">
                  <c:v>2.6099</c:v>
                </c:pt>
                <c:pt idx="8">
                  <c:v>2.9599</c:v>
                </c:pt>
              </c:numCache>
            </c:numRef>
          </c:xVal>
          <c:yVal>
            <c:numRef>
              <c:f>Abaco!$M$59:$M$67</c:f>
              <c:numCache>
                <c:formatCode>General</c:formatCode>
                <c:ptCount val="9"/>
                <c:pt idx="0">
                  <c:v>5.1236481682994</c:v>
                </c:pt>
                <c:pt idx="1">
                  <c:v>8.29383314531066</c:v>
                </c:pt>
                <c:pt idx="2">
                  <c:v>9.16433134035944</c:v>
                </c:pt>
                <c:pt idx="3">
                  <c:v>8.85663557188642</c:v>
                </c:pt>
                <c:pt idx="4">
                  <c:v>8.01094092193648</c:v>
                </c:pt>
                <c:pt idx="5">
                  <c:v>7.06163851356596</c:v>
                </c:pt>
                <c:pt idx="6">
                  <c:v>6.20122104282092</c:v>
                </c:pt>
                <c:pt idx="7">
                  <c:v>5.47689989260838</c:v>
                </c:pt>
                <c:pt idx="8">
                  <c:v>4.88022996818958</c:v>
                </c:pt>
              </c:numCache>
            </c:numRef>
          </c:yVal>
          <c:smooth val="0"/>
        </c:ser>
        <c:axId val="88710311"/>
        <c:axId val="35925633"/>
      </c:scatterChart>
      <c:valAx>
        <c:axId val="88710311"/>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19800460476"/>
              <c:y val="0.808999721370855"/>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5925633"/>
        <c:crosses val="autoZero"/>
        <c:crossBetween val="midCat"/>
      </c:valAx>
      <c:valAx>
        <c:axId val="35925633"/>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5963161934"/>
              <c:y val="0.0575369183616606"/>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8710311"/>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443489676572"/>
          <c:y val="0.0802757393818101"/>
        </c:manualLayout>
      </c:layout>
      <c:overlay val="0"/>
      <c:spPr>
        <a:solidFill>
          <a:srgbClr val="ffffff"/>
        </a:solidFill>
        <a:ln w="25560">
          <a:noFill/>
        </a:ln>
      </c:spPr>
    </c:title>
    <c:autoTitleDeleted val="0"/>
    <c:plotArea>
      <c:layout>
        <c:manualLayout>
          <c:layoutTarget val="inner"/>
          <c:xMode val="edge"/>
          <c:yMode val="edge"/>
          <c:x val="0.0451127819548872"/>
          <c:y val="0.0589281743384479"/>
          <c:w val="0.938775510204082"/>
          <c:h val="0.828329997776295"/>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4.28571428571429</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4.44444444444445</c:v>
                </c:pt>
                <c:pt idx="1">
                  <c:v>7</c:v>
                </c:pt>
              </c:numCache>
            </c:numRef>
          </c:xVal>
          <c:yVal>
            <c:numRef>
              <c:f>Stabilito!$C$197:$C$198</c:f>
              <c:numCache>
                <c:formatCode>General</c:formatCode>
                <c:ptCount val="2"/>
                <c:pt idx="0">
                  <c:v>22.5</c:v>
                </c:pt>
                <c:pt idx="1">
                  <c:v>22.5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3.75</c:v>
                </c:pt>
                <c:pt idx="1">
                  <c:v>3.75</c:v>
                </c:pt>
              </c:numCache>
            </c:numRef>
          </c:xVal>
          <c:yVal>
            <c:numRef>
              <c:f>Stabilito!$C$201:$C$202</c:f>
              <c:numCache>
                <c:formatCode>General</c:formatCode>
                <c:ptCount val="2"/>
                <c:pt idx="0">
                  <c:v>26.6666666666667</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0">
                  <c:v>3.94843001324688</c:v>
                </c:pt>
                <c:pt idx="1">
                  <c:v>3.94843001324688</c:v>
                </c:pt>
                <c:pt idx="2">
                  <c:v>4.17001758949287</c:v>
                </c:pt>
                <c:pt idx="3">
                  <c:v>4.17001758949287</c:v>
                </c:pt>
              </c:numCache>
            </c:numRef>
          </c:xVal>
          <c:yVal>
            <c:numRef>
              <c:f>Stabilito!$C$190:$C$193</c:f>
              <c:numCache>
                <c:formatCode>General</c:formatCode>
                <c:ptCount val="4"/>
                <c:pt idx="0">
                  <c:v>21.4975242818324</c:v>
                </c:pt>
                <c:pt idx="1">
                  <c:v>21.4975242818324</c:v>
                </c:pt>
                <c:pt idx="2">
                  <c:v>21.4975242818324</c:v>
                </c:pt>
                <c:pt idx="3">
                  <c:v>21.4975242818324</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pt idx="0">
                  <c:v>4.17001758949287</c:v>
                </c:pt>
                <c:pt idx="1">
                  <c:v>3.94843001324688</c:v>
                </c:pt>
              </c:numCache>
            </c:numRef>
          </c:xVal>
          <c:yVal>
            <c:numRef>
              <c:f>Stabilito!$C$193:$C$194</c:f>
              <c:numCache>
                <c:formatCode>General</c:formatCode>
                <c:ptCount val="2"/>
                <c:pt idx="0">
                  <c:v>21.4975242818324</c:v>
                </c:pt>
                <c:pt idx="1">
                  <c:v>21.4975242818324</c:v>
                </c:pt>
              </c:numCache>
            </c:numRef>
          </c:yVal>
          <c:smooth val="1"/>
        </c:ser>
        <c:axId val="59919669"/>
        <c:axId val="29223225"/>
      </c:scatterChart>
      <c:valAx>
        <c:axId val="59919669"/>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245494689104"/>
              <c:y val="0.73070936179675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9223225"/>
        <c:crosses val="autoZero"/>
        <c:crossBetween val="midCat"/>
      </c:valAx>
      <c:valAx>
        <c:axId val="29223225"/>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89819787564149"/>
              <c:y val="0.240382477207027"/>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59919669"/>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99479449084"/>
          <c:y val="0.0386190754827384"/>
        </c:manualLayout>
      </c:layout>
      <c:overlay val="0"/>
      <c:spPr>
        <a:noFill/>
        <a:ln w="25560">
          <a:noFill/>
        </a:ln>
      </c:spPr>
    </c:title>
    <c:autoTitleDeleted val="0"/>
    <c:plotArea>
      <c:layout>
        <c:manualLayout>
          <c:layoutTarget val="inner"/>
          <c:xMode val="edge"/>
          <c:yMode val="edge"/>
          <c:x val="0.0697321331742761"/>
          <c:y val="0.0355763604447045"/>
          <c:w val="0.896757401583342"/>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315.77942584937</c:v>
                </c:pt>
              </c:numCache>
            </c:numRef>
          </c:xVal>
          <c:yVal>
            <c:numRef>
              <c:f>Trajecto!$C$118</c:f>
              <c:numCache>
                <c:formatCode>General</c:formatCode>
                <c:ptCount val="1"/>
                <c:pt idx="0">
                  <c:v>315.77942584937</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9.80288560926065</c:v>
                </c:pt>
                <c:pt idx="200">
                  <c:v>25.589879140064</c:v>
                </c:pt>
                <c:pt idx="210">
                  <c:v>40.6191833892532</c:v>
                </c:pt>
                <c:pt idx="220">
                  <c:v>55.0537182852011</c:v>
                </c:pt>
                <c:pt idx="230">
                  <c:v>69.0319433074777</c:v>
                </c:pt>
                <c:pt idx="240">
                  <c:v>82.6697015819911</c:v>
                </c:pt>
                <c:pt idx="250">
                  <c:v>96.0642893492522</c:v>
                </c:pt>
                <c:pt idx="260">
                  <c:v>109.29191186161</c:v>
                </c:pt>
                <c:pt idx="270">
                  <c:v>122.391202412443</c:v>
                </c:pt>
                <c:pt idx="280">
                  <c:v>135.344864876434</c:v>
                </c:pt>
                <c:pt idx="290">
                  <c:v>148.096688168197</c:v>
                </c:pt>
                <c:pt idx="300">
                  <c:v>160.578787393525</c:v>
                </c:pt>
                <c:pt idx="310">
                  <c:v>172.724356247625</c:v>
                </c:pt>
                <c:pt idx="320">
                  <c:v>184.47283421876</c:v>
                </c:pt>
                <c:pt idx="330">
                  <c:v>195.772388166001</c:v>
                </c:pt>
                <c:pt idx="340">
                  <c:v>206.581117346653</c:v>
                </c:pt>
              </c:numCache>
            </c:numRef>
          </c:xVal>
          <c:yVal>
            <c:numRef>
              <c:f>Calculs!$K$4:$K$1004</c:f>
              <c:numCache>
                <c:formatCode>General</c:formatCode>
                <c:ptCount val="1001"/>
                <c:pt idx="0">
                  <c:v>0</c:v>
                </c:pt>
                <c:pt idx="1">
                  <c:v>0.00149761157315366</c:v>
                </c:pt>
                <c:pt idx="2">
                  <c:v>0.00994086543666655</c:v>
                </c:pt>
                <c:pt idx="3">
                  <c:v>0.0309449661824849</c:v>
                </c:pt>
                <c:pt idx="4">
                  <c:v>0.0655473254807626</c:v>
                </c:pt>
                <c:pt idx="5">
                  <c:v>0.112794928389273</c:v>
                </c:pt>
                <c:pt idx="6">
                  <c:v>0.172339135868416</c:v>
                </c:pt>
                <c:pt idx="7">
                  <c:v>0.244133794910506</c:v>
                </c:pt>
                <c:pt idx="8">
                  <c:v>0.328132439080203</c:v>
                </c:pt>
                <c:pt idx="9">
                  <c:v>0.424288290701774</c:v>
                </c:pt>
                <c:pt idx="10">
                  <c:v>0.532554263071725</c:v>
                </c:pt>
                <c:pt idx="11">
                  <c:v>0.652882962696385</c:v>
                </c:pt>
                <c:pt idx="12">
                  <c:v>0.785226691554009</c:v>
                </c:pt>
                <c:pt idx="13">
                  <c:v>0.92953744938099</c:v>
                </c:pt>
                <c:pt idx="14">
                  <c:v>1.08576693598176</c:v>
                </c:pt>
                <c:pt idx="15">
                  <c:v>1.2538665535619</c:v>
                </c:pt>
                <c:pt idx="16">
                  <c:v>1.43378740908412</c:v>
                </c:pt>
                <c:pt idx="17">
                  <c:v>1.62548031664655</c:v>
                </c:pt>
                <c:pt idx="18">
                  <c:v>1.82889579988301</c:v>
                </c:pt>
                <c:pt idx="19">
                  <c:v>2.04398409438469</c:v>
                </c:pt>
                <c:pt idx="20">
                  <c:v>2.27069515014293</c:v>
                </c:pt>
                <c:pt idx="21">
                  <c:v>2.50897863401254</c:v>
                </c:pt>
                <c:pt idx="22">
                  <c:v>2.75876913185433</c:v>
                </c:pt>
                <c:pt idx="23">
                  <c:v>3.02000024285186</c:v>
                </c:pt>
                <c:pt idx="24">
                  <c:v>3.29261940370578</c:v>
                </c:pt>
                <c:pt idx="25">
                  <c:v>3.57657382859159</c:v>
                </c:pt>
                <c:pt idx="26">
                  <c:v>3.87181051756387</c:v>
                </c:pt>
                <c:pt idx="27">
                  <c:v>4.17827625525355</c:v>
                </c:pt>
                <c:pt idx="28">
                  <c:v>4.4959176100076</c:v>
                </c:pt>
                <c:pt idx="29">
                  <c:v>4.8246809334096</c:v>
                </c:pt>
                <c:pt idx="30">
                  <c:v>5.16451236013052</c:v>
                </c:pt>
                <c:pt idx="31">
                  <c:v>5.51535780806741</c:v>
                </c:pt>
                <c:pt idx="32">
                  <c:v>5.87716297873451</c:v>
                </c:pt>
                <c:pt idx="33">
                  <c:v>6.24987335787673</c:v>
                </c:pt>
                <c:pt idx="34">
                  <c:v>6.63343421628008</c:v>
                </c:pt>
                <c:pt idx="35">
                  <c:v>7.02779061075713</c:v>
                </c:pt>
                <c:pt idx="36">
                  <c:v>7.43288738528883</c:v>
                </c:pt>
                <c:pt idx="37">
                  <c:v>7.84866917230639</c:v>
                </c:pt>
                <c:pt idx="38">
                  <c:v>8.27508039409912</c:v>
                </c:pt>
                <c:pt idx="39">
                  <c:v>8.71206526433602</c:v>
                </c:pt>
                <c:pt idx="40">
                  <c:v>9.15956778969014</c:v>
                </c:pt>
                <c:pt idx="41">
                  <c:v>9.61753177155636</c:v>
                </c:pt>
                <c:pt idx="42">
                  <c:v>10.085900807854</c:v>
                </c:pt>
                <c:pt idx="43">
                  <c:v>10.5646182949072</c:v>
                </c:pt>
                <c:pt idx="44">
                  <c:v>11.0536274293952</c:v>
                </c:pt>
                <c:pt idx="45">
                  <c:v>11.552871210369</c:v>
                </c:pt>
                <c:pt idx="46">
                  <c:v>12.0622924413253</c:v>
                </c:pt>
                <c:pt idx="47">
                  <c:v>12.5818337323372</c:v>
                </c:pt>
                <c:pt idx="48">
                  <c:v>13.1114375022334</c:v>
                </c:pt>
                <c:pt idx="49">
                  <c:v>13.6510459808248</c:v>
                </c:pt>
                <c:pt idx="50">
                  <c:v>14.2006012111725</c:v>
                </c:pt>
                <c:pt idx="51">
                  <c:v>14.7600450518965</c:v>
                </c:pt>
                <c:pt idx="52">
                  <c:v>15.3293191795192</c:v>
                </c:pt>
                <c:pt idx="53">
                  <c:v>15.9083650908437</c:v>
                </c:pt>
                <c:pt idx="54">
                  <c:v>16.4971241053613</c:v>
                </c:pt>
                <c:pt idx="55">
                  <c:v>17.0955373676895</c:v>
                </c:pt>
                <c:pt idx="56">
                  <c:v>17.7035458500344</c:v>
                </c:pt>
                <c:pt idx="57">
                  <c:v>18.3210903546783</c:v>
                </c:pt>
                <c:pt idx="58">
                  <c:v>18.9481115164897</c:v>
                </c:pt>
                <c:pt idx="59">
                  <c:v>19.5845498054528</c:v>
                </c:pt>
                <c:pt idx="60">
                  <c:v>20.2303455292171</c:v>
                </c:pt>
                <c:pt idx="61">
                  <c:v>20.8854388356633</c:v>
                </c:pt>
                <c:pt idx="62">
                  <c:v>21.5497697154852</c:v>
                </c:pt>
                <c:pt idx="63">
                  <c:v>22.2232511580769</c:v>
                </c:pt>
                <c:pt idx="64">
                  <c:v>22.9057422793436</c:v>
                </c:pt>
                <c:pt idx="65">
                  <c:v>23.5970751444598</c:v>
                </c:pt>
                <c:pt idx="66">
                  <c:v>24.297081622634</c:v>
                </c:pt>
                <c:pt idx="67">
                  <c:v>25.005568764452</c:v>
                </c:pt>
                <c:pt idx="68">
                  <c:v>25.7222941592072</c:v>
                </c:pt>
                <c:pt idx="69">
                  <c:v>26.4469467340393</c:v>
                </c:pt>
                <c:pt idx="70">
                  <c:v>27.1791275513389</c:v>
                </c:pt>
                <c:pt idx="71">
                  <c:v>27.9183936510392</c:v>
                </c:pt>
                <c:pt idx="72">
                  <c:v>28.6643019319154</c:v>
                </c:pt>
                <c:pt idx="73">
                  <c:v>29.4164091961913</c:v>
                </c:pt>
                <c:pt idx="74">
                  <c:v>30.1742721933886</c:v>
                </c:pt>
                <c:pt idx="75">
                  <c:v>30.9374476634028</c:v>
                </c:pt>
                <c:pt idx="76">
                  <c:v>31.7054923787871</c:v>
                </c:pt>
                <c:pt idx="77">
                  <c:v>32.4779631862312</c:v>
                </c:pt>
                <c:pt idx="78">
                  <c:v>33.2544170472194</c:v>
                </c:pt>
                <c:pt idx="79">
                  <c:v>34.0344110778551</c:v>
                </c:pt>
                <c:pt idx="80">
                  <c:v>34.8175025878409</c:v>
                </c:pt>
                <c:pt idx="81">
                  <c:v>35.6033013345865</c:v>
                </c:pt>
                <c:pt idx="82">
                  <c:v>36.3915217448462</c:v>
                </c:pt>
                <c:pt idx="83">
                  <c:v>37.1819306492936</c:v>
                </c:pt>
                <c:pt idx="84">
                  <c:v>37.9742950357498</c:v>
                </c:pt>
                <c:pt idx="85">
                  <c:v>38.7683820599819</c:v>
                </c:pt>
                <c:pt idx="86">
                  <c:v>39.563959056254</c:v>
                </c:pt>
                <c:pt idx="87">
                  <c:v>40.3607935476303</c:v>
                </c:pt>
                <c:pt idx="88">
                  <c:v>41.1586532560274</c:v>
                </c:pt>
                <c:pt idx="89">
                  <c:v>41.9573226144923</c:v>
                </c:pt>
                <c:pt idx="90">
                  <c:v>42.7566192634275</c:v>
                </c:pt>
                <c:pt idx="91">
                  <c:v>43.5563775226215</c:v>
                </c:pt>
                <c:pt idx="92">
                  <c:v>44.3564318767097</c:v>
                </c:pt>
                <c:pt idx="93">
                  <c:v>45.1566211060552</c:v>
                </c:pt>
                <c:pt idx="94">
                  <c:v>45.9567924130316</c:v>
                </c:pt>
                <c:pt idx="95">
                  <c:v>46.7567972907362</c:v>
                </c:pt>
                <c:pt idx="96">
                  <c:v>47.5564873956476</c:v>
                </c:pt>
                <c:pt idx="97">
                  <c:v>48.3557310564116</c:v>
                </c:pt>
                <c:pt idx="98">
                  <c:v>49.1544297628562</c:v>
                </c:pt>
                <c:pt idx="99">
                  <c:v>49.9525016237902</c:v>
                </c:pt>
                <c:pt idx="100">
                  <c:v>50.749864843289</c:v>
                </c:pt>
                <c:pt idx="101">
                  <c:v>51.5464377214809</c:v>
                </c:pt>
                <c:pt idx="102">
                  <c:v>52.3421386553031</c:v>
                </c:pt>
                <c:pt idx="103">
                  <c:v>53.136886139228</c:v>
                </c:pt>
                <c:pt idx="104">
                  <c:v>53.930598765958</c:v>
                </c:pt>
                <c:pt idx="105">
                  <c:v>54.7231952270908</c:v>
                </c:pt>
                <c:pt idx="106">
                  <c:v>55.5145943137544</c:v>
                </c:pt>
                <c:pt idx="107">
                  <c:v>56.3047149172125</c:v>
                </c:pt>
                <c:pt idx="108">
                  <c:v>57.0934760294402</c:v>
                </c:pt>
                <c:pt idx="109">
                  <c:v>57.8808173678719</c:v>
                </c:pt>
                <c:pt idx="110">
                  <c:v>58.6667199721302</c:v>
                </c:pt>
                <c:pt idx="111">
                  <c:v>59.4511855264254</c:v>
                </c:pt>
                <c:pt idx="112">
                  <c:v>60.2342157097029</c:v>
                </c:pt>
                <c:pt idx="113">
                  <c:v>61.0158121956622</c:v>
                </c:pt>
                <c:pt idx="114">
                  <c:v>61.7959766527747</c:v>
                </c:pt>
                <c:pt idx="115">
                  <c:v>62.5747107443026</c:v>
                </c:pt>
                <c:pt idx="116">
                  <c:v>63.352016128317</c:v>
                </c:pt>
                <c:pt idx="117">
                  <c:v>64.1278944577163</c:v>
                </c:pt>
                <c:pt idx="118">
                  <c:v>64.9023473802442</c:v>
                </c:pt>
                <c:pt idx="119">
                  <c:v>65.6753765385076</c:v>
                </c:pt>
                <c:pt idx="120">
                  <c:v>66.4469835699949</c:v>
                </c:pt>
                <c:pt idx="121">
                  <c:v>67.2171701070938</c:v>
                </c:pt>
                <c:pt idx="122">
                  <c:v>67.9859377771088</c:v>
                </c:pt>
                <c:pt idx="123">
                  <c:v>68.7532882022793</c:v>
                </c:pt>
                <c:pt idx="124">
                  <c:v>69.519222999797</c:v>
                </c:pt>
                <c:pt idx="125">
                  <c:v>70.2837437818233</c:v>
                </c:pt>
                <c:pt idx="126">
                  <c:v>71.0468521555073</c:v>
                </c:pt>
                <c:pt idx="127">
                  <c:v>71.8085497230025</c:v>
                </c:pt>
                <c:pt idx="128">
                  <c:v>72.5688380814847</c:v>
                </c:pt>
                <c:pt idx="129">
                  <c:v>73.3277188231688</c:v>
                </c:pt>
                <c:pt idx="130">
                  <c:v>74.085193535326</c:v>
                </c:pt>
                <c:pt idx="131">
                  <c:v>74.8412638003011</c:v>
                </c:pt>
                <c:pt idx="132">
                  <c:v>75.5959311955291</c:v>
                </c:pt>
                <c:pt idx="133">
                  <c:v>76.3491972935525</c:v>
                </c:pt>
                <c:pt idx="134">
                  <c:v>77.1010636620376</c:v>
                </c:pt>
                <c:pt idx="135">
                  <c:v>77.8515318637919</c:v>
                </c:pt>
                <c:pt idx="136">
                  <c:v>78.6006034567801</c:v>
                </c:pt>
                <c:pt idx="137">
                  <c:v>79.348279994141</c:v>
                </c:pt>
                <c:pt idx="138">
                  <c:v>80.0945630242041</c:v>
                </c:pt>
                <c:pt idx="139">
                  <c:v>80.8394540905058</c:v>
                </c:pt>
                <c:pt idx="140">
                  <c:v>81.5829547318057</c:v>
                </c:pt>
                <c:pt idx="141">
                  <c:v>82.3250664821031</c:v>
                </c:pt>
                <c:pt idx="142">
                  <c:v>83.0657908706532</c:v>
                </c:pt>
                <c:pt idx="143">
                  <c:v>83.805129421983</c:v>
                </c:pt>
                <c:pt idx="144">
                  <c:v>84.5430836559073</c:v>
                </c:pt>
                <c:pt idx="145">
                  <c:v>85.279655087545</c:v>
                </c:pt>
                <c:pt idx="146">
                  <c:v>86.0148452273348</c:v>
                </c:pt>
                <c:pt idx="147">
                  <c:v>86.7486555810509</c:v>
                </c:pt>
                <c:pt idx="148">
                  <c:v>87.4810876498189</c:v>
                </c:pt>
                <c:pt idx="149">
                  <c:v>88.2121429301315</c:v>
                </c:pt>
                <c:pt idx="150">
                  <c:v>88.9418229138639</c:v>
                </c:pt>
                <c:pt idx="151">
                  <c:v>89.6701290882897</c:v>
                </c:pt>
                <c:pt idx="152">
                  <c:v>90.3970629360958</c:v>
                </c:pt>
                <c:pt idx="153">
                  <c:v>91.1226259353983</c:v>
                </c:pt>
                <c:pt idx="154">
                  <c:v>91.8468195597576</c:v>
                </c:pt>
                <c:pt idx="155">
                  <c:v>92.5696452781936</c:v>
                </c:pt>
                <c:pt idx="156">
                  <c:v>93.2911045552008</c:v>
                </c:pt>
                <c:pt idx="157">
                  <c:v>94.0111988507638</c:v>
                </c:pt>
                <c:pt idx="158">
                  <c:v>94.7299296203718</c:v>
                </c:pt>
                <c:pt idx="159">
                  <c:v>95.4472983150339</c:v>
                </c:pt>
                <c:pt idx="160">
                  <c:v>96.1633063812938</c:v>
                </c:pt>
                <c:pt idx="161">
                  <c:v>96.8779552612449</c:v>
                </c:pt>
                <c:pt idx="162">
                  <c:v>97.5912463925448</c:v>
                </c:pt>
                <c:pt idx="163">
                  <c:v>98.3031812084299</c:v>
                </c:pt>
                <c:pt idx="164">
                  <c:v>99.0137611377304</c:v>
                </c:pt>
                <c:pt idx="165">
                  <c:v>99.7229876048845</c:v>
                </c:pt>
                <c:pt idx="166">
                  <c:v>100.430862029953</c:v>
                </c:pt>
                <c:pt idx="167">
                  <c:v>101.137385828634</c:v>
                </c:pt>
                <c:pt idx="168">
                  <c:v>101.842560412277</c:v>
                </c:pt>
                <c:pt idx="169">
                  <c:v>102.546387187896</c:v>
                </c:pt>
                <c:pt idx="170">
                  <c:v>103.248867558187</c:v>
                </c:pt>
                <c:pt idx="171">
                  <c:v>103.950002921538</c:v>
                </c:pt>
                <c:pt idx="172">
                  <c:v>104.649794672047</c:v>
                </c:pt>
                <c:pt idx="173">
                  <c:v>105.348244199532</c:v>
                </c:pt>
                <c:pt idx="174">
                  <c:v>106.04535288955</c:v>
                </c:pt>
                <c:pt idx="175">
                  <c:v>106.741122123405</c:v>
                </c:pt>
                <c:pt idx="176">
                  <c:v>107.435553278166</c:v>
                </c:pt>
                <c:pt idx="177">
                  <c:v>108.128647726681</c:v>
                </c:pt>
                <c:pt idx="178">
                  <c:v>108.820406837588</c:v>
                </c:pt>
                <c:pt idx="179">
                  <c:v>109.51083197533</c:v>
                </c:pt>
                <c:pt idx="180">
                  <c:v>110.199924500169</c:v>
                </c:pt>
                <c:pt idx="181">
                  <c:v>110.887685768199</c:v>
                </c:pt>
                <c:pt idx="182">
                  <c:v>111.574117131359</c:v>
                </c:pt>
                <c:pt idx="183">
                  <c:v>112.259219937448</c:v>
                </c:pt>
                <c:pt idx="184">
                  <c:v>112.942995530137</c:v>
                </c:pt>
                <c:pt idx="185">
                  <c:v>113.625445248982</c:v>
                </c:pt>
                <c:pt idx="186">
                  <c:v>114.306570429438</c:v>
                </c:pt>
                <c:pt idx="187">
                  <c:v>114.986372402872</c:v>
                </c:pt>
                <c:pt idx="188">
                  <c:v>115.664852496577</c:v>
                </c:pt>
                <c:pt idx="189">
                  <c:v>116.342012033783</c:v>
                </c:pt>
                <c:pt idx="190">
                  <c:v>117.017852333672</c:v>
                </c:pt>
                <c:pt idx="191">
                  <c:v>117.692374711388</c:v>
                </c:pt>
                <c:pt idx="192">
                  <c:v>118.365580478055</c:v>
                </c:pt>
                <c:pt idx="193">
                  <c:v>119.037470940784</c:v>
                </c:pt>
                <c:pt idx="194">
                  <c:v>119.70804740269</c:v>
                </c:pt>
                <c:pt idx="195">
                  <c:v>120.377311162903</c:v>
                </c:pt>
                <c:pt idx="196">
                  <c:v>121.045263516579</c:v>
                </c:pt>
                <c:pt idx="197">
                  <c:v>121.711905754917</c:v>
                </c:pt>
                <c:pt idx="198">
                  <c:v>122.377239165167</c:v>
                </c:pt>
                <c:pt idx="199">
                  <c:v>123.041265030645</c:v>
                </c:pt>
                <c:pt idx="200">
                  <c:v>123.703984630745</c:v>
                </c:pt>
                <c:pt idx="201">
                  <c:v>130.259434842014</c:v>
                </c:pt>
                <c:pt idx="202">
                  <c:v>136.685078590675</c:v>
                </c:pt>
                <c:pt idx="203">
                  <c:v>142.982154502811</c:v>
                </c:pt>
                <c:pt idx="204">
                  <c:v>149.151863640917</c:v>
                </c:pt>
                <c:pt idx="205">
                  <c:v>155.195370648685</c:v>
                </c:pt>
                <c:pt idx="206">
                  <c:v>161.11380484575</c:v>
                </c:pt>
                <c:pt idx="207">
                  <c:v>166.908261274865</c:v>
                </c:pt>
                <c:pt idx="208">
                  <c:v>172.579801703789</c:v>
                </c:pt>
                <c:pt idx="209">
                  <c:v>178.129455584094</c:v>
                </c:pt>
                <c:pt idx="210">
                  <c:v>183.558220968917</c:v>
                </c:pt>
                <c:pt idx="211">
                  <c:v>188.867065391609</c:v>
                </c:pt>
                <c:pt idx="212">
                  <c:v>194.056926707098</c:v>
                </c:pt>
                <c:pt idx="213">
                  <c:v>199.128713897703</c:v>
                </c:pt>
                <c:pt idx="214">
                  <c:v>204.083307845015</c:v>
                </c:pt>
                <c:pt idx="215">
                  <c:v>208.92156206941</c:v>
                </c:pt>
                <c:pt idx="216">
                  <c:v>213.644303438631</c:v>
                </c:pt>
                <c:pt idx="217">
                  <c:v>218.252332846838</c:v>
                </c:pt>
                <c:pt idx="218">
                  <c:v>222.746425865443</c:v>
                </c:pt>
                <c:pt idx="219">
                  <c:v>227.127333366955</c:v>
                </c:pt>
                <c:pt idx="220">
                  <c:v>231.395782123044</c:v>
                </c:pt>
                <c:pt idx="221">
                  <c:v>235.552475377935</c:v>
                </c:pt>
                <c:pt idx="222">
                  <c:v>239.598093398214</c:v>
                </c:pt>
                <c:pt idx="223">
                  <c:v>243.533294000073</c:v>
                </c:pt>
                <c:pt idx="224">
                  <c:v>247.358713054975</c:v>
                </c:pt>
                <c:pt idx="225">
                  <c:v>251.074964974691</c:v>
                </c:pt>
                <c:pt idx="226">
                  <c:v>254.682643176604</c:v>
                </c:pt>
                <c:pt idx="227">
                  <c:v>258.182320530185</c:v>
                </c:pt>
                <c:pt idx="228">
                  <c:v>261.574549785476</c:v>
                </c:pt>
                <c:pt idx="229">
                  <c:v>264.859863984431</c:v>
                </c:pt>
                <c:pt idx="230">
                  <c:v>268.038776855943</c:v>
                </c:pt>
                <c:pt idx="231">
                  <c:v>271.111783195368</c:v>
                </c:pt>
                <c:pt idx="232">
                  <c:v>274.079359229376</c:v>
                </c:pt>
                <c:pt idx="233">
                  <c:v>276.941962966974</c:v>
                </c:pt>
                <c:pt idx="234">
                  <c:v>279.700034537537</c:v>
                </c:pt>
                <c:pt idx="235">
                  <c:v>282.353996516769</c:v>
                </c:pt>
                <c:pt idx="236">
                  <c:v>284.904254241518</c:v>
                </c:pt>
                <c:pt idx="237">
                  <c:v>287.351196114468</c:v>
                </c:pt>
                <c:pt idx="238">
                  <c:v>289.695193899829</c:v>
                </c:pt>
                <c:pt idx="239">
                  <c:v>291.936603011229</c:v>
                </c:pt>
                <c:pt idx="240">
                  <c:v>294.075762793215</c:v>
                </c:pt>
                <c:pt idx="241">
                  <c:v>296.11299679793</c:v>
                </c:pt>
                <c:pt idx="242">
                  <c:v>298.048613058807</c:v>
                </c:pt>
                <c:pt idx="243">
                  <c:v>299.882904363398</c:v>
                </c:pt>
                <c:pt idx="244">
                  <c:v>301.61614852789</c:v>
                </c:pt>
                <c:pt idx="245">
                  <c:v>303.24860867629</c:v>
                </c:pt>
                <c:pt idx="246">
                  <c:v>304.780533527887</c:v>
                </c:pt>
                <c:pt idx="247">
                  <c:v>306.212157697298</c:v>
                </c:pt>
                <c:pt idx="248">
                  <c:v>307.543702012255</c:v>
                </c:pt>
                <c:pt idx="249">
                  <c:v>308.775373855343</c:v>
                </c:pt>
                <c:pt idx="250">
                  <c:v>309.907367537041</c:v>
                </c:pt>
                <c:pt idx="251">
                  <c:v>310.939864708734</c:v>
                </c:pt>
                <c:pt idx="252">
                  <c:v>311.873034825793</c:v>
                </c:pt>
                <c:pt idx="253">
                  <c:v>312.707035672151</c:v>
                </c:pt>
                <c:pt idx="254">
                  <c:v>313.442013959001</c:v>
                </c:pt>
                <c:pt idx="255">
                  <c:v>314.078106010923</c:v>
                </c:pt>
                <c:pt idx="256">
                  <c:v>314.615438552569</c:v>
                </c:pt>
                <c:pt idx="257">
                  <c:v>315.054129607607</c:v>
                </c:pt>
                <c:pt idx="258">
                  <c:v>315.394289518347</c:v>
                </c:pt>
                <c:pt idx="259">
                  <c:v>315.636022089161</c:v>
                </c:pt>
                <c:pt idx="260">
                  <c:v>315.77942584937</c:v>
                </c:pt>
                <c:pt idx="261">
                  <c:v>315.824595422082</c:v>
                </c:pt>
                <c:pt idx="262">
                  <c:v>315.771622975766</c:v>
                </c:pt>
                <c:pt idx="263">
                  <c:v>315.620599726499</c:v>
                </c:pt>
                <c:pt idx="264">
                  <c:v>315.37161745262</c:v>
                </c:pt>
                <c:pt idx="265">
                  <c:v>315.024769981269</c:v>
                </c:pt>
                <c:pt idx="266">
                  <c:v>314.58015460848</c:v>
                </c:pt>
                <c:pt idx="267">
                  <c:v>314.037873420721</c:v>
                </c:pt>
                <c:pt idx="268">
                  <c:v>313.398034494531</c:v>
                </c:pt>
                <c:pt idx="269">
                  <c:v>312.660752960771</c:v>
                </c:pt>
                <c:pt idx="270">
                  <c:v>311.826151929127</c:v>
                </c:pt>
                <c:pt idx="271">
                  <c:v>310.894363276055</c:v>
                </c:pt>
                <c:pt idx="272">
                  <c:v>309.865528304702</c:v>
                </c:pt>
                <c:pt idx="273">
                  <c:v>308.739798288604</c:v>
                </c:pt>
                <c:pt idx="274">
                  <c:v>307.517334912389</c:v>
                </c:pt>
                <c:pt idx="275">
                  <c:v>306.198310622879</c:v>
                </c:pt>
                <c:pt idx="276">
                  <c:v>304.782908903259</c:v>
                </c:pt>
                <c:pt idx="277">
                  <c:v>303.271324481749</c:v>
                </c:pt>
                <c:pt idx="278">
                  <c:v>301.663763484855</c:v>
                </c:pt>
                <c:pt idx="279">
                  <c:v>299.960443543796</c:v>
                </c:pt>
                <c:pt idx="280">
                  <c:v>298.1615938614</c:v>
                </c:pt>
                <c:pt idx="281">
                  <c:v>296.267455245539</c:v>
                </c:pt>
                <c:pt idx="282">
                  <c:v>294.278280114138</c:v>
                </c:pt>
                <c:pt idx="283">
                  <c:v>292.194332475928</c:v>
                </c:pt>
                <c:pt idx="284">
                  <c:v>290.015887890361</c:v>
                </c:pt>
                <c:pt idx="285">
                  <c:v>287.743233409507</c:v>
                </c:pt>
                <c:pt idx="286">
                  <c:v>285.376667504276</c:v>
                </c:pt>
                <c:pt idx="287">
                  <c:v>282.916499976872</c:v>
                </c:pt>
                <c:pt idx="288">
                  <c:v>280.363051861099</c:v>
                </c:pt>
                <c:pt idx="289">
                  <c:v>277.716655311842</c:v>
                </c:pt>
                <c:pt idx="290">
                  <c:v>274.977653484862</c:v>
                </c:pt>
                <c:pt idx="291">
                  <c:v>272.146400407841</c:v>
                </c:pt>
                <c:pt idx="292">
                  <c:v>269.223260843513</c:v>
                </c:pt>
                <c:pt idx="293">
                  <c:v>266.208610145553</c:v>
                </c:pt>
                <c:pt idx="294">
                  <c:v>263.102834107855</c:v>
                </c:pt>
                <c:pt idx="295">
                  <c:v>259.906328807727</c:v>
                </c:pt>
                <c:pt idx="296">
                  <c:v>256.619500443462</c:v>
                </c:pt>
                <c:pt idx="297">
                  <c:v>253.242765166734</c:v>
                </c:pt>
                <c:pt idx="298">
                  <c:v>249.776548910171</c:v>
                </c:pt>
                <c:pt idx="299">
                  <c:v>246.221287210483</c:v>
                </c:pt>
                <c:pt idx="300">
                  <c:v>242.577425027439</c:v>
                </c:pt>
                <c:pt idx="301">
                  <c:v>238.845416559016</c:v>
                </c:pt>
                <c:pt idx="302">
                  <c:v>235.025725052977</c:v>
                </c:pt>
                <c:pt idx="303">
                  <c:v>231.11882261515</c:v>
                </c:pt>
                <c:pt idx="304">
                  <c:v>227.125190014666</c:v>
                </c:pt>
                <c:pt idx="305">
                  <c:v>223.045316486372</c:v>
                </c:pt>
                <c:pt idx="306">
                  <c:v>218.879699530671</c:v>
                </c:pt>
                <c:pt idx="307">
                  <c:v>214.628844710986</c:v>
                </c:pt>
                <c:pt idx="308">
                  <c:v>210.293265449077</c:v>
                </c:pt>
                <c:pt idx="309">
                  <c:v>205.873482818408</c:v>
                </c:pt>
                <c:pt idx="310">
                  <c:v>201.370025335761</c:v>
                </c:pt>
                <c:pt idx="311">
                  <c:v>196.783428751304</c:v>
                </c:pt>
                <c:pt idx="312">
                  <c:v>192.114235837282</c:v>
                </c:pt>
                <c:pt idx="313">
                  <c:v>187.362996175533</c:v>
                </c:pt>
                <c:pt idx="314">
                  <c:v>182.530265944007</c:v>
                </c:pt>
                <c:pt idx="315">
                  <c:v>177.616607702456</c:v>
                </c:pt>
                <c:pt idx="316">
                  <c:v>172.622590177472</c:v>
                </c:pt>
                <c:pt idx="317">
                  <c:v>167.548788047049</c:v>
                </c:pt>
                <c:pt idx="318">
                  <c:v>162.395781724827</c:v>
                </c:pt>
                <c:pt idx="319">
                  <c:v>157.164157144174</c:v>
                </c:pt>
                <c:pt idx="320">
                  <c:v>151.854505542285</c:v>
                </c:pt>
                <c:pt idx="321">
                  <c:v>146.467423244423</c:v>
                </c:pt>
                <c:pt idx="322">
                  <c:v>141.003511448485</c:v>
                </c:pt>
                <c:pt idx="323">
                  <c:v>135.463376010014</c:v>
                </c:pt>
                <c:pt idx="324">
                  <c:v>129.847627227815</c:v>
                </c:pt>
                <c:pt idx="325">
                  <c:v>124.156879630311</c:v>
                </c:pt>
                <c:pt idx="326">
                  <c:v>118.391751762781</c:v>
                </c:pt>
                <c:pt idx="327">
                  <c:v>112.5528659756</c:v>
                </c:pt>
                <c:pt idx="328">
                  <c:v>106.640848213625</c:v>
                </c:pt>
                <c:pt idx="329">
                  <c:v>100.656327806845</c:v>
                </c:pt>
                <c:pt idx="330">
                  <c:v>94.5999372624113</c:v>
                </c:pt>
                <c:pt idx="331">
                  <c:v>88.4723120581828</c:v>
                </c:pt>
                <c:pt idx="332">
                  <c:v>82.2740904378779</c:v>
                </c:pt>
                <c:pt idx="333">
                  <c:v>76.0059132079617</c:v>
                </c:pt>
                <c:pt idx="334">
                  <c:v>69.6684235363634</c:v>
                </c:pt>
                <c:pt idx="335">
                  <c:v>63.2622667531313</c:v>
                </c:pt>
                <c:pt idx="336">
                  <c:v>56.788090153121</c:v>
                </c:pt>
                <c:pt idx="337">
                  <c:v>50.2465428008116</c:v>
                </c:pt>
                <c:pt idx="338">
                  <c:v>43.6382753373412</c:v>
                </c:pt>
                <c:pt idx="339">
                  <c:v>36.9639397898459</c:v>
                </c:pt>
                <c:pt idx="340">
                  <c:v>30.2241893831857</c:v>
                </c:pt>
                <c:pt idx="341">
                  <c:v>23.4196783541361</c:v>
                </c:pt>
                <c:pt idx="342">
                  <c:v>16.5510617681181</c:v>
                </c:pt>
                <c:pt idx="343">
                  <c:v>9.6189953385379</c:v>
                </c:pt>
                <c:pt idx="344">
                  <c:v>2.62413524880365</c:v>
                </c:pt>
                <c:pt idx="345">
                  <c:v>-4.43286202292057</c:v>
                </c:pt>
                <c:pt idx="346">
                  <c:v>-4.43994995521391</c:v>
                </c:pt>
                <c:pt idx="347">
                  <c:v>-4.44703794865919</c:v>
                </c:pt>
                <c:pt idx="348">
                  <c:v>-4.45412600325577</c:v>
                </c:pt>
                <c:pt idx="349">
                  <c:v>-4.46121411900298</c:v>
                </c:pt>
                <c:pt idx="350">
                  <c:v>-4.46830229590018</c:v>
                </c:pt>
                <c:pt idx="351">
                  <c:v>-4.47539053394671</c:v>
                </c:pt>
                <c:pt idx="352">
                  <c:v>-4.48247883314192</c:v>
                </c:pt>
                <c:pt idx="353">
                  <c:v>-4.48956719348516</c:v>
                </c:pt>
                <c:pt idx="354">
                  <c:v>-4.49665561497577</c:v>
                </c:pt>
                <c:pt idx="355">
                  <c:v>-4.5037440976131</c:v>
                </c:pt>
                <c:pt idx="356">
                  <c:v>-4.5108326413965</c:v>
                </c:pt>
                <c:pt idx="357">
                  <c:v>-4.51792124632531</c:v>
                </c:pt>
                <c:pt idx="358">
                  <c:v>-4.52500991239888</c:v>
                </c:pt>
                <c:pt idx="359">
                  <c:v>-4.53209863961656</c:v>
                </c:pt>
                <c:pt idx="360">
                  <c:v>-4.53918742797769</c:v>
                </c:pt>
                <c:pt idx="361">
                  <c:v>-4.54627627748162</c:v>
                </c:pt>
                <c:pt idx="362">
                  <c:v>-4.55336518812771</c:v>
                </c:pt>
                <c:pt idx="363">
                  <c:v>-4.56045415991528</c:v>
                </c:pt>
                <c:pt idx="364">
                  <c:v>-4.5675431928437</c:v>
                </c:pt>
                <c:pt idx="365">
                  <c:v>-4.5746322869123</c:v>
                </c:pt>
                <c:pt idx="366">
                  <c:v>-4.58172144212044</c:v>
                </c:pt>
                <c:pt idx="367">
                  <c:v>-4.58881065846746</c:v>
                </c:pt>
                <c:pt idx="368">
                  <c:v>-4.59589993595272</c:v>
                </c:pt>
                <c:pt idx="369">
                  <c:v>-4.60298927457554</c:v>
                </c:pt>
                <c:pt idx="370">
                  <c:v>-4.61007867433529</c:v>
                </c:pt>
                <c:pt idx="371">
                  <c:v>-4.61716813523131</c:v>
                </c:pt>
                <c:pt idx="372">
                  <c:v>-4.62425765726294</c:v>
                </c:pt>
                <c:pt idx="373">
                  <c:v>-4.63134724042953</c:v>
                </c:pt>
                <c:pt idx="374">
                  <c:v>-4.63843688473044</c:v>
                </c:pt>
                <c:pt idx="375">
                  <c:v>-4.645526590165</c:v>
                </c:pt>
                <c:pt idx="376">
                  <c:v>-4.65261635673256</c:v>
                </c:pt>
                <c:pt idx="377">
                  <c:v>-4.65970618443248</c:v>
                </c:pt>
                <c:pt idx="378">
                  <c:v>-4.66679607326409</c:v>
                </c:pt>
                <c:pt idx="379">
                  <c:v>-4.67388602322674</c:v>
                </c:pt>
                <c:pt idx="380">
                  <c:v>-4.68097603431979</c:v>
                </c:pt>
                <c:pt idx="381">
                  <c:v>-4.68806610654257</c:v>
                </c:pt>
                <c:pt idx="382">
                  <c:v>-4.69515623989443</c:v>
                </c:pt>
                <c:pt idx="383">
                  <c:v>-4.70224643437473</c:v>
                </c:pt>
                <c:pt idx="384">
                  <c:v>-4.7093366899828</c:v>
                </c:pt>
                <c:pt idx="385">
                  <c:v>-4.716427006718</c:v>
                </c:pt>
                <c:pt idx="386">
                  <c:v>-4.72351738457967</c:v>
                </c:pt>
                <c:pt idx="387">
                  <c:v>-4.73060782356716</c:v>
                </c:pt>
                <c:pt idx="388">
                  <c:v>-4.73769832367981</c:v>
                </c:pt>
                <c:pt idx="389">
                  <c:v>-4.74478888491698</c:v>
                </c:pt>
                <c:pt idx="390">
                  <c:v>-4.751879507278</c:v>
                </c:pt>
                <c:pt idx="391">
                  <c:v>-4.75897019076223</c:v>
                </c:pt>
                <c:pt idx="392">
                  <c:v>-4.76606093536901</c:v>
                </c:pt>
                <c:pt idx="393">
                  <c:v>-4.77315174109769</c:v>
                </c:pt>
                <c:pt idx="394">
                  <c:v>-4.78024260794761</c:v>
                </c:pt>
                <c:pt idx="395">
                  <c:v>-4.78733353591813</c:v>
                </c:pt>
                <c:pt idx="396">
                  <c:v>-4.79442452500859</c:v>
                </c:pt>
                <c:pt idx="397">
                  <c:v>-4.80151557521833</c:v>
                </c:pt>
                <c:pt idx="398">
                  <c:v>-4.80860668654671</c:v>
                </c:pt>
                <c:pt idx="399">
                  <c:v>-4.81569785899306</c:v>
                </c:pt>
                <c:pt idx="400">
                  <c:v>-4.82278909255674</c:v>
                </c:pt>
                <c:pt idx="401">
                  <c:v>-4.8298803872371</c:v>
                </c:pt>
                <c:pt idx="402">
                  <c:v>-4.83697174303348</c:v>
                </c:pt>
                <c:pt idx="403">
                  <c:v>-4.84406315994522</c:v>
                </c:pt>
                <c:pt idx="404">
                  <c:v>-4.85115463797168</c:v>
                </c:pt>
                <c:pt idx="405">
                  <c:v>-4.8582461771122</c:v>
                </c:pt>
                <c:pt idx="406">
                  <c:v>-4.86533777736612</c:v>
                </c:pt>
                <c:pt idx="407">
                  <c:v>-4.8724294387328</c:v>
                </c:pt>
                <c:pt idx="408">
                  <c:v>-4.87952116121159</c:v>
                </c:pt>
                <c:pt idx="409">
                  <c:v>-4.88661294480182</c:v>
                </c:pt>
                <c:pt idx="410">
                  <c:v>-4.89370478950284</c:v>
                </c:pt>
                <c:pt idx="411">
                  <c:v>-4.90079669531401</c:v>
                </c:pt>
                <c:pt idx="412">
                  <c:v>-4.90788866223466</c:v>
                </c:pt>
                <c:pt idx="413">
                  <c:v>-4.91498069026415</c:v>
                </c:pt>
                <c:pt idx="414">
                  <c:v>-4.92207277940182</c:v>
                </c:pt>
                <c:pt idx="415">
                  <c:v>-4.92916492964702</c:v>
                </c:pt>
                <c:pt idx="416">
                  <c:v>-4.9362571409991</c:v>
                </c:pt>
                <c:pt idx="417">
                  <c:v>-4.9433494134574</c:v>
                </c:pt>
                <c:pt idx="418">
                  <c:v>-4.95044174702127</c:v>
                </c:pt>
                <c:pt idx="419">
                  <c:v>-4.95753414169006</c:v>
                </c:pt>
                <c:pt idx="420">
                  <c:v>-4.96462659746311</c:v>
                </c:pt>
                <c:pt idx="421">
                  <c:v>-4.97171911433976</c:v>
                </c:pt>
                <c:pt idx="422">
                  <c:v>-4.97881169231938</c:v>
                </c:pt>
                <c:pt idx="423">
                  <c:v>-4.9859043314013</c:v>
                </c:pt>
                <c:pt idx="424">
                  <c:v>-4.99299703158487</c:v>
                </c:pt>
                <c:pt idx="425">
                  <c:v>-5.00008979286944</c:v>
                </c:pt>
                <c:pt idx="426">
                  <c:v>-5.00718261525435</c:v>
                </c:pt>
                <c:pt idx="427">
                  <c:v>-5.01427549873895</c:v>
                </c:pt>
                <c:pt idx="428">
                  <c:v>-5.02136844332259</c:v>
                </c:pt>
                <c:pt idx="429">
                  <c:v>-5.02846144900461</c:v>
                </c:pt>
                <c:pt idx="430">
                  <c:v>-5.03555451578437</c:v>
                </c:pt>
                <c:pt idx="431">
                  <c:v>-5.0426476436612</c:v>
                </c:pt>
                <c:pt idx="432">
                  <c:v>-5.04974083263446</c:v>
                </c:pt>
                <c:pt idx="433">
                  <c:v>-5.05683408270349</c:v>
                </c:pt>
                <c:pt idx="434">
                  <c:v>-5.06392739386764</c:v>
                </c:pt>
                <c:pt idx="435">
                  <c:v>-5.07102076612625</c:v>
                </c:pt>
                <c:pt idx="436">
                  <c:v>-5.07811419947868</c:v>
                </c:pt>
                <c:pt idx="437">
                  <c:v>-5.08520769392427</c:v>
                </c:pt>
                <c:pt idx="438">
                  <c:v>-5.09230124946236</c:v>
                </c:pt>
                <c:pt idx="439">
                  <c:v>-5.0993948660923</c:v>
                </c:pt>
                <c:pt idx="440">
                  <c:v>-5.10648854381345</c:v>
                </c:pt>
                <c:pt idx="441">
                  <c:v>-5.11358228262514</c:v>
                </c:pt>
                <c:pt idx="442">
                  <c:v>-5.12067608252672</c:v>
                </c:pt>
                <c:pt idx="443">
                  <c:v>-5.12776994351754</c:v>
                </c:pt>
                <c:pt idx="444">
                  <c:v>-5.13486386559695</c:v>
                </c:pt>
                <c:pt idx="445">
                  <c:v>-5.1419578487643</c:v>
                </c:pt>
                <c:pt idx="446">
                  <c:v>-5.14905189301892</c:v>
                </c:pt>
                <c:pt idx="447">
                  <c:v>-5.15614599836018</c:v>
                </c:pt>
                <c:pt idx="448">
                  <c:v>-5.1632401647874</c:v>
                </c:pt>
                <c:pt idx="449">
                  <c:v>-5.17033439229995</c:v>
                </c:pt>
                <c:pt idx="450">
                  <c:v>-5.17742868089717</c:v>
                </c:pt>
                <c:pt idx="451">
                  <c:v>-5.1845230305784</c:v>
                </c:pt>
                <c:pt idx="452">
                  <c:v>-5.19161744134299</c:v>
                </c:pt>
                <c:pt idx="453">
                  <c:v>-5.19871191319029</c:v>
                </c:pt>
                <c:pt idx="454">
                  <c:v>-5.20580644611964</c:v>
                </c:pt>
                <c:pt idx="455">
                  <c:v>-5.2129010401304</c:v>
                </c:pt>
                <c:pt idx="456">
                  <c:v>-5.21999569522191</c:v>
                </c:pt>
                <c:pt idx="457">
                  <c:v>-5.22709041139351</c:v>
                </c:pt>
                <c:pt idx="458">
                  <c:v>-5.23418518864455</c:v>
                </c:pt>
                <c:pt idx="459">
                  <c:v>-5.24128002697439</c:v>
                </c:pt>
                <c:pt idx="460">
                  <c:v>-5.24837492638236</c:v>
                </c:pt>
                <c:pt idx="461">
                  <c:v>-5.25546988686781</c:v>
                </c:pt>
                <c:pt idx="462">
                  <c:v>-5.26256490843009</c:v>
                </c:pt>
                <c:pt idx="463">
                  <c:v>-5.26965999106855</c:v>
                </c:pt>
                <c:pt idx="464">
                  <c:v>-5.27675513478254</c:v>
                </c:pt>
                <c:pt idx="465">
                  <c:v>-5.28385033957139</c:v>
                </c:pt>
                <c:pt idx="466">
                  <c:v>-5.29094560543446</c:v>
                </c:pt>
                <c:pt idx="467">
                  <c:v>-5.29804093237109</c:v>
                </c:pt>
                <c:pt idx="468">
                  <c:v>-5.30513632038064</c:v>
                </c:pt>
                <c:pt idx="469">
                  <c:v>-5.31223176946244</c:v>
                </c:pt>
                <c:pt idx="470">
                  <c:v>-5.31932727961585</c:v>
                </c:pt>
                <c:pt idx="471">
                  <c:v>-5.32642285084021</c:v>
                </c:pt>
                <c:pt idx="472">
                  <c:v>-5.33351848313487</c:v>
                </c:pt>
                <c:pt idx="473">
                  <c:v>-5.34061417649917</c:v>
                </c:pt>
                <c:pt idx="474">
                  <c:v>-5.34770993093246</c:v>
                </c:pt>
                <c:pt idx="475">
                  <c:v>-5.35480574643409</c:v>
                </c:pt>
                <c:pt idx="476">
                  <c:v>-5.36190162300341</c:v>
                </c:pt>
                <c:pt idx="477">
                  <c:v>-5.36899756063976</c:v>
                </c:pt>
                <c:pt idx="478">
                  <c:v>-5.37609355934249</c:v>
                </c:pt>
                <c:pt idx="479">
                  <c:v>-5.38318961911094</c:v>
                </c:pt>
                <c:pt idx="480">
                  <c:v>-5.39028573994447</c:v>
                </c:pt>
                <c:pt idx="481">
                  <c:v>-5.39738192184242</c:v>
                </c:pt>
                <c:pt idx="482">
                  <c:v>-5.40447816480413</c:v>
                </c:pt>
                <c:pt idx="483">
                  <c:v>-5.41157446882896</c:v>
                </c:pt>
                <c:pt idx="484">
                  <c:v>-5.41867083391625</c:v>
                </c:pt>
                <c:pt idx="485">
                  <c:v>-5.42576726006534</c:v>
                </c:pt>
                <c:pt idx="486">
                  <c:v>-5.43286374727559</c:v>
                </c:pt>
                <c:pt idx="487">
                  <c:v>-5.43996029554634</c:v>
                </c:pt>
                <c:pt idx="488">
                  <c:v>-5.44705690487693</c:v>
                </c:pt>
                <c:pt idx="489">
                  <c:v>-5.45415357526672</c:v>
                </c:pt>
                <c:pt idx="490">
                  <c:v>-5.46125030671506</c:v>
                </c:pt>
                <c:pt idx="491">
                  <c:v>-5.46834709922128</c:v>
                </c:pt>
                <c:pt idx="492">
                  <c:v>-5.47544395278473</c:v>
                </c:pt>
                <c:pt idx="493">
                  <c:v>-5.48254086740477</c:v>
                </c:pt>
                <c:pt idx="494">
                  <c:v>-5.48963784308073</c:v>
                </c:pt>
                <c:pt idx="495">
                  <c:v>-5.49673487981197</c:v>
                </c:pt>
                <c:pt idx="496">
                  <c:v>-5.50383197759783</c:v>
                </c:pt>
                <c:pt idx="497">
                  <c:v>-5.51092913643766</c:v>
                </c:pt>
                <c:pt idx="498">
                  <c:v>-5.51802635633081</c:v>
                </c:pt>
                <c:pt idx="499">
                  <c:v>-5.52512363727662</c:v>
                </c:pt>
                <c:pt idx="500">
                  <c:v>-5.53222097927444</c:v>
                </c:pt>
                <c:pt idx="501">
                  <c:v>-5.53931838232362</c:v>
                </c:pt>
                <c:pt idx="502">
                  <c:v>-5.54641584642349</c:v>
                </c:pt>
                <c:pt idx="503">
                  <c:v>-5.55351337157342</c:v>
                </c:pt>
                <c:pt idx="504">
                  <c:v>-5.56061095777275</c:v>
                </c:pt>
                <c:pt idx="505">
                  <c:v>-5.56770860502082</c:v>
                </c:pt>
                <c:pt idx="506">
                  <c:v>-5.57480631331698</c:v>
                </c:pt>
                <c:pt idx="507">
                  <c:v>-5.58190408266057</c:v>
                </c:pt>
                <c:pt idx="508">
                  <c:v>-5.58900191305095</c:v>
                </c:pt>
                <c:pt idx="509">
                  <c:v>-5.59609980448747</c:v>
                </c:pt>
                <c:pt idx="510">
                  <c:v>-5.60319775696946</c:v>
                </c:pt>
                <c:pt idx="511">
                  <c:v>-5.61029577049627</c:v>
                </c:pt>
                <c:pt idx="512">
                  <c:v>-5.61739384506726</c:v>
                </c:pt>
                <c:pt idx="513">
                  <c:v>-5.62449198068176</c:v>
                </c:pt>
                <c:pt idx="514">
                  <c:v>-5.63159017733913</c:v>
                </c:pt>
                <c:pt idx="515">
                  <c:v>-5.63868843503872</c:v>
                </c:pt>
                <c:pt idx="516">
                  <c:v>-5.64578675377986</c:v>
                </c:pt>
                <c:pt idx="517">
                  <c:v>-5.6528851335619</c:v>
                </c:pt>
                <c:pt idx="518">
                  <c:v>-5.6599835743842</c:v>
                </c:pt>
                <c:pt idx="519">
                  <c:v>-5.6670820762461</c:v>
                </c:pt>
                <c:pt idx="520">
                  <c:v>-5.67418063914695</c:v>
                </c:pt>
                <c:pt idx="521">
                  <c:v>-5.68127926308609</c:v>
                </c:pt>
                <c:pt idx="522">
                  <c:v>-5.68837794806287</c:v>
                </c:pt>
                <c:pt idx="523">
                  <c:v>-5.69547669407663</c:v>
                </c:pt>
                <c:pt idx="524">
                  <c:v>-5.70257550112673</c:v>
                </c:pt>
                <c:pt idx="525">
                  <c:v>-5.70967436921251</c:v>
                </c:pt>
                <c:pt idx="526">
                  <c:v>-5.71677329833332</c:v>
                </c:pt>
                <c:pt idx="527">
                  <c:v>-5.7238722884885</c:v>
                </c:pt>
                <c:pt idx="528">
                  <c:v>-5.7309713396774</c:v>
                </c:pt>
                <c:pt idx="529">
                  <c:v>-5.73807045189937</c:v>
                </c:pt>
                <c:pt idx="530">
                  <c:v>-5.74516962515375</c:v>
                </c:pt>
                <c:pt idx="531">
                  <c:v>-5.7522688594399</c:v>
                </c:pt>
                <c:pt idx="532">
                  <c:v>-5.75936815475715</c:v>
                </c:pt>
                <c:pt idx="533">
                  <c:v>-5.76646751110486</c:v>
                </c:pt>
                <c:pt idx="534">
                  <c:v>-5.77356692848237</c:v>
                </c:pt>
                <c:pt idx="535">
                  <c:v>-5.78066640688903</c:v>
                </c:pt>
                <c:pt idx="536">
                  <c:v>-5.78776594632419</c:v>
                </c:pt>
                <c:pt idx="537">
                  <c:v>-5.79486554678719</c:v>
                </c:pt>
                <c:pt idx="538">
                  <c:v>-5.80196520827738</c:v>
                </c:pt>
                <c:pt idx="539">
                  <c:v>-5.8090649307941</c:v>
                </c:pt>
                <c:pt idx="540">
                  <c:v>-5.81616471433671</c:v>
                </c:pt>
                <c:pt idx="541">
                  <c:v>-5.82326455890455</c:v>
                </c:pt>
                <c:pt idx="542">
                  <c:v>-5.83036446449696</c:v>
                </c:pt>
                <c:pt idx="543">
                  <c:v>-5.8374644311133</c:v>
                </c:pt>
                <c:pt idx="544">
                  <c:v>-5.84456445875291</c:v>
                </c:pt>
                <c:pt idx="545">
                  <c:v>-5.85166454741514</c:v>
                </c:pt>
                <c:pt idx="546">
                  <c:v>-5.85876469709933</c:v>
                </c:pt>
                <c:pt idx="547">
                  <c:v>-5.86586490780483</c:v>
                </c:pt>
                <c:pt idx="548">
                  <c:v>-5.87296517953099</c:v>
                </c:pt>
                <c:pt idx="549">
                  <c:v>-5.88006551227715</c:v>
                </c:pt>
                <c:pt idx="550">
                  <c:v>-5.88716590604267</c:v>
                </c:pt>
                <c:pt idx="551">
                  <c:v>-5.89426636082688</c:v>
                </c:pt>
                <c:pt idx="552">
                  <c:v>-5.90136687662914</c:v>
                </c:pt>
                <c:pt idx="553">
                  <c:v>-5.90846745344879</c:v>
                </c:pt>
                <c:pt idx="554">
                  <c:v>-5.91556809128518</c:v>
                </c:pt>
                <c:pt idx="555">
                  <c:v>-5.92266879013766</c:v>
                </c:pt>
                <c:pt idx="556">
                  <c:v>-5.92976955000557</c:v>
                </c:pt>
                <c:pt idx="557">
                  <c:v>-5.93687037088826</c:v>
                </c:pt>
                <c:pt idx="558">
                  <c:v>-5.94397125278507</c:v>
                </c:pt>
                <c:pt idx="559">
                  <c:v>-5.95107219569536</c:v>
                </c:pt>
                <c:pt idx="560">
                  <c:v>-5.95817319961847</c:v>
                </c:pt>
                <c:pt idx="561">
                  <c:v>-5.96527426455375</c:v>
                </c:pt>
                <c:pt idx="562">
                  <c:v>-5.97237539050054</c:v>
                </c:pt>
                <c:pt idx="563">
                  <c:v>-5.97947657745819</c:v>
                </c:pt>
                <c:pt idx="564">
                  <c:v>-5.98657782542604</c:v>
                </c:pt>
                <c:pt idx="565">
                  <c:v>-5.99367913440345</c:v>
                </c:pt>
                <c:pt idx="566">
                  <c:v>-6.00078050438977</c:v>
                </c:pt>
                <c:pt idx="567">
                  <c:v>-6.00788193538433</c:v>
                </c:pt>
                <c:pt idx="568">
                  <c:v>-6.01498342738648</c:v>
                </c:pt>
                <c:pt idx="569">
                  <c:v>-6.02208498039558</c:v>
                </c:pt>
                <c:pt idx="570">
                  <c:v>-6.02918659441097</c:v>
                </c:pt>
                <c:pt idx="571">
                  <c:v>-6.03628826943199</c:v>
                </c:pt>
                <c:pt idx="572">
                  <c:v>-6.04339000545799</c:v>
                </c:pt>
                <c:pt idx="573">
                  <c:v>-6.05049180248832</c:v>
                </c:pt>
                <c:pt idx="574">
                  <c:v>-6.05759366052233</c:v>
                </c:pt>
                <c:pt idx="575">
                  <c:v>-6.06469557955936</c:v>
                </c:pt>
                <c:pt idx="576">
                  <c:v>-6.07179755959877</c:v>
                </c:pt>
                <c:pt idx="577">
                  <c:v>-6.07889960063988</c:v>
                </c:pt>
                <c:pt idx="578">
                  <c:v>-6.08600170268206</c:v>
                </c:pt>
                <c:pt idx="579">
                  <c:v>-6.09310386572466</c:v>
                </c:pt>
                <c:pt idx="580">
                  <c:v>-6.100206089767</c:v>
                </c:pt>
                <c:pt idx="581">
                  <c:v>-6.10730837480846</c:v>
                </c:pt>
                <c:pt idx="582">
                  <c:v>-6.11441072084836</c:v>
                </c:pt>
                <c:pt idx="583">
                  <c:v>-6.12151312788606</c:v>
                </c:pt>
                <c:pt idx="584">
                  <c:v>-6.1286155959209</c:v>
                </c:pt>
                <c:pt idx="585">
                  <c:v>-6.13571812495224</c:v>
                </c:pt>
                <c:pt idx="586">
                  <c:v>-6.14282071497942</c:v>
                </c:pt>
                <c:pt idx="587">
                  <c:v>-6.14992336600178</c:v>
                </c:pt>
                <c:pt idx="588">
                  <c:v>-6.15702607801867</c:v>
                </c:pt>
                <c:pt idx="589">
                  <c:v>-6.16412885102944</c:v>
                </c:pt>
                <c:pt idx="590">
                  <c:v>-6.17123168503343</c:v>
                </c:pt>
                <c:pt idx="591">
                  <c:v>-6.17833458003</c:v>
                </c:pt>
                <c:pt idx="592">
                  <c:v>-6.18543753601849</c:v>
                </c:pt>
                <c:pt idx="593">
                  <c:v>-6.19254055299825</c:v>
                </c:pt>
                <c:pt idx="594">
                  <c:v>-6.19964363096861</c:v>
                </c:pt>
                <c:pt idx="595">
                  <c:v>-6.20674676992894</c:v>
                </c:pt>
                <c:pt idx="596">
                  <c:v>-6.21384996987857</c:v>
                </c:pt>
                <c:pt idx="597">
                  <c:v>-6.22095323081686</c:v>
                </c:pt>
                <c:pt idx="598">
                  <c:v>-6.22805655274315</c:v>
                </c:pt>
                <c:pt idx="599">
                  <c:v>-6.23515993565678</c:v>
                </c:pt>
                <c:pt idx="600">
                  <c:v>-6.24226337955711</c:v>
                </c:pt>
                <c:pt idx="601">
                  <c:v>-6.24936688444348</c:v>
                </c:pt>
                <c:pt idx="602">
                  <c:v>-6.25647045031524</c:v>
                </c:pt>
                <c:pt idx="603">
                  <c:v>-6.26357407717174</c:v>
                </c:pt>
                <c:pt idx="604">
                  <c:v>-6.27067776501231</c:v>
                </c:pt>
                <c:pt idx="605">
                  <c:v>-6.27778151383631</c:v>
                </c:pt>
                <c:pt idx="606">
                  <c:v>-6.28488532364309</c:v>
                </c:pt>
                <c:pt idx="607">
                  <c:v>-6.29198919443199</c:v>
                </c:pt>
                <c:pt idx="608">
                  <c:v>-6.29909312620236</c:v>
                </c:pt>
                <c:pt idx="609">
                  <c:v>-6.30619711895355</c:v>
                </c:pt>
                <c:pt idx="610">
                  <c:v>-6.3133011726849</c:v>
                </c:pt>
                <c:pt idx="611">
                  <c:v>-6.32040528739575</c:v>
                </c:pt>
                <c:pt idx="612">
                  <c:v>-6.32750946308547</c:v>
                </c:pt>
                <c:pt idx="613">
                  <c:v>-6.33461369975338</c:v>
                </c:pt>
                <c:pt idx="614">
                  <c:v>-6.34171799739885</c:v>
                </c:pt>
                <c:pt idx="615">
                  <c:v>-6.34882235602122</c:v>
                </c:pt>
                <c:pt idx="616">
                  <c:v>-6.35592677561983</c:v>
                </c:pt>
                <c:pt idx="617">
                  <c:v>-6.36303125619403</c:v>
                </c:pt>
                <c:pt idx="618">
                  <c:v>-6.37013579774316</c:v>
                </c:pt>
                <c:pt idx="619">
                  <c:v>-6.37724040026659</c:v>
                </c:pt>
                <c:pt idx="620">
                  <c:v>-6.38434506376364</c:v>
                </c:pt>
                <c:pt idx="621">
                  <c:v>-6.39144978823367</c:v>
                </c:pt>
                <c:pt idx="622">
                  <c:v>-6.39855457367603</c:v>
                </c:pt>
                <c:pt idx="623">
                  <c:v>-6.40565942009005</c:v>
                </c:pt>
                <c:pt idx="624">
                  <c:v>-6.4127643274751</c:v>
                </c:pt>
                <c:pt idx="625">
                  <c:v>-6.41986929583051</c:v>
                </c:pt>
                <c:pt idx="626">
                  <c:v>-6.42697432515564</c:v>
                </c:pt>
                <c:pt idx="627">
                  <c:v>-6.43407941544982</c:v>
                </c:pt>
                <c:pt idx="628">
                  <c:v>-6.44118456671242</c:v>
                </c:pt>
                <c:pt idx="629">
                  <c:v>-6.44828977894276</c:v>
                </c:pt>
                <c:pt idx="630">
                  <c:v>-6.4553950521402</c:v>
                </c:pt>
                <c:pt idx="631">
                  <c:v>-6.46250038630409</c:v>
                </c:pt>
                <c:pt idx="632">
                  <c:v>-6.46960578143378</c:v>
                </c:pt>
                <c:pt idx="633">
                  <c:v>-6.4767112375286</c:v>
                </c:pt>
                <c:pt idx="634">
                  <c:v>-6.48381675458792</c:v>
                </c:pt>
                <c:pt idx="635">
                  <c:v>-6.49092233261106</c:v>
                </c:pt>
                <c:pt idx="636">
                  <c:v>-6.49802797159739</c:v>
                </c:pt>
                <c:pt idx="637">
                  <c:v>-6.50513367154625</c:v>
                </c:pt>
                <c:pt idx="638">
                  <c:v>-6.51223943245698</c:v>
                </c:pt>
                <c:pt idx="639">
                  <c:v>-6.51934525432893</c:v>
                </c:pt>
                <c:pt idx="640">
                  <c:v>-6.52645113716145</c:v>
                </c:pt>
                <c:pt idx="641">
                  <c:v>-6.53355708095389</c:v>
                </c:pt>
                <c:pt idx="642">
                  <c:v>-6.54066308570558</c:v>
                </c:pt>
                <c:pt idx="643">
                  <c:v>-6.54776915141589</c:v>
                </c:pt>
                <c:pt idx="644">
                  <c:v>-6.55487527808416</c:v>
                </c:pt>
                <c:pt idx="645">
                  <c:v>-6.56198146570972</c:v>
                </c:pt>
                <c:pt idx="646">
                  <c:v>-6.56908771429194</c:v>
                </c:pt>
                <c:pt idx="647">
                  <c:v>-6.57619402383015</c:v>
                </c:pt>
                <c:pt idx="648">
                  <c:v>-6.58330039432371</c:v>
                </c:pt>
                <c:pt idx="649">
                  <c:v>-6.59040682577196</c:v>
                </c:pt>
                <c:pt idx="650">
                  <c:v>-6.59751331817424</c:v>
                </c:pt>
                <c:pt idx="651">
                  <c:v>-6.60461987152991</c:v>
                </c:pt>
                <c:pt idx="652">
                  <c:v>-6.61172648583831</c:v>
                </c:pt>
                <c:pt idx="653">
                  <c:v>-6.61883316109879</c:v>
                </c:pt>
                <c:pt idx="654">
                  <c:v>-6.62593989731069</c:v>
                </c:pt>
                <c:pt idx="655">
                  <c:v>-6.63304669447336</c:v>
                </c:pt>
                <c:pt idx="656">
                  <c:v>-6.64015355258615</c:v>
                </c:pt>
                <c:pt idx="657">
                  <c:v>-6.64726047164841</c:v>
                </c:pt>
                <c:pt idx="658">
                  <c:v>-6.65436745165948</c:v>
                </c:pt>
                <c:pt idx="659">
                  <c:v>-6.66147449261871</c:v>
                </c:pt>
                <c:pt idx="660">
                  <c:v>-6.66858159452545</c:v>
                </c:pt>
                <c:pt idx="661">
                  <c:v>-6.67568875737903</c:v>
                </c:pt>
                <c:pt idx="662">
                  <c:v>-6.68279598117882</c:v>
                </c:pt>
                <c:pt idx="663">
                  <c:v>-6.68990326592415</c:v>
                </c:pt>
                <c:pt idx="664">
                  <c:v>-6.69701061161438</c:v>
                </c:pt>
                <c:pt idx="665">
                  <c:v>-6.70411801824885</c:v>
                </c:pt>
                <c:pt idx="666">
                  <c:v>-6.7112254858269</c:v>
                </c:pt>
                <c:pt idx="667">
                  <c:v>-6.71833301434789</c:v>
                </c:pt>
                <c:pt idx="668">
                  <c:v>-6.72544060381116</c:v>
                </c:pt>
                <c:pt idx="669">
                  <c:v>-6.73254825421606</c:v>
                </c:pt>
                <c:pt idx="670">
                  <c:v>-6.73965596556193</c:v>
                </c:pt>
                <c:pt idx="671">
                  <c:v>-6.74676373784812</c:v>
                </c:pt>
                <c:pt idx="672">
                  <c:v>-6.75387157107399</c:v>
                </c:pt>
                <c:pt idx="673">
                  <c:v>-6.76097946523886</c:v>
                </c:pt>
                <c:pt idx="674">
                  <c:v>-6.7680874203421</c:v>
                </c:pt>
                <c:pt idx="675">
                  <c:v>-6.77519543638305</c:v>
                </c:pt>
                <c:pt idx="676">
                  <c:v>-6.78230351336105</c:v>
                </c:pt>
                <c:pt idx="677">
                  <c:v>-6.78941165127546</c:v>
                </c:pt>
                <c:pt idx="678">
                  <c:v>-6.79651985012562</c:v>
                </c:pt>
                <c:pt idx="679">
                  <c:v>-6.80362810991087</c:v>
                </c:pt>
                <c:pt idx="680">
                  <c:v>-6.81073643063057</c:v>
                </c:pt>
                <c:pt idx="681">
                  <c:v>-6.81784481228405</c:v>
                </c:pt>
                <c:pt idx="682">
                  <c:v>-6.82495325487068</c:v>
                </c:pt>
                <c:pt idx="683">
                  <c:v>-6.83206175838978</c:v>
                </c:pt>
                <c:pt idx="684">
                  <c:v>-6.83917032284072</c:v>
                </c:pt>
                <c:pt idx="685">
                  <c:v>-6.84627894822284</c:v>
                </c:pt>
                <c:pt idx="686">
                  <c:v>-6.85338763453548</c:v>
                </c:pt>
                <c:pt idx="687">
                  <c:v>-6.86049638177799</c:v>
                </c:pt>
                <c:pt idx="688">
                  <c:v>-6.86760518994972</c:v>
                </c:pt>
                <c:pt idx="689">
                  <c:v>-6.87471405905001</c:v>
                </c:pt>
                <c:pt idx="690">
                  <c:v>-6.88182298907822</c:v>
                </c:pt>
                <c:pt idx="691">
                  <c:v>-6.88893198003369</c:v>
                </c:pt>
                <c:pt idx="692">
                  <c:v>-6.89604103191576</c:v>
                </c:pt>
                <c:pt idx="693">
                  <c:v>-6.90315014472379</c:v>
                </c:pt>
                <c:pt idx="694">
                  <c:v>-6.91025931845711</c:v>
                </c:pt>
                <c:pt idx="695">
                  <c:v>-6.91736855311508</c:v>
                </c:pt>
                <c:pt idx="696">
                  <c:v>-6.92447784869705</c:v>
                </c:pt>
                <c:pt idx="697">
                  <c:v>-6.93158720520235</c:v>
                </c:pt>
                <c:pt idx="698">
                  <c:v>-6.93869662263034</c:v>
                </c:pt>
                <c:pt idx="699">
                  <c:v>-6.94580610098037</c:v>
                </c:pt>
                <c:pt idx="700">
                  <c:v>-6.95291564025178</c:v>
                </c:pt>
                <c:pt idx="701">
                  <c:v>-6.96002524044391</c:v>
                </c:pt>
                <c:pt idx="702">
                  <c:v>-6.96713490155612</c:v>
                </c:pt>
                <c:pt idx="703">
                  <c:v>-6.97424462358775</c:v>
                </c:pt>
                <c:pt idx="704">
                  <c:v>-6.98135440653815</c:v>
                </c:pt>
                <c:pt idx="705">
                  <c:v>-6.98846425040666</c:v>
                </c:pt>
                <c:pt idx="706">
                  <c:v>-6.99557415519264</c:v>
                </c:pt>
                <c:pt idx="707">
                  <c:v>-7.00268412089543</c:v>
                </c:pt>
                <c:pt idx="708">
                  <c:v>-7.00979414751437</c:v>
                </c:pt>
                <c:pt idx="709">
                  <c:v>-7.01690423504881</c:v>
                </c:pt>
                <c:pt idx="710">
                  <c:v>-7.02401438349811</c:v>
                </c:pt>
                <c:pt idx="711">
                  <c:v>-7.0311245928616</c:v>
                </c:pt>
                <c:pt idx="712">
                  <c:v>-7.03823486313863</c:v>
                </c:pt>
                <c:pt idx="713">
                  <c:v>-7.04534519432855</c:v>
                </c:pt>
                <c:pt idx="714">
                  <c:v>-7.05245558643071</c:v>
                </c:pt>
                <c:pt idx="715">
                  <c:v>-7.05956603944446</c:v>
                </c:pt>
                <c:pt idx="716">
                  <c:v>-7.06667655336913</c:v>
                </c:pt>
                <c:pt idx="717">
                  <c:v>-7.07378712820409</c:v>
                </c:pt>
                <c:pt idx="718">
                  <c:v>-7.08089776394867</c:v>
                </c:pt>
                <c:pt idx="719">
                  <c:v>-7.08800846060222</c:v>
                </c:pt>
                <c:pt idx="720">
                  <c:v>-7.09511921816408</c:v>
                </c:pt>
                <c:pt idx="721">
                  <c:v>-7.10223003663362</c:v>
                </c:pt>
                <c:pt idx="722">
                  <c:v>-7.10934091601016</c:v>
                </c:pt>
                <c:pt idx="723">
                  <c:v>-7.11645185629307</c:v>
                </c:pt>
                <c:pt idx="724">
                  <c:v>-7.12356285748168</c:v>
                </c:pt>
                <c:pt idx="725">
                  <c:v>-7.13067391957534</c:v>
                </c:pt>
                <c:pt idx="726">
                  <c:v>-7.13778504257341</c:v>
                </c:pt>
                <c:pt idx="727">
                  <c:v>-7.14489622647522</c:v>
                </c:pt>
                <c:pt idx="728">
                  <c:v>-7.15200747128012</c:v>
                </c:pt>
                <c:pt idx="729">
                  <c:v>-7.15911877698747</c:v>
                </c:pt>
                <c:pt idx="730">
                  <c:v>-7.1662301435966</c:v>
                </c:pt>
                <c:pt idx="731">
                  <c:v>-7.17334157110686</c:v>
                </c:pt>
                <c:pt idx="732">
                  <c:v>-7.18045305951761</c:v>
                </c:pt>
                <c:pt idx="733">
                  <c:v>-7.18756460882818</c:v>
                </c:pt>
                <c:pt idx="734">
                  <c:v>-7.19467621903793</c:v>
                </c:pt>
                <c:pt idx="735">
                  <c:v>-7.2017878901462</c:v>
                </c:pt>
                <c:pt idx="736">
                  <c:v>-7.20889962215234</c:v>
                </c:pt>
                <c:pt idx="737">
                  <c:v>-7.2160114150557</c:v>
                </c:pt>
                <c:pt idx="738">
                  <c:v>-7.22312326885562</c:v>
                </c:pt>
                <c:pt idx="739">
                  <c:v>-7.23023518355145</c:v>
                </c:pt>
                <c:pt idx="740">
                  <c:v>-7.23734715914253</c:v>
                </c:pt>
                <c:pt idx="741">
                  <c:v>-7.24445919562821</c:v>
                </c:pt>
                <c:pt idx="742">
                  <c:v>-7.25157129300785</c:v>
                </c:pt>
                <c:pt idx="743">
                  <c:v>-7.25868345128078</c:v>
                </c:pt>
                <c:pt idx="744">
                  <c:v>-7.26579567044636</c:v>
                </c:pt>
                <c:pt idx="745">
                  <c:v>-7.27290795050393</c:v>
                </c:pt>
                <c:pt idx="746">
                  <c:v>-7.28002029145283</c:v>
                </c:pt>
                <c:pt idx="747">
                  <c:v>-7.28713269329242</c:v>
                </c:pt>
                <c:pt idx="748">
                  <c:v>-7.29424515602204</c:v>
                </c:pt>
                <c:pt idx="749">
                  <c:v>-7.30135767964104</c:v>
                </c:pt>
                <c:pt idx="750">
                  <c:v>-7.30847026414876</c:v>
                </c:pt>
                <c:pt idx="751">
                  <c:v>-7.31558290954455</c:v>
                </c:pt>
                <c:pt idx="752">
                  <c:v>-7.32269561582777</c:v>
                </c:pt>
                <c:pt idx="753">
                  <c:v>-7.32980838299775</c:v>
                </c:pt>
                <c:pt idx="754">
                  <c:v>-7.33692121105384</c:v>
                </c:pt>
                <c:pt idx="755">
                  <c:v>-7.34403409999539</c:v>
                </c:pt>
                <c:pt idx="756">
                  <c:v>-7.35114704982175</c:v>
                </c:pt>
                <c:pt idx="757">
                  <c:v>-7.35826006053226</c:v>
                </c:pt>
                <c:pt idx="758">
                  <c:v>-7.36537313212627</c:v>
                </c:pt>
                <c:pt idx="759">
                  <c:v>-7.37248626460313</c:v>
                </c:pt>
                <c:pt idx="760">
                  <c:v>-7.37959945796218</c:v>
                </c:pt>
                <c:pt idx="761">
                  <c:v>-7.38671271220277</c:v>
                </c:pt>
                <c:pt idx="762">
                  <c:v>-7.39382602732425</c:v>
                </c:pt>
                <c:pt idx="763">
                  <c:v>-7.40093940332597</c:v>
                </c:pt>
                <c:pt idx="764">
                  <c:v>-7.40805284020727</c:v>
                </c:pt>
                <c:pt idx="765">
                  <c:v>-7.41516633796749</c:v>
                </c:pt>
                <c:pt idx="766">
                  <c:v>-7.42227989660599</c:v>
                </c:pt>
                <c:pt idx="767">
                  <c:v>-7.42939351612211</c:v>
                </c:pt>
                <c:pt idx="768">
                  <c:v>-7.43650719651521</c:v>
                </c:pt>
                <c:pt idx="769">
                  <c:v>-7.44362093778461</c:v>
                </c:pt>
                <c:pt idx="770">
                  <c:v>-7.45073473992968</c:v>
                </c:pt>
                <c:pt idx="771">
                  <c:v>-7.45784860294976</c:v>
                </c:pt>
                <c:pt idx="772">
                  <c:v>-7.4649625268442</c:v>
                </c:pt>
                <c:pt idx="773">
                  <c:v>-7.47207651161234</c:v>
                </c:pt>
                <c:pt idx="774">
                  <c:v>-7.47919055725353</c:v>
                </c:pt>
                <c:pt idx="775">
                  <c:v>-7.48630466376712</c:v>
                </c:pt>
                <c:pt idx="776">
                  <c:v>-7.49341883115245</c:v>
                </c:pt>
                <c:pt idx="777">
                  <c:v>-7.50053305940887</c:v>
                </c:pt>
                <c:pt idx="778">
                  <c:v>-7.50764734853573</c:v>
                </c:pt>
                <c:pt idx="779">
                  <c:v>-7.51476169853238</c:v>
                </c:pt>
                <c:pt idx="780">
                  <c:v>-7.52187610939815</c:v>
                </c:pt>
                <c:pt idx="781">
                  <c:v>-7.52899058113241</c:v>
                </c:pt>
                <c:pt idx="782">
                  <c:v>-7.53610511373449</c:v>
                </c:pt>
                <c:pt idx="783">
                  <c:v>-7.54321970720375</c:v>
                </c:pt>
                <c:pt idx="784">
                  <c:v>-7.55033436153952</c:v>
                </c:pt>
                <c:pt idx="785">
                  <c:v>-7.55744907674116</c:v>
                </c:pt>
                <c:pt idx="786">
                  <c:v>-7.56456385280801</c:v>
                </c:pt>
                <c:pt idx="787">
                  <c:v>-7.57167868973943</c:v>
                </c:pt>
                <c:pt idx="788">
                  <c:v>-7.57879358753474</c:v>
                </c:pt>
                <c:pt idx="789">
                  <c:v>-7.58590854619332</c:v>
                </c:pt>
                <c:pt idx="790">
                  <c:v>-7.59302356571449</c:v>
                </c:pt>
                <c:pt idx="791">
                  <c:v>-7.60013864609762</c:v>
                </c:pt>
                <c:pt idx="792">
                  <c:v>-7.60725378734203</c:v>
                </c:pt>
                <c:pt idx="793">
                  <c:v>-7.61436898944709</c:v>
                </c:pt>
                <c:pt idx="794">
                  <c:v>-7.62148425241214</c:v>
                </c:pt>
                <c:pt idx="795">
                  <c:v>-7.62859957623652</c:v>
                </c:pt>
                <c:pt idx="796">
                  <c:v>-7.63571496091958</c:v>
                </c:pt>
                <c:pt idx="797">
                  <c:v>-7.64283040646067</c:v>
                </c:pt>
                <c:pt idx="798">
                  <c:v>-7.64994591285914</c:v>
                </c:pt>
                <c:pt idx="799">
                  <c:v>-7.65706148011433</c:v>
                </c:pt>
                <c:pt idx="800">
                  <c:v>-7.66417710822559</c:v>
                </c:pt>
                <c:pt idx="801">
                  <c:v>-7.67129279719227</c:v>
                </c:pt>
                <c:pt idx="802">
                  <c:v>-7.67840854701371</c:v>
                </c:pt>
                <c:pt idx="803">
                  <c:v>-7.68552435768926</c:v>
                </c:pt>
                <c:pt idx="804">
                  <c:v>-7.69264022921827</c:v>
                </c:pt>
                <c:pt idx="805">
                  <c:v>-7.69975616160009</c:v>
                </c:pt>
                <c:pt idx="806">
                  <c:v>-7.70687215483405</c:v>
                </c:pt>
                <c:pt idx="807">
                  <c:v>-7.71398820891951</c:v>
                </c:pt>
                <c:pt idx="808">
                  <c:v>-7.72110432385582</c:v>
                </c:pt>
                <c:pt idx="809">
                  <c:v>-7.72822049964232</c:v>
                </c:pt>
                <c:pt idx="810">
                  <c:v>-7.73533673627836</c:v>
                </c:pt>
                <c:pt idx="811">
                  <c:v>-7.74245303376328</c:v>
                </c:pt>
                <c:pt idx="812">
                  <c:v>-7.74956939209644</c:v>
                </c:pt>
                <c:pt idx="813">
                  <c:v>-7.75668581127717</c:v>
                </c:pt>
                <c:pt idx="814">
                  <c:v>-7.76380229130483</c:v>
                </c:pt>
                <c:pt idx="815">
                  <c:v>-7.77091883217877</c:v>
                </c:pt>
                <c:pt idx="816">
                  <c:v>-7.77803543389832</c:v>
                </c:pt>
                <c:pt idx="817">
                  <c:v>-7.78515209646285</c:v>
                </c:pt>
                <c:pt idx="818">
                  <c:v>-7.79226881987168</c:v>
                </c:pt>
                <c:pt idx="819">
                  <c:v>-7.79938560412418</c:v>
                </c:pt>
                <c:pt idx="820">
                  <c:v>-7.80650244921968</c:v>
                </c:pt>
                <c:pt idx="821">
                  <c:v>-7.81361935515754</c:v>
                </c:pt>
                <c:pt idx="822">
                  <c:v>-7.8207363219371</c:v>
                </c:pt>
                <c:pt idx="823">
                  <c:v>-7.82785334955771</c:v>
                </c:pt>
                <c:pt idx="824">
                  <c:v>-7.83497043801872</c:v>
                </c:pt>
                <c:pt idx="825">
                  <c:v>-7.84208758731947</c:v>
                </c:pt>
                <c:pt idx="826">
                  <c:v>-7.8492047974593</c:v>
                </c:pt>
                <c:pt idx="827">
                  <c:v>-7.85632206843757</c:v>
                </c:pt>
                <c:pt idx="828">
                  <c:v>-7.86343940025363</c:v>
                </c:pt>
                <c:pt idx="829">
                  <c:v>-7.87055679290682</c:v>
                </c:pt>
                <c:pt idx="830">
                  <c:v>-7.87767424639648</c:v>
                </c:pt>
                <c:pt idx="831">
                  <c:v>-7.88479176072196</c:v>
                </c:pt>
                <c:pt idx="832">
                  <c:v>-7.89190933588262</c:v>
                </c:pt>
                <c:pt idx="833">
                  <c:v>-7.89902697187779</c:v>
                </c:pt>
                <c:pt idx="834">
                  <c:v>-7.90614466870683</c:v>
                </c:pt>
                <c:pt idx="835">
                  <c:v>-7.91326242636908</c:v>
                </c:pt>
                <c:pt idx="836">
                  <c:v>-7.92038024486389</c:v>
                </c:pt>
                <c:pt idx="837">
                  <c:v>-7.92749812419061</c:v>
                </c:pt>
                <c:pt idx="838">
                  <c:v>-7.93461606434857</c:v>
                </c:pt>
                <c:pt idx="839">
                  <c:v>-7.94173406533714</c:v>
                </c:pt>
                <c:pt idx="840">
                  <c:v>-7.94885212715565</c:v>
                </c:pt>
                <c:pt idx="841">
                  <c:v>-7.95597024980345</c:v>
                </c:pt>
                <c:pt idx="842">
                  <c:v>-7.96308843327989</c:v>
                </c:pt>
                <c:pt idx="843">
                  <c:v>-7.97020667758432</c:v>
                </c:pt>
                <c:pt idx="844">
                  <c:v>-7.97732498271608</c:v>
                </c:pt>
                <c:pt idx="845">
                  <c:v>-7.98444334867453</c:v>
                </c:pt>
                <c:pt idx="846">
                  <c:v>-7.991561775459</c:v>
                </c:pt>
                <c:pt idx="847">
                  <c:v>-7.99868026306884</c:v>
                </c:pt>
                <c:pt idx="848">
                  <c:v>-8.00579881150341</c:v>
                </c:pt>
                <c:pt idx="849">
                  <c:v>-8.01291742076204</c:v>
                </c:pt>
                <c:pt idx="850">
                  <c:v>-8.02003609084409</c:v>
                </c:pt>
                <c:pt idx="851">
                  <c:v>-8.0271548217489</c:v>
                </c:pt>
                <c:pt idx="852">
                  <c:v>-8.03427361347582</c:v>
                </c:pt>
                <c:pt idx="853">
                  <c:v>-8.0413924660242</c:v>
                </c:pt>
                <c:pt idx="854">
                  <c:v>-8.04851137939338</c:v>
                </c:pt>
                <c:pt idx="855">
                  <c:v>-8.05563035358271</c:v>
                </c:pt>
                <c:pt idx="856">
                  <c:v>-8.06274938859153</c:v>
                </c:pt>
                <c:pt idx="857">
                  <c:v>-8.0698684844192</c:v>
                </c:pt>
                <c:pt idx="858">
                  <c:v>-8.07698764106506</c:v>
                </c:pt>
                <c:pt idx="859">
                  <c:v>-8.08410685852845</c:v>
                </c:pt>
                <c:pt idx="860">
                  <c:v>-8.09122613680873</c:v>
                </c:pt>
                <c:pt idx="861">
                  <c:v>-8.09834547590524</c:v>
                </c:pt>
                <c:pt idx="862">
                  <c:v>-8.10546487581733</c:v>
                </c:pt>
                <c:pt idx="863">
                  <c:v>-8.11258433654435</c:v>
                </c:pt>
                <c:pt idx="864">
                  <c:v>-8.11970385808563</c:v>
                </c:pt>
                <c:pt idx="865">
                  <c:v>-8.12682344044054</c:v>
                </c:pt>
                <c:pt idx="866">
                  <c:v>-8.13394308360841</c:v>
                </c:pt>
                <c:pt idx="867">
                  <c:v>-8.14106278758859</c:v>
                </c:pt>
                <c:pt idx="868">
                  <c:v>-8.14818255238043</c:v>
                </c:pt>
                <c:pt idx="869">
                  <c:v>-8.15530237798328</c:v>
                </c:pt>
                <c:pt idx="870">
                  <c:v>-8.16242226439648</c:v>
                </c:pt>
                <c:pt idx="871">
                  <c:v>-8.16954221161938</c:v>
                </c:pt>
                <c:pt idx="872">
                  <c:v>-8.17666221965133</c:v>
                </c:pt>
                <c:pt idx="873">
                  <c:v>-8.18378228849168</c:v>
                </c:pt>
                <c:pt idx="874">
                  <c:v>-8.19090241813976</c:v>
                </c:pt>
                <c:pt idx="875">
                  <c:v>-8.19802260859493</c:v>
                </c:pt>
                <c:pt idx="876">
                  <c:v>-8.20514285985654</c:v>
                </c:pt>
                <c:pt idx="877">
                  <c:v>-8.21226317192393</c:v>
                </c:pt>
                <c:pt idx="878">
                  <c:v>-8.21938354479644</c:v>
                </c:pt>
                <c:pt idx="879">
                  <c:v>-8.22650397847344</c:v>
                </c:pt>
                <c:pt idx="880">
                  <c:v>-8.23362447295425</c:v>
                </c:pt>
                <c:pt idx="881">
                  <c:v>-8.24074502823824</c:v>
                </c:pt>
                <c:pt idx="882">
                  <c:v>-8.24786564432474</c:v>
                </c:pt>
                <c:pt idx="883">
                  <c:v>-8.2549863212131</c:v>
                </c:pt>
                <c:pt idx="884">
                  <c:v>-8.26210705890268</c:v>
                </c:pt>
                <c:pt idx="885">
                  <c:v>-8.26922785739281</c:v>
                </c:pt>
                <c:pt idx="886">
                  <c:v>-8.27634871668284</c:v>
                </c:pt>
                <c:pt idx="887">
                  <c:v>-8.28346963677213</c:v>
                </c:pt>
                <c:pt idx="888">
                  <c:v>-8.29059061766001</c:v>
                </c:pt>
                <c:pt idx="889">
                  <c:v>-8.29771165934584</c:v>
                </c:pt>
                <c:pt idx="890">
                  <c:v>-8.30483276182896</c:v>
                </c:pt>
                <c:pt idx="891">
                  <c:v>-8.31195392510872</c:v>
                </c:pt>
                <c:pt idx="892">
                  <c:v>-8.31907514918447</c:v>
                </c:pt>
                <c:pt idx="893">
                  <c:v>-8.32619643405555</c:v>
                </c:pt>
                <c:pt idx="894">
                  <c:v>-8.3333177797213</c:v>
                </c:pt>
                <c:pt idx="895">
                  <c:v>-8.34043918618109</c:v>
                </c:pt>
                <c:pt idx="896">
                  <c:v>-8.34756065343424</c:v>
                </c:pt>
                <c:pt idx="897">
                  <c:v>-8.35468218148012</c:v>
                </c:pt>
                <c:pt idx="898">
                  <c:v>-8.36180377031806</c:v>
                </c:pt>
                <c:pt idx="899">
                  <c:v>-8.36892541994742</c:v>
                </c:pt>
                <c:pt idx="900">
                  <c:v>-8.37604713036754</c:v>
                </c:pt>
                <c:pt idx="901">
                  <c:v>-8.38316890157777</c:v>
                </c:pt>
                <c:pt idx="902">
                  <c:v>-8.39029073357745</c:v>
                </c:pt>
                <c:pt idx="903">
                  <c:v>-8.39741262636593</c:v>
                </c:pt>
                <c:pt idx="904">
                  <c:v>-8.40453457994256</c:v>
                </c:pt>
                <c:pt idx="905">
                  <c:v>-8.41165659430669</c:v>
                </c:pt>
                <c:pt idx="906">
                  <c:v>-8.41877866945766</c:v>
                </c:pt>
                <c:pt idx="907">
                  <c:v>-8.42590080539481</c:v>
                </c:pt>
                <c:pt idx="908">
                  <c:v>-8.43302300211751</c:v>
                </c:pt>
                <c:pt idx="909">
                  <c:v>-8.44014525962509</c:v>
                </c:pt>
                <c:pt idx="910">
                  <c:v>-8.4472675779169</c:v>
                </c:pt>
                <c:pt idx="911">
                  <c:v>-8.45438995699228</c:v>
                </c:pt>
                <c:pt idx="912">
                  <c:v>-8.46151239685059</c:v>
                </c:pt>
                <c:pt idx="913">
                  <c:v>-8.46863489749117</c:v>
                </c:pt>
                <c:pt idx="914">
                  <c:v>-8.47575745891337</c:v>
                </c:pt>
                <c:pt idx="915">
                  <c:v>-8.48288008111653</c:v>
                </c:pt>
                <c:pt idx="916">
                  <c:v>-8.49000276410001</c:v>
                </c:pt>
                <c:pt idx="917">
                  <c:v>-8.49712550786314</c:v>
                </c:pt>
                <c:pt idx="918">
                  <c:v>-8.50424831240528</c:v>
                </c:pt>
                <c:pt idx="919">
                  <c:v>-8.51137117772577</c:v>
                </c:pt>
                <c:pt idx="920">
                  <c:v>-8.51849410382396</c:v>
                </c:pt>
                <c:pt idx="921">
                  <c:v>-8.5256170906992</c:v>
                </c:pt>
                <c:pt idx="922">
                  <c:v>-8.53274013835083</c:v>
                </c:pt>
                <c:pt idx="923">
                  <c:v>-8.5398632467782</c:v>
                </c:pt>
                <c:pt idx="924">
                  <c:v>-8.54698641598066</c:v>
                </c:pt>
                <c:pt idx="925">
                  <c:v>-8.55410964595755</c:v>
                </c:pt>
                <c:pt idx="926">
                  <c:v>-8.56123293670822</c:v>
                </c:pt>
                <c:pt idx="927">
                  <c:v>-8.56835628823202</c:v>
                </c:pt>
                <c:pt idx="928">
                  <c:v>-8.5754797005283</c:v>
                </c:pt>
                <c:pt idx="929">
                  <c:v>-8.5826031735964</c:v>
                </c:pt>
                <c:pt idx="930">
                  <c:v>-8.58972670743566</c:v>
                </c:pt>
                <c:pt idx="931">
                  <c:v>-8.59685030204544</c:v>
                </c:pt>
                <c:pt idx="932">
                  <c:v>-8.60397395742509</c:v>
                </c:pt>
                <c:pt idx="933">
                  <c:v>-8.61109767357394</c:v>
                </c:pt>
                <c:pt idx="934">
                  <c:v>-8.61822145049135</c:v>
                </c:pt>
                <c:pt idx="935">
                  <c:v>-8.62534528817667</c:v>
                </c:pt>
                <c:pt idx="936">
                  <c:v>-8.63246918662923</c:v>
                </c:pt>
                <c:pt idx="937">
                  <c:v>-8.63959314584839</c:v>
                </c:pt>
                <c:pt idx="938">
                  <c:v>-8.6467171658335</c:v>
                </c:pt>
                <c:pt idx="939">
                  <c:v>-8.6538412465839</c:v>
                </c:pt>
                <c:pt idx="940">
                  <c:v>-8.66096538809893</c:v>
                </c:pt>
                <c:pt idx="941">
                  <c:v>-8.66808959037795</c:v>
                </c:pt>
                <c:pt idx="942">
                  <c:v>-8.6752138534203</c:v>
                </c:pt>
                <c:pt idx="943">
                  <c:v>-8.68233817722534</c:v>
                </c:pt>
                <c:pt idx="944">
                  <c:v>-8.68946256179239</c:v>
                </c:pt>
                <c:pt idx="945">
                  <c:v>-8.69658700712082</c:v>
                </c:pt>
                <c:pt idx="946">
                  <c:v>-8.70371151320997</c:v>
                </c:pt>
                <c:pt idx="947">
                  <c:v>-8.71083608005919</c:v>
                </c:pt>
                <c:pt idx="948">
                  <c:v>-8.71796070766782</c:v>
                </c:pt>
                <c:pt idx="949">
                  <c:v>-8.72508539603521</c:v>
                </c:pt>
                <c:pt idx="950">
                  <c:v>-8.73221014516071</c:v>
                </c:pt>
                <c:pt idx="951">
                  <c:v>-8.73933495504366</c:v>
                </c:pt>
                <c:pt idx="952">
                  <c:v>-8.74645982568341</c:v>
                </c:pt>
                <c:pt idx="953">
                  <c:v>-8.75358475707931</c:v>
                </c:pt>
                <c:pt idx="954">
                  <c:v>-8.76070974923071</c:v>
                </c:pt>
                <c:pt idx="955">
                  <c:v>-8.76783480213695</c:v>
                </c:pt>
                <c:pt idx="956">
                  <c:v>-8.77495991579738</c:v>
                </c:pt>
                <c:pt idx="957">
                  <c:v>-8.78208509021134</c:v>
                </c:pt>
                <c:pt idx="958">
                  <c:v>-8.78921032537819</c:v>
                </c:pt>
                <c:pt idx="959">
                  <c:v>-8.79633562129726</c:v>
                </c:pt>
                <c:pt idx="960">
                  <c:v>-8.80346097796792</c:v>
                </c:pt>
                <c:pt idx="961">
                  <c:v>-8.81058639538949</c:v>
                </c:pt>
                <c:pt idx="962">
                  <c:v>-8.81771187356134</c:v>
                </c:pt>
                <c:pt idx="963">
                  <c:v>-8.82483741248281</c:v>
                </c:pt>
                <c:pt idx="964">
                  <c:v>-8.83196301215324</c:v>
                </c:pt>
                <c:pt idx="965">
                  <c:v>-8.83908867257198</c:v>
                </c:pt>
                <c:pt idx="966">
                  <c:v>-8.84621439373838</c:v>
                </c:pt>
                <c:pt idx="967">
                  <c:v>-8.85334017565179</c:v>
                </c:pt>
                <c:pt idx="968">
                  <c:v>-8.86046601831154</c:v>
                </c:pt>
                <c:pt idx="969">
                  <c:v>-8.867591921717</c:v>
                </c:pt>
                <c:pt idx="970">
                  <c:v>-8.8747178858675</c:v>
                </c:pt>
                <c:pt idx="971">
                  <c:v>-8.8818439107624</c:v>
                </c:pt>
                <c:pt idx="972">
                  <c:v>-8.88896999640104</c:v>
                </c:pt>
                <c:pt idx="973">
                  <c:v>-8.89609614278276</c:v>
                </c:pt>
                <c:pt idx="974">
                  <c:v>-8.90322234990692</c:v>
                </c:pt>
                <c:pt idx="975">
                  <c:v>-8.91034861777286</c:v>
                </c:pt>
                <c:pt idx="976">
                  <c:v>-8.91747494637992</c:v>
                </c:pt>
                <c:pt idx="977">
                  <c:v>-8.92460133572747</c:v>
                </c:pt>
                <c:pt idx="978">
                  <c:v>-8.93172778581483</c:v>
                </c:pt>
                <c:pt idx="979">
                  <c:v>-8.93885429664136</c:v>
                </c:pt>
                <c:pt idx="980">
                  <c:v>-8.94598086820641</c:v>
                </c:pt>
                <c:pt idx="981">
                  <c:v>-8.95310750050932</c:v>
                </c:pt>
                <c:pt idx="982">
                  <c:v>-8.96023419354944</c:v>
                </c:pt>
                <c:pt idx="983">
                  <c:v>-8.96736094732612</c:v>
                </c:pt>
                <c:pt idx="984">
                  <c:v>-8.9744877618387</c:v>
                </c:pt>
                <c:pt idx="985">
                  <c:v>-8.98161463708653</c:v>
                </c:pt>
                <c:pt idx="986">
                  <c:v>-8.98874157306896</c:v>
                </c:pt>
                <c:pt idx="987">
                  <c:v>-8.99586856978533</c:v>
                </c:pt>
                <c:pt idx="988">
                  <c:v>-9.00299562723499</c:v>
                </c:pt>
                <c:pt idx="989">
                  <c:v>-9.01012274541729</c:v>
                </c:pt>
                <c:pt idx="990">
                  <c:v>-9.01724992433158</c:v>
                </c:pt>
                <c:pt idx="991">
                  <c:v>-9.0243771639772</c:v>
                </c:pt>
                <c:pt idx="992">
                  <c:v>-9.03150446435349</c:v>
                </c:pt>
                <c:pt idx="993">
                  <c:v>-9.03863182545982</c:v>
                </c:pt>
                <c:pt idx="994">
                  <c:v>-9.04575924729551</c:v>
                </c:pt>
                <c:pt idx="995">
                  <c:v>-9.05288672985993</c:v>
                </c:pt>
                <c:pt idx="996">
                  <c:v>-9.06001427315241</c:v>
                </c:pt>
                <c:pt idx="997">
                  <c:v>-9.06714187717231</c:v>
                </c:pt>
                <c:pt idx="998">
                  <c:v>-9.07426954191897</c:v>
                </c:pt>
                <c:pt idx="999">
                  <c:v>-9.08139726739173</c:v>
                </c:pt>
                <c:pt idx="1000">
                  <c:v>-9.08852505358995</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0.0002640509309752</c:v>
                </c:pt>
                <c:pt idx="2">
                  <c:v>0.00175273237688055</c:v>
                </c:pt>
                <c:pt idx="3">
                  <c:v>0.00545610406193197</c:v>
                </c:pt>
                <c:pt idx="4">
                  <c:v>0.0115570799799965</c:v>
                </c:pt>
                <c:pt idx="5">
                  <c:v>0.019887626763166</c:v>
                </c:pt>
                <c:pt idx="6">
                  <c:v>0.0303862731855809</c:v>
                </c:pt>
                <c:pt idx="7">
                  <c:v>0.0430448816483504</c:v>
                </c:pt>
                <c:pt idx="8">
                  <c:v>0.0578552592877925</c:v>
                </c:pt>
                <c:pt idx="9">
                  <c:v>0.0748091583611076</c:v>
                </c:pt>
                <c:pt idx="10">
                  <c:v>0.093898276636523</c:v>
                </c:pt>
                <c:pt idx="11">
                  <c:v>0.115114257787836</c:v>
                </c:pt>
                <c:pt idx="12">
                  <c:v>0.138448691793286</c:v>
                </c:pt>
                <c:pt idx="13">
                  <c:v>0.163893115338667</c:v>
                </c:pt>
                <c:pt idx="14">
                  <c:v>0.191439012224629</c:v>
                </c:pt>
                <c:pt idx="15">
                  <c:v>0.221077813778067</c:v>
                </c:pt>
                <c:pt idx="16">
                  <c:v>0.252800899267539</c:v>
                </c:pt>
                <c:pt idx="17">
                  <c:v>0.28659959632262</c:v>
                </c:pt>
                <c:pt idx="18">
                  <c:v>0.322465181357135</c:v>
                </c:pt>
                <c:pt idx="19">
                  <c:v>0.360388879996165</c:v>
                </c:pt>
                <c:pt idx="20">
                  <c:v>0.400361867506773</c:v>
                </c:pt>
                <c:pt idx="21">
                  <c:v>0.442375269232349</c:v>
                </c:pt>
                <c:pt idx="22">
                  <c:v>0.486504097934803</c:v>
                </c:pt>
                <c:pt idx="23">
                  <c:v>0.532827327943045</c:v>
                </c:pt>
                <c:pt idx="24">
                  <c:v>0.581343823304871</c:v>
                </c:pt>
                <c:pt idx="25">
                  <c:v>0.632052086116819</c:v>
                </c:pt>
                <c:pt idx="26">
                  <c:v>0.684950227130358</c:v>
                </c:pt>
                <c:pt idx="27">
                  <c:v>0.740035991052591</c:v>
                </c:pt>
                <c:pt idx="28">
                  <c:v>0.797306779056704</c:v>
                </c:pt>
                <c:pt idx="29">
                  <c:v>0.856759668909874</c:v>
                </c:pt>
                <c:pt idx="30">
                  <c:v>0.918391433054189</c:v>
                </c:pt>
                <c:pt idx="31">
                  <c:v>0.982198554918847</c:v>
                </c:pt>
                <c:pt idx="32">
                  <c:v>1.04817724369602</c:v>
                </c:pt>
                <c:pt idx="33">
                  <c:v>1.11632344777567</c:v>
                </c:pt>
                <c:pt idx="34">
                  <c:v>1.18663286700435</c:v>
                </c:pt>
                <c:pt idx="35">
                  <c:v>1.25910096390855</c:v>
                </c:pt>
                <c:pt idx="36">
                  <c:v>1.33372297400227</c:v>
                </c:pt>
                <c:pt idx="37">
                  <c:v>1.41049391528209</c:v>
                </c:pt>
                <c:pt idx="38">
                  <c:v>1.48940859699853</c:v>
                </c:pt>
                <c:pt idx="39">
                  <c:v>1.57046162778065</c:v>
                </c:pt>
                <c:pt idx="40">
                  <c:v>1.65364742318099</c:v>
                </c:pt>
                <c:pt idx="41">
                  <c:v>1.7389602126994</c:v>
                </c:pt>
                <c:pt idx="42">
                  <c:v>1.8263940463369</c:v>
                </c:pt>
                <c:pt idx="43">
                  <c:v>1.9159428007248</c:v>
                </c:pt>
                <c:pt idx="44">
                  <c:v>2.00760018486897</c:v>
                </c:pt>
                <c:pt idx="45">
                  <c:v>2.10135974554421</c:v>
                </c:pt>
                <c:pt idx="46">
                  <c:v>2.19721487237039</c:v>
                </c:pt>
                <c:pt idx="47">
                  <c:v>2.29515880259785</c:v>
                </c:pt>
                <c:pt idx="48">
                  <c:v>2.39518462562717</c:v>
                </c:pt>
                <c:pt idx="49">
                  <c:v>2.49728528728538</c:v>
                </c:pt>
                <c:pt idx="50">
                  <c:v>2.60145359387868</c:v>
                </c:pt>
                <c:pt idx="51">
                  <c:v>2.70768221603955</c:v>
                </c:pt>
                <c:pt idx="52">
                  <c:v>2.81596369238441</c:v>
                </c:pt>
                <c:pt idx="53">
                  <c:v>2.92629043299643</c:v>
                </c:pt>
                <c:pt idx="54">
                  <c:v>3.03865472274672</c:v>
                </c:pt>
                <c:pt idx="55">
                  <c:v>3.15304872446584</c:v>
                </c:pt>
                <c:pt idx="56">
                  <c:v>3.2694644819765</c:v>
                </c:pt>
                <c:pt idx="57">
                  <c:v>3.38789392299733</c:v>
                </c:pt>
                <c:pt idx="58">
                  <c:v>3.50832886192681</c:v>
                </c:pt>
                <c:pt idx="59">
                  <c:v>3.63076100251548</c:v>
                </c:pt>
                <c:pt idx="60">
                  <c:v>3.75518194043399</c:v>
                </c:pt>
                <c:pt idx="61">
                  <c:v>3.88158316574394</c:v>
                </c:pt>
                <c:pt idx="62">
                  <c:v>4.00995606527774</c:v>
                </c:pt>
                <c:pt idx="63">
                  <c:v>4.14028673339737</c:v>
                </c:pt>
                <c:pt idx="64">
                  <c:v>4.27255075481131</c:v>
                </c:pt>
                <c:pt idx="65">
                  <c:v>4.40671836379116</c:v>
                </c:pt>
                <c:pt idx="66">
                  <c:v>4.54275963260079</c:v>
                </c:pt>
                <c:pt idx="67">
                  <c:v>4.68063968571726</c:v>
                </c:pt>
                <c:pt idx="68">
                  <c:v>4.82031389031129</c:v>
                </c:pt>
                <c:pt idx="69">
                  <c:v>4.96172407542431</c:v>
                </c:pt>
                <c:pt idx="70">
                  <c:v>5.10479473646288</c:v>
                </c:pt>
                <c:pt idx="71">
                  <c:v>5.249441542874</c:v>
                </c:pt>
                <c:pt idx="72">
                  <c:v>5.39557988836756</c:v>
                </c:pt>
                <c:pt idx="73">
                  <c:v>5.54312490378916</c:v>
                </c:pt>
                <c:pt idx="74">
                  <c:v>5.69199146949723</c:v>
                </c:pt>
                <c:pt idx="75">
                  <c:v>5.84209422726325</c:v>
                </c:pt>
                <c:pt idx="76">
                  <c:v>5.99334759171102</c:v>
                </c:pt>
                <c:pt idx="77">
                  <c:v>6.145665761309</c:v>
                </c:pt>
                <c:pt idx="78">
                  <c:v>6.29896272892765</c:v>
                </c:pt>
                <c:pt idx="79">
                  <c:v>6.45315229197218</c:v>
                </c:pt>
                <c:pt idx="80">
                  <c:v>6.60814806209938</c:v>
                </c:pt>
                <c:pt idx="81">
                  <c:v>6.76387381597904</c:v>
                </c:pt>
                <c:pt idx="82">
                  <c:v>6.9202738780059</c:v>
                </c:pt>
                <c:pt idx="83">
                  <c:v>7.07730282163948</c:v>
                </c:pt>
                <c:pt idx="84">
                  <c:v>7.23491513542946</c:v>
                </c:pt>
                <c:pt idx="85">
                  <c:v>7.39306522574327</c:v>
                </c:pt>
                <c:pt idx="86">
                  <c:v>7.55170741938369</c:v>
                </c:pt>
                <c:pt idx="87">
                  <c:v>7.71079596609759</c:v>
                </c:pt>
                <c:pt idx="88">
                  <c:v>7.87028504097633</c:v>
                </c:pt>
                <c:pt idx="89">
                  <c:v>8.03013204755353</c:v>
                </c:pt>
                <c:pt idx="90">
                  <c:v>8.1903009297815</c:v>
                </c:pt>
                <c:pt idx="91">
                  <c:v>8.35075888252431</c:v>
                </c:pt>
                <c:pt idx="92">
                  <c:v>8.51147305252637</c:v>
                </c:pt>
                <c:pt idx="93">
                  <c:v>8.67241136882667</c:v>
                </c:pt>
                <c:pt idx="94">
                  <c:v>8.83354337526783</c:v>
                </c:pt>
                <c:pt idx="95">
                  <c:v>8.99483940420411</c:v>
                </c:pt>
                <c:pt idx="96">
                  <c:v>9.15626974792777</c:v>
                </c:pt>
                <c:pt idx="97">
                  <c:v>9.31780799326488</c:v>
                </c:pt>
                <c:pt idx="98">
                  <c:v>9.47943436442749</c:v>
                </c:pt>
                <c:pt idx="99">
                  <c:v>9.64113239797863</c:v>
                </c:pt>
                <c:pt idx="100">
                  <c:v>9.80288560926065</c:v>
                </c:pt>
                <c:pt idx="101">
                  <c:v>9.96467749250837</c:v>
                </c:pt>
                <c:pt idx="102">
                  <c:v>10.1264915209482</c:v>
                </c:pt>
                <c:pt idx="103">
                  <c:v>10.2883111468834</c:v>
                </c:pt>
                <c:pt idx="104">
                  <c:v>10.450119801765</c:v>
                </c:pt>
                <c:pt idx="105">
                  <c:v>10.611900896249</c:v>
                </c:pt>
                <c:pt idx="106">
                  <c:v>10.7736378202387</c:v>
                </c:pt>
                <c:pt idx="107">
                  <c:v>10.9353139429132</c:v>
                </c:pt>
                <c:pt idx="108">
                  <c:v>11.096912612741</c:v>
                </c:pt>
                <c:pt idx="109">
                  <c:v>11.2584213855259</c:v>
                </c:pt>
                <c:pt idx="110">
                  <c:v>11.4198362625145</c:v>
                </c:pt>
                <c:pt idx="111">
                  <c:v>11.5811574724183</c:v>
                </c:pt>
                <c:pt idx="112">
                  <c:v>11.7423852433695</c:v>
                </c:pt>
                <c:pt idx="113">
                  <c:v>11.903519802924</c:v>
                </c:pt>
                <c:pt idx="114">
                  <c:v>12.0645613780633</c:v>
                </c:pt>
                <c:pt idx="115">
                  <c:v>12.2255101951969</c:v>
                </c:pt>
                <c:pt idx="116">
                  <c:v>12.3863664801642</c:v>
                </c:pt>
                <c:pt idx="117">
                  <c:v>12.5471304582369</c:v>
                </c:pt>
                <c:pt idx="118">
                  <c:v>12.7078023541214</c:v>
                </c:pt>
                <c:pt idx="119">
                  <c:v>12.8683823919603</c:v>
                </c:pt>
                <c:pt idx="120">
                  <c:v>13.0288707953355</c:v>
                </c:pt>
                <c:pt idx="121">
                  <c:v>13.1892677872693</c:v>
                </c:pt>
                <c:pt idx="122">
                  <c:v>13.3495735902276</c:v>
                </c:pt>
                <c:pt idx="123">
                  <c:v>13.5097884261211</c:v>
                </c:pt>
                <c:pt idx="124">
                  <c:v>13.6699125163081</c:v>
                </c:pt>
                <c:pt idx="125">
                  <c:v>13.8299460815963</c:v>
                </c:pt>
                <c:pt idx="126">
                  <c:v>13.9898893422449</c:v>
                </c:pt>
                <c:pt idx="127">
                  <c:v>14.1497425179669</c:v>
                </c:pt>
                <c:pt idx="128">
                  <c:v>14.3095058279307</c:v>
                </c:pt>
                <c:pt idx="129">
                  <c:v>14.469179490763</c:v>
                </c:pt>
                <c:pt idx="130">
                  <c:v>14.6287637245499</c:v>
                </c:pt>
                <c:pt idx="131">
                  <c:v>14.7882587468398</c:v>
                </c:pt>
                <c:pt idx="132">
                  <c:v>14.9476647746448</c:v>
                </c:pt>
                <c:pt idx="133">
                  <c:v>15.1069820244432</c:v>
                </c:pt>
                <c:pt idx="134">
                  <c:v>15.2662107121813</c:v>
                </c:pt>
                <c:pt idx="135">
                  <c:v>15.4253510532754</c:v>
                </c:pt>
                <c:pt idx="136">
                  <c:v>15.584403262614</c:v>
                </c:pt>
                <c:pt idx="137">
                  <c:v>15.7433675545594</c:v>
                </c:pt>
                <c:pt idx="138">
                  <c:v>15.9022441429502</c:v>
                </c:pt>
                <c:pt idx="139">
                  <c:v>16.0610332411029</c:v>
                </c:pt>
                <c:pt idx="140">
                  <c:v>16.2197350618142</c:v>
                </c:pt>
                <c:pt idx="141">
                  <c:v>16.3783498173626</c:v>
                </c:pt>
                <c:pt idx="142">
                  <c:v>16.5368777195106</c:v>
                </c:pt>
                <c:pt idx="143">
                  <c:v>16.6953189795065</c:v>
                </c:pt>
                <c:pt idx="144">
                  <c:v>16.8536738080865</c:v>
                </c:pt>
                <c:pt idx="145">
                  <c:v>17.0119424154764</c:v>
                </c:pt>
                <c:pt idx="146">
                  <c:v>17.1701250113938</c:v>
                </c:pt>
                <c:pt idx="147">
                  <c:v>17.3282218050499</c:v>
                </c:pt>
                <c:pt idx="148">
                  <c:v>17.4862330051512</c:v>
                </c:pt>
                <c:pt idx="149">
                  <c:v>17.6441588199017</c:v>
                </c:pt>
                <c:pt idx="150">
                  <c:v>17.8019994570046</c:v>
                </c:pt>
                <c:pt idx="151">
                  <c:v>17.9597551236641</c:v>
                </c:pt>
                <c:pt idx="152">
                  <c:v>18.1174260265877</c:v>
                </c:pt>
                <c:pt idx="153">
                  <c:v>18.2750123719874</c:v>
                </c:pt>
                <c:pt idx="154">
                  <c:v>18.4325143655821</c:v>
                </c:pt>
                <c:pt idx="155">
                  <c:v>18.5899322125992</c:v>
                </c:pt>
                <c:pt idx="156">
                  <c:v>18.7472661177764</c:v>
                </c:pt>
                <c:pt idx="157">
                  <c:v>18.9045162853638</c:v>
                </c:pt>
                <c:pt idx="158">
                  <c:v>19.0616829191253</c:v>
                </c:pt>
                <c:pt idx="159">
                  <c:v>19.2187662223407</c:v>
                </c:pt>
                <c:pt idx="160">
                  <c:v>19.3757663978076</c:v>
                </c:pt>
                <c:pt idx="161">
                  <c:v>19.5326836478426</c:v>
                </c:pt>
                <c:pt idx="162">
                  <c:v>19.689518174284</c:v>
                </c:pt>
                <c:pt idx="163">
                  <c:v>19.8462701784928</c:v>
                </c:pt>
                <c:pt idx="164">
                  <c:v>20.0029398613548</c:v>
                </c:pt>
                <c:pt idx="165">
                  <c:v>20.1595274232823</c:v>
                </c:pt>
                <c:pt idx="166">
                  <c:v>20.3160330642159</c:v>
                </c:pt>
                <c:pt idx="167">
                  <c:v>20.4724569836262</c:v>
                </c:pt>
                <c:pt idx="168">
                  <c:v>20.6287993805156</c:v>
                </c:pt>
                <c:pt idx="169">
                  <c:v>20.78506045342</c:v>
                </c:pt>
                <c:pt idx="170">
                  <c:v>20.9412404004103</c:v>
                </c:pt>
                <c:pt idx="171">
                  <c:v>21.0973394190945</c:v>
                </c:pt>
                <c:pt idx="172">
                  <c:v>21.2533577066193</c:v>
                </c:pt>
                <c:pt idx="173">
                  <c:v>21.4092954596715</c:v>
                </c:pt>
                <c:pt idx="174">
                  <c:v>21.5651528744801</c:v>
                </c:pt>
                <c:pt idx="175">
                  <c:v>21.7209301468177</c:v>
                </c:pt>
                <c:pt idx="176">
                  <c:v>21.8766274720023</c:v>
                </c:pt>
                <c:pt idx="177">
                  <c:v>22.032245044899</c:v>
                </c:pt>
                <c:pt idx="178">
                  <c:v>22.1877830599215</c:v>
                </c:pt>
                <c:pt idx="179">
                  <c:v>22.343241711034</c:v>
                </c:pt>
                <c:pt idx="180">
                  <c:v>22.4986211917525</c:v>
                </c:pt>
                <c:pt idx="181">
                  <c:v>22.653921695147</c:v>
                </c:pt>
                <c:pt idx="182">
                  <c:v>22.8091434138424</c:v>
                </c:pt>
                <c:pt idx="183">
                  <c:v>22.9642865400208</c:v>
                </c:pt>
                <c:pt idx="184">
                  <c:v>23.1193512654227</c:v>
                </c:pt>
                <c:pt idx="185">
                  <c:v>23.2743377813486</c:v>
                </c:pt>
                <c:pt idx="186">
                  <c:v>23.4292462786611</c:v>
                </c:pt>
                <c:pt idx="187">
                  <c:v>23.5840769477858</c:v>
                </c:pt>
                <c:pt idx="188">
                  <c:v>23.7388299787135</c:v>
                </c:pt>
                <c:pt idx="189">
                  <c:v>23.8935055610012</c:v>
                </c:pt>
                <c:pt idx="190">
                  <c:v>24.0481038837743</c:v>
                </c:pt>
                <c:pt idx="191">
                  <c:v>24.2026251357277</c:v>
                </c:pt>
                <c:pt idx="192">
                  <c:v>24.3570695051275</c:v>
                </c:pt>
                <c:pt idx="193">
                  <c:v>24.5114371798127</c:v>
                </c:pt>
                <c:pt idx="194">
                  <c:v>24.6657283471965</c:v>
                </c:pt>
                <c:pt idx="195">
                  <c:v>24.819943194268</c:v>
                </c:pt>
                <c:pt idx="196">
                  <c:v>24.9740819075937</c:v>
                </c:pt>
                <c:pt idx="197">
                  <c:v>25.1281446733192</c:v>
                </c:pt>
                <c:pt idx="198">
                  <c:v>25.2821316771702</c:v>
                </c:pt>
                <c:pt idx="199">
                  <c:v>25.4360431044547</c:v>
                </c:pt>
                <c:pt idx="200">
                  <c:v>25.589879140064</c:v>
                </c:pt>
                <c:pt idx="201">
                  <c:v>27.1241072462749</c:v>
                </c:pt>
                <c:pt idx="202">
                  <c:v>28.6509153679725</c:v>
                </c:pt>
                <c:pt idx="203">
                  <c:v>30.1704845272051</c:v>
                </c:pt>
                <c:pt idx="204">
                  <c:v>31.6829917738662</c:v>
                </c:pt>
                <c:pt idx="205">
                  <c:v>33.1886103254613</c:v>
                </c:pt>
                <c:pt idx="206">
                  <c:v>34.6875097008918</c:v>
                </c:pt>
                <c:pt idx="207">
                  <c:v>36.1798558485309</c:v>
                </c:pt>
                <c:pt idx="208">
                  <c:v>37.6658112688444</c:v>
                </c:pt>
                <c:pt idx="209">
                  <c:v>39.1455351317959</c:v>
                </c:pt>
                <c:pt idx="210">
                  <c:v>40.6191833892532</c:v>
                </c:pt>
                <c:pt idx="211">
                  <c:v>42.0869088826014</c:v>
                </c:pt>
                <c:pt idx="212">
                  <c:v>43.5488614457487</c:v>
                </c:pt>
                <c:pt idx="213">
                  <c:v>45.0051880036973</c:v>
                </c:pt>
                <c:pt idx="214">
                  <c:v>46.4560326668361</c:v>
                </c:pt>
                <c:pt idx="215">
                  <c:v>47.9015368210961</c:v>
                </c:pt>
                <c:pt idx="216">
                  <c:v>49.3418392140975</c:v>
                </c:pt>
                <c:pt idx="217">
                  <c:v>50.7770760373982</c:v>
                </c:pt>
                <c:pt idx="218">
                  <c:v>52.2073810049423</c:v>
                </c:pt>
                <c:pt idx="219">
                  <c:v>53.6328854277912</c:v>
                </c:pt>
                <c:pt idx="220">
                  <c:v>55.0537182852011</c:v>
                </c:pt>
                <c:pt idx="221">
                  <c:v>56.4700062920988</c:v>
                </c:pt>
                <c:pt idx="222">
                  <c:v>57.8818739629875</c:v>
                </c:pt>
                <c:pt idx="223">
                  <c:v>59.2894436722966</c:v>
                </c:pt>
                <c:pt idx="224">
                  <c:v>60.6928357111703</c:v>
                </c:pt>
                <c:pt idx="225">
                  <c:v>62.0921683406678</c:v>
                </c:pt>
                <c:pt idx="226">
                  <c:v>63.4875578413254</c:v>
                </c:pt>
                <c:pt idx="227">
                  <c:v>64.8791185590055</c:v>
                </c:pt>
                <c:pt idx="228">
                  <c:v>66.2669629469261</c:v>
                </c:pt>
                <c:pt idx="229">
                  <c:v>67.6512016037385</c:v>
                </c:pt>
                <c:pt idx="230">
                  <c:v>69.0319433074777</c:v>
                </c:pt>
                <c:pt idx="231">
                  <c:v>70.4092950451771</c:v>
                </c:pt>
                <c:pt idx="232">
                  <c:v>71.7833620378873</c:v>
                </c:pt>
                <c:pt idx="233">
                  <c:v>73.154247760791</c:v>
                </c:pt>
                <c:pt idx="234">
                  <c:v>74.5220539580438</c:v>
                </c:pt>
                <c:pt idx="235">
                  <c:v>75.8868806519034</c:v>
                </c:pt>
                <c:pt idx="236">
                  <c:v>77.2488261456333</c:v>
                </c:pt>
                <c:pt idx="237">
                  <c:v>78.6079870195742</c:v>
                </c:pt>
                <c:pt idx="238">
                  <c:v>79.9644581196798</c:v>
                </c:pt>
                <c:pt idx="239">
                  <c:v>81.3183325376901</c:v>
                </c:pt>
                <c:pt idx="240">
                  <c:v>82.6697015819911</c:v>
                </c:pt>
                <c:pt idx="241">
                  <c:v>84.018654738055</c:v>
                </c:pt>
                <c:pt idx="242">
                  <c:v>85.3652796171916</c:v>
                </c:pt>
                <c:pt idx="243">
                  <c:v>86.7096618921615</c:v>
                </c:pt>
                <c:pt idx="244">
                  <c:v>88.0518852180017</c:v>
                </c:pt>
                <c:pt idx="245">
                  <c:v>89.3920311362153</c:v>
                </c:pt>
                <c:pt idx="246">
                  <c:v>90.730178960275</c:v>
                </c:pt>
                <c:pt idx="247">
                  <c:v>92.0664056402108</c:v>
                </c:pt>
                <c:pt idx="248">
                  <c:v>93.4007856039167</c:v>
                </c:pt>
                <c:pt idx="249">
                  <c:v>94.7333905727708</c:v>
                </c:pt>
                <c:pt idx="250">
                  <c:v>96.0642893492522</c:v>
                </c:pt>
                <c:pt idx="251">
                  <c:v>97.3935475745626</c:v>
                </c:pt>
                <c:pt idx="252">
                  <c:v>98.7212274548912</c:v>
                </c:pt>
                <c:pt idx="253">
                  <c:v>100.047387456033</c:v>
                </c:pt>
                <c:pt idx="254">
                  <c:v>101.372081967693</c:v>
                </c:pt>
                <c:pt idx="255">
                  <c:v>102.695360941113</c:v>
                </c:pt>
                <c:pt idx="256">
                  <c:v>104.017269506614</c:v>
                </c:pt>
                <c:pt idx="257">
                  <c:v>105.337847581295</c:v>
                </c:pt>
                <c:pt idx="258">
                  <c:v>106.65712948104</c:v>
                </c:pt>
                <c:pt idx="259">
                  <c:v>107.975143554761</c:v>
                </c:pt>
                <c:pt idx="260">
                  <c:v>109.29191186161</c:v>
                </c:pt>
                <c:pt idx="261">
                  <c:v>110.607449912884</c:v>
                </c:pt>
                <c:pt idx="262">
                  <c:v>111.921766498765</c:v>
                </c:pt>
                <c:pt idx="263">
                  <c:v>113.234863615499</c:v>
                </c:pt>
                <c:pt idx="264">
                  <c:v>114.546736501578</c:v>
                </c:pt>
                <c:pt idx="265">
                  <c:v>115.857373782858</c:v>
                </c:pt>
                <c:pt idx="266">
                  <c:v>117.166757717944</c:v>
                </c:pt>
                <c:pt idx="267">
                  <c:v>118.47486452808</c:v>
                </c:pt>
                <c:pt idx="268">
                  <c:v>119.781664791249</c:v>
                </c:pt>
                <c:pt idx="269">
                  <c:v>121.087123878618</c:v>
                </c:pt>
                <c:pt idx="270">
                  <c:v>122.391202412443</c:v>
                </c:pt>
                <c:pt idx="271">
                  <c:v>123.693856727445</c:v>
                </c:pt>
                <c:pt idx="272">
                  <c:v>124.995039321455</c:v>
                </c:pt>
                <c:pt idx="273">
                  <c:v>126.294699285146</c:v>
                </c:pt>
                <c:pt idx="274">
                  <c:v>127.592782704301</c:v>
                </c:pt>
                <c:pt idx="275">
                  <c:v>128.889233031113</c:v>
                </c:pt>
                <c:pt idx="276">
                  <c:v>130.183991423304</c:v>
                </c:pt>
                <c:pt idx="277">
                  <c:v>131.476997051489</c:v>
                </c:pt>
                <c:pt idx="278">
                  <c:v>132.768187376292</c:v>
                </c:pt>
                <c:pt idx="279">
                  <c:v>134.057498397319</c:v>
                </c:pt>
                <c:pt idx="280">
                  <c:v>135.344864876434</c:v>
                </c:pt>
                <c:pt idx="281">
                  <c:v>136.630220537849</c:v>
                </c:pt>
                <c:pt idx="282">
                  <c:v>137.91349824748</c:v>
                </c:pt>
                <c:pt idx="283">
                  <c:v>139.194630173895</c:v>
                </c:pt>
                <c:pt idx="284">
                  <c:v>140.473547932965</c:v>
                </c:pt>
                <c:pt idx="285">
                  <c:v>141.750182718156</c:v>
                </c:pt>
                <c:pt idx="286">
                  <c:v>143.024465418141</c:v>
                </c:pt>
                <c:pt idx="287">
                  <c:v>144.296326723279</c:v>
                </c:pt>
                <c:pt idx="288">
                  <c:v>145.565697222252</c:v>
                </c:pt>
                <c:pt idx="289">
                  <c:v>146.832507490033</c:v>
                </c:pt>
                <c:pt idx="290">
                  <c:v>148.096688168197</c:v>
                </c:pt>
                <c:pt idx="291">
                  <c:v>149.358170038437</c:v>
                </c:pt>
                <c:pt idx="292">
                  <c:v>150.616884090054</c:v>
                </c:pt>
                <c:pt idx="293">
                  <c:v>151.872761582084</c:v>
                </c:pt>
                <c:pt idx="294">
                  <c:v>153.125734100618</c:v>
                </c:pt>
                <c:pt idx="295">
                  <c:v>154.375733611838</c:v>
                </c:pt>
                <c:pt idx="296">
                  <c:v>155.622692511179</c:v>
                </c:pt>
                <c:pt idx="297">
                  <c:v>156.866543668995</c:v>
                </c:pt>
                <c:pt idx="298">
                  <c:v>158.107220473077</c:v>
                </c:pt>
                <c:pt idx="299">
                  <c:v>159.34465686828</c:v>
                </c:pt>
                <c:pt idx="300">
                  <c:v>160.578787393525</c:v>
                </c:pt>
                <c:pt idx="301">
                  <c:v>161.809547216404</c:v>
                </c:pt>
                <c:pt idx="302">
                  <c:v>163.036872165549</c:v>
                </c:pt>
                <c:pt idx="303">
                  <c:v>164.260698760965</c:v>
                </c:pt>
                <c:pt idx="304">
                  <c:v>165.480964242463</c:v>
                </c:pt>
                <c:pt idx="305">
                  <c:v>166.697606596321</c:v>
                </c:pt>
                <c:pt idx="306">
                  <c:v>167.910564580289</c:v>
                </c:pt>
                <c:pt idx="307">
                  <c:v>169.119777747057</c:v>
                </c:pt>
                <c:pt idx="308">
                  <c:v>170.325186466254</c:v>
                </c:pt>
                <c:pt idx="309">
                  <c:v>171.526731945079</c:v>
                </c:pt>
                <c:pt idx="310">
                  <c:v>172.724356247625</c:v>
                </c:pt>
                <c:pt idx="311">
                  <c:v>173.918002312976</c:v>
                </c:pt>
                <c:pt idx="312">
                  <c:v>175.107613972118</c:v>
                </c:pt>
                <c:pt idx="313">
                  <c:v>176.293135963735</c:v>
                </c:pt>
                <c:pt idx="314">
                  <c:v>177.474513948929</c:v>
                </c:pt>
                <c:pt idx="315">
                  <c:v>178.651694524911</c:v>
                </c:pt>
                <c:pt idx="316">
                  <c:v>179.824625237706</c:v>
                </c:pt>
                <c:pt idx="317">
                  <c:v>180.993254593904</c:v>
                </c:pt>
                <c:pt idx="318">
                  <c:v>182.157532071501</c:v>
                </c:pt>
                <c:pt idx="319">
                  <c:v>183.317408129849</c:v>
                </c:pt>
                <c:pt idx="320">
                  <c:v>184.47283421876</c:v>
                </c:pt>
                <c:pt idx="321">
                  <c:v>185.623762786773</c:v>
                </c:pt>
                <c:pt idx="322">
                  <c:v>186.770147288634</c:v>
                </c:pt>
                <c:pt idx="323">
                  <c:v>187.911942191991</c:v>
                </c:pt>
                <c:pt idx="324">
                  <c:v>189.049102983338</c:v>
                </c:pt>
                <c:pt idx="325">
                  <c:v>190.181586173237</c:v>
                </c:pt>
                <c:pt idx="326">
                  <c:v>191.30934930082</c:v>
                </c:pt>
                <c:pt idx="327">
                  <c:v>192.432350937613</c:v>
                </c:pt>
                <c:pt idx="328">
                  <c:v>193.550550690681</c:v>
                </c:pt>
                <c:pt idx="329">
                  <c:v>194.663909205136</c:v>
                </c:pt>
                <c:pt idx="330">
                  <c:v>195.772388166001</c:v>
                </c:pt>
                <c:pt idx="331">
                  <c:v>196.875950299465</c:v>
                </c:pt>
                <c:pt idx="332">
                  <c:v>197.974559373545</c:v>
                </c:pt>
                <c:pt idx="333">
                  <c:v>199.06818019816</c:v>
                </c:pt>
                <c:pt idx="334">
                  <c:v>200.156778624649</c:v>
                </c:pt>
                <c:pt idx="335">
                  <c:v>201.240321544737</c:v>
                </c:pt>
                <c:pt idx="336">
                  <c:v>202.31877688897</c:v>
                </c:pt>
                <c:pt idx="337">
                  <c:v>203.392113624637</c:v>
                </c:pt>
                <c:pt idx="338">
                  <c:v>204.460301753185</c:v>
                </c:pt>
                <c:pt idx="339">
                  <c:v>205.523312307158</c:v>
                </c:pt>
                <c:pt idx="340">
                  <c:v>206.581117346653</c:v>
                </c:pt>
                <c:pt idx="341">
                  <c:v>207.633689955331</c:v>
                </c:pt>
                <c:pt idx="342">
                  <c:v>208.68100423598</c:v>
                </c:pt>
                <c:pt idx="343">
                  <c:v>209.723035305651</c:v>
                </c:pt>
                <c:pt idx="344">
                  <c:v>210.759759290385</c:v>
                </c:pt>
                <c:pt idx="345">
                  <c:v>211.791153319536</c:v>
                </c:pt>
                <c:pt idx="346">
                  <c:v>211.791153319536</c:v>
                </c:pt>
                <c:pt idx="347">
                  <c:v>211.791153319536</c:v>
                </c:pt>
                <c:pt idx="348">
                  <c:v>211.791153319536</c:v>
                </c:pt>
                <c:pt idx="349">
                  <c:v>211.791153319536</c:v>
                </c:pt>
                <c:pt idx="350">
                  <c:v>211.791153319536</c:v>
                </c:pt>
                <c:pt idx="351">
                  <c:v>211.791153319536</c:v>
                </c:pt>
                <c:pt idx="352">
                  <c:v>211.791153319536</c:v>
                </c:pt>
                <c:pt idx="353">
                  <c:v>211.791153319536</c:v>
                </c:pt>
                <c:pt idx="354">
                  <c:v>211.791153319536</c:v>
                </c:pt>
                <c:pt idx="355">
                  <c:v>211.791153319536</c:v>
                </c:pt>
                <c:pt idx="356">
                  <c:v>211.791153319536</c:v>
                </c:pt>
                <c:pt idx="357">
                  <c:v>211.791153319536</c:v>
                </c:pt>
                <c:pt idx="358">
                  <c:v>211.791153319536</c:v>
                </c:pt>
                <c:pt idx="359">
                  <c:v>211.791153319536</c:v>
                </c:pt>
                <c:pt idx="360">
                  <c:v>211.791153319536</c:v>
                </c:pt>
                <c:pt idx="361">
                  <c:v>211.791153319536</c:v>
                </c:pt>
                <c:pt idx="362">
                  <c:v>211.791153319536</c:v>
                </c:pt>
                <c:pt idx="363">
                  <c:v>211.791153319536</c:v>
                </c:pt>
                <c:pt idx="364">
                  <c:v>211.791153319536</c:v>
                </c:pt>
                <c:pt idx="365">
                  <c:v>211.791153319536</c:v>
                </c:pt>
                <c:pt idx="366">
                  <c:v>211.791153319536</c:v>
                </c:pt>
                <c:pt idx="367">
                  <c:v>211.791153319536</c:v>
                </c:pt>
                <c:pt idx="368">
                  <c:v>211.791153319536</c:v>
                </c:pt>
                <c:pt idx="369">
                  <c:v>211.791153319536</c:v>
                </c:pt>
                <c:pt idx="370">
                  <c:v>211.791153319536</c:v>
                </c:pt>
                <c:pt idx="371">
                  <c:v>211.791153319536</c:v>
                </c:pt>
                <c:pt idx="372">
                  <c:v>211.791153319536</c:v>
                </c:pt>
                <c:pt idx="373">
                  <c:v>211.791153319536</c:v>
                </c:pt>
                <c:pt idx="374">
                  <c:v>211.791153319536</c:v>
                </c:pt>
                <c:pt idx="375">
                  <c:v>211.791153319536</c:v>
                </c:pt>
                <c:pt idx="376">
                  <c:v>211.791153319536</c:v>
                </c:pt>
                <c:pt idx="377">
                  <c:v>211.791153319536</c:v>
                </c:pt>
                <c:pt idx="378">
                  <c:v>211.791153319536</c:v>
                </c:pt>
                <c:pt idx="379">
                  <c:v>211.791153319536</c:v>
                </c:pt>
                <c:pt idx="380">
                  <c:v>211.791153319536</c:v>
                </c:pt>
                <c:pt idx="381">
                  <c:v>211.791153319536</c:v>
                </c:pt>
                <c:pt idx="382">
                  <c:v>211.791153319536</c:v>
                </c:pt>
                <c:pt idx="383">
                  <c:v>211.791153319536</c:v>
                </c:pt>
                <c:pt idx="384">
                  <c:v>211.791153319536</c:v>
                </c:pt>
                <c:pt idx="385">
                  <c:v>211.791153319536</c:v>
                </c:pt>
                <c:pt idx="386">
                  <c:v>211.791153319536</c:v>
                </c:pt>
                <c:pt idx="387">
                  <c:v>211.791153319536</c:v>
                </c:pt>
                <c:pt idx="388">
                  <c:v>211.791153319536</c:v>
                </c:pt>
                <c:pt idx="389">
                  <c:v>211.791153319536</c:v>
                </c:pt>
                <c:pt idx="390">
                  <c:v>211.791153319536</c:v>
                </c:pt>
                <c:pt idx="391">
                  <c:v>211.791153319536</c:v>
                </c:pt>
                <c:pt idx="392">
                  <c:v>211.791153319536</c:v>
                </c:pt>
                <c:pt idx="393">
                  <c:v>211.791153319536</c:v>
                </c:pt>
                <c:pt idx="394">
                  <c:v>211.791153319536</c:v>
                </c:pt>
                <c:pt idx="395">
                  <c:v>211.791153319536</c:v>
                </c:pt>
                <c:pt idx="396">
                  <c:v>211.791153319536</c:v>
                </c:pt>
                <c:pt idx="397">
                  <c:v>211.791153319536</c:v>
                </c:pt>
                <c:pt idx="398">
                  <c:v>211.791153319536</c:v>
                </c:pt>
                <c:pt idx="399">
                  <c:v>211.791153319536</c:v>
                </c:pt>
                <c:pt idx="400">
                  <c:v>211.791153319536</c:v>
                </c:pt>
                <c:pt idx="401">
                  <c:v>211.791153319536</c:v>
                </c:pt>
                <c:pt idx="402">
                  <c:v>211.791153319536</c:v>
                </c:pt>
                <c:pt idx="403">
                  <c:v>211.791153319536</c:v>
                </c:pt>
                <c:pt idx="404">
                  <c:v>211.791153319536</c:v>
                </c:pt>
                <c:pt idx="405">
                  <c:v>211.791153319536</c:v>
                </c:pt>
                <c:pt idx="406">
                  <c:v>211.791153319536</c:v>
                </c:pt>
                <c:pt idx="407">
                  <c:v>211.791153319536</c:v>
                </c:pt>
                <c:pt idx="408">
                  <c:v>211.791153319536</c:v>
                </c:pt>
                <c:pt idx="409">
                  <c:v>211.791153319536</c:v>
                </c:pt>
                <c:pt idx="410">
                  <c:v>211.791153319536</c:v>
                </c:pt>
                <c:pt idx="411">
                  <c:v>211.791153319536</c:v>
                </c:pt>
                <c:pt idx="412">
                  <c:v>211.791153319536</c:v>
                </c:pt>
                <c:pt idx="413">
                  <c:v>211.791153319536</c:v>
                </c:pt>
                <c:pt idx="414">
                  <c:v>211.791153319536</c:v>
                </c:pt>
                <c:pt idx="415">
                  <c:v>211.791153319536</c:v>
                </c:pt>
                <c:pt idx="416">
                  <c:v>211.791153319536</c:v>
                </c:pt>
                <c:pt idx="417">
                  <c:v>211.791153319536</c:v>
                </c:pt>
                <c:pt idx="418">
                  <c:v>211.791153319536</c:v>
                </c:pt>
                <c:pt idx="419">
                  <c:v>211.791153319536</c:v>
                </c:pt>
                <c:pt idx="420">
                  <c:v>211.791153319536</c:v>
                </c:pt>
                <c:pt idx="421">
                  <c:v>211.791153319536</c:v>
                </c:pt>
                <c:pt idx="422">
                  <c:v>211.791153319536</c:v>
                </c:pt>
                <c:pt idx="423">
                  <c:v>211.791153319536</c:v>
                </c:pt>
                <c:pt idx="424">
                  <c:v>211.791153319536</c:v>
                </c:pt>
                <c:pt idx="425">
                  <c:v>211.791153319536</c:v>
                </c:pt>
                <c:pt idx="426">
                  <c:v>211.791153319536</c:v>
                </c:pt>
                <c:pt idx="427">
                  <c:v>211.791153319536</c:v>
                </c:pt>
                <c:pt idx="428">
                  <c:v>211.791153319536</c:v>
                </c:pt>
                <c:pt idx="429">
                  <c:v>211.791153319536</c:v>
                </c:pt>
                <c:pt idx="430">
                  <c:v>211.791153319536</c:v>
                </c:pt>
                <c:pt idx="431">
                  <c:v>211.791153319536</c:v>
                </c:pt>
                <c:pt idx="432">
                  <c:v>211.791153319536</c:v>
                </c:pt>
                <c:pt idx="433">
                  <c:v>211.791153319536</c:v>
                </c:pt>
                <c:pt idx="434">
                  <c:v>211.791153319536</c:v>
                </c:pt>
                <c:pt idx="435">
                  <c:v>211.791153319536</c:v>
                </c:pt>
                <c:pt idx="436">
                  <c:v>211.791153319536</c:v>
                </c:pt>
                <c:pt idx="437">
                  <c:v>211.791153319536</c:v>
                </c:pt>
                <c:pt idx="438">
                  <c:v>211.791153319536</c:v>
                </c:pt>
                <c:pt idx="439">
                  <c:v>211.791153319536</c:v>
                </c:pt>
                <c:pt idx="440">
                  <c:v>211.791153319536</c:v>
                </c:pt>
                <c:pt idx="441">
                  <c:v>211.791153319536</c:v>
                </c:pt>
                <c:pt idx="442">
                  <c:v>211.791153319536</c:v>
                </c:pt>
                <c:pt idx="443">
                  <c:v>211.791153319536</c:v>
                </c:pt>
                <c:pt idx="444">
                  <c:v>211.791153319536</c:v>
                </c:pt>
                <c:pt idx="445">
                  <c:v>211.791153319536</c:v>
                </c:pt>
                <c:pt idx="446">
                  <c:v>211.791153319536</c:v>
                </c:pt>
                <c:pt idx="447">
                  <c:v>211.791153319536</c:v>
                </c:pt>
                <c:pt idx="448">
                  <c:v>211.791153319536</c:v>
                </c:pt>
                <c:pt idx="449">
                  <c:v>211.791153319536</c:v>
                </c:pt>
                <c:pt idx="450">
                  <c:v>211.791153319536</c:v>
                </c:pt>
                <c:pt idx="451">
                  <c:v>211.791153319536</c:v>
                </c:pt>
                <c:pt idx="452">
                  <c:v>211.791153319536</c:v>
                </c:pt>
                <c:pt idx="453">
                  <c:v>211.791153319536</c:v>
                </c:pt>
                <c:pt idx="454">
                  <c:v>211.791153319536</c:v>
                </c:pt>
                <c:pt idx="455">
                  <c:v>211.791153319536</c:v>
                </c:pt>
                <c:pt idx="456">
                  <c:v>211.791153319536</c:v>
                </c:pt>
                <c:pt idx="457">
                  <c:v>211.791153319536</c:v>
                </c:pt>
                <c:pt idx="458">
                  <c:v>211.791153319536</c:v>
                </c:pt>
                <c:pt idx="459">
                  <c:v>211.791153319536</c:v>
                </c:pt>
                <c:pt idx="460">
                  <c:v>211.791153319536</c:v>
                </c:pt>
                <c:pt idx="461">
                  <c:v>211.791153319536</c:v>
                </c:pt>
                <c:pt idx="462">
                  <c:v>211.791153319536</c:v>
                </c:pt>
                <c:pt idx="463">
                  <c:v>211.791153319536</c:v>
                </c:pt>
                <c:pt idx="464">
                  <c:v>211.791153319536</c:v>
                </c:pt>
                <c:pt idx="465">
                  <c:v>211.791153319536</c:v>
                </c:pt>
                <c:pt idx="466">
                  <c:v>211.791153319536</c:v>
                </c:pt>
                <c:pt idx="467">
                  <c:v>211.791153319536</c:v>
                </c:pt>
                <c:pt idx="468">
                  <c:v>211.791153319536</c:v>
                </c:pt>
                <c:pt idx="469">
                  <c:v>211.791153319536</c:v>
                </c:pt>
                <c:pt idx="470">
                  <c:v>211.791153319536</c:v>
                </c:pt>
                <c:pt idx="471">
                  <c:v>211.791153319536</c:v>
                </c:pt>
                <c:pt idx="472">
                  <c:v>211.791153319536</c:v>
                </c:pt>
                <c:pt idx="473">
                  <c:v>211.791153319536</c:v>
                </c:pt>
                <c:pt idx="474">
                  <c:v>211.791153319536</c:v>
                </c:pt>
                <c:pt idx="475">
                  <c:v>211.791153319536</c:v>
                </c:pt>
                <c:pt idx="476">
                  <c:v>211.791153319536</c:v>
                </c:pt>
                <c:pt idx="477">
                  <c:v>211.791153319536</c:v>
                </c:pt>
                <c:pt idx="478">
                  <c:v>211.791153319536</c:v>
                </c:pt>
                <c:pt idx="479">
                  <c:v>211.791153319536</c:v>
                </c:pt>
                <c:pt idx="480">
                  <c:v>211.791153319536</c:v>
                </c:pt>
                <c:pt idx="481">
                  <c:v>211.791153319536</c:v>
                </c:pt>
                <c:pt idx="482">
                  <c:v>211.791153319536</c:v>
                </c:pt>
                <c:pt idx="483">
                  <c:v>211.791153319536</c:v>
                </c:pt>
                <c:pt idx="484">
                  <c:v>211.791153319536</c:v>
                </c:pt>
                <c:pt idx="485">
                  <c:v>211.791153319536</c:v>
                </c:pt>
                <c:pt idx="486">
                  <c:v>211.791153319536</c:v>
                </c:pt>
                <c:pt idx="487">
                  <c:v>211.791153319536</c:v>
                </c:pt>
                <c:pt idx="488">
                  <c:v>211.791153319536</c:v>
                </c:pt>
                <c:pt idx="489">
                  <c:v>211.791153319536</c:v>
                </c:pt>
                <c:pt idx="490">
                  <c:v>211.791153319536</c:v>
                </c:pt>
                <c:pt idx="491">
                  <c:v>211.791153319536</c:v>
                </c:pt>
                <c:pt idx="492">
                  <c:v>211.791153319536</c:v>
                </c:pt>
                <c:pt idx="493">
                  <c:v>211.791153319536</c:v>
                </c:pt>
                <c:pt idx="494">
                  <c:v>211.791153319536</c:v>
                </c:pt>
                <c:pt idx="495">
                  <c:v>211.791153319536</c:v>
                </c:pt>
                <c:pt idx="496">
                  <c:v>211.791153319536</c:v>
                </c:pt>
                <c:pt idx="497">
                  <c:v>211.791153319536</c:v>
                </c:pt>
                <c:pt idx="498">
                  <c:v>211.791153319536</c:v>
                </c:pt>
                <c:pt idx="499">
                  <c:v>211.791153319536</c:v>
                </c:pt>
                <c:pt idx="500">
                  <c:v>211.791153319536</c:v>
                </c:pt>
                <c:pt idx="501">
                  <c:v>211.791153319536</c:v>
                </c:pt>
                <c:pt idx="502">
                  <c:v>211.791153319536</c:v>
                </c:pt>
                <c:pt idx="503">
                  <c:v>211.791153319536</c:v>
                </c:pt>
                <c:pt idx="504">
                  <c:v>211.791153319536</c:v>
                </c:pt>
                <c:pt idx="505">
                  <c:v>211.791153319536</c:v>
                </c:pt>
                <c:pt idx="506">
                  <c:v>211.791153319536</c:v>
                </c:pt>
                <c:pt idx="507">
                  <c:v>211.791153319536</c:v>
                </c:pt>
                <c:pt idx="508">
                  <c:v>211.791153319536</c:v>
                </c:pt>
                <c:pt idx="509">
                  <c:v>211.791153319536</c:v>
                </c:pt>
                <c:pt idx="510">
                  <c:v>211.791153319536</c:v>
                </c:pt>
                <c:pt idx="511">
                  <c:v>211.791153319536</c:v>
                </c:pt>
                <c:pt idx="512">
                  <c:v>211.791153319536</c:v>
                </c:pt>
                <c:pt idx="513">
                  <c:v>211.791153319536</c:v>
                </c:pt>
                <c:pt idx="514">
                  <c:v>211.791153319536</c:v>
                </c:pt>
                <c:pt idx="515">
                  <c:v>211.791153319536</c:v>
                </c:pt>
                <c:pt idx="516">
                  <c:v>211.791153319536</c:v>
                </c:pt>
                <c:pt idx="517">
                  <c:v>211.791153319536</c:v>
                </c:pt>
                <c:pt idx="518">
                  <c:v>211.791153319536</c:v>
                </c:pt>
                <c:pt idx="519">
                  <c:v>211.791153319536</c:v>
                </c:pt>
                <c:pt idx="520">
                  <c:v>211.791153319536</c:v>
                </c:pt>
                <c:pt idx="521">
                  <c:v>211.791153319536</c:v>
                </c:pt>
                <c:pt idx="522">
                  <c:v>211.791153319536</c:v>
                </c:pt>
                <c:pt idx="523">
                  <c:v>211.791153319536</c:v>
                </c:pt>
                <c:pt idx="524">
                  <c:v>211.791153319536</c:v>
                </c:pt>
                <c:pt idx="525">
                  <c:v>211.791153319536</c:v>
                </c:pt>
                <c:pt idx="526">
                  <c:v>211.791153319536</c:v>
                </c:pt>
                <c:pt idx="527">
                  <c:v>211.791153319536</c:v>
                </c:pt>
                <c:pt idx="528">
                  <c:v>211.791153319536</c:v>
                </c:pt>
                <c:pt idx="529">
                  <c:v>211.791153319536</c:v>
                </c:pt>
                <c:pt idx="530">
                  <c:v>211.791153319536</c:v>
                </c:pt>
                <c:pt idx="531">
                  <c:v>211.791153319536</c:v>
                </c:pt>
                <c:pt idx="532">
                  <c:v>211.791153319536</c:v>
                </c:pt>
                <c:pt idx="533">
                  <c:v>211.791153319536</c:v>
                </c:pt>
                <c:pt idx="534">
                  <c:v>211.791153319536</c:v>
                </c:pt>
                <c:pt idx="535">
                  <c:v>211.791153319536</c:v>
                </c:pt>
                <c:pt idx="536">
                  <c:v>211.791153319536</c:v>
                </c:pt>
                <c:pt idx="537">
                  <c:v>211.791153319536</c:v>
                </c:pt>
                <c:pt idx="538">
                  <c:v>211.791153319536</c:v>
                </c:pt>
                <c:pt idx="539">
                  <c:v>211.791153319536</c:v>
                </c:pt>
                <c:pt idx="540">
                  <c:v>211.791153319536</c:v>
                </c:pt>
                <c:pt idx="541">
                  <c:v>211.791153319536</c:v>
                </c:pt>
                <c:pt idx="542">
                  <c:v>211.791153319536</c:v>
                </c:pt>
                <c:pt idx="543">
                  <c:v>211.791153319536</c:v>
                </c:pt>
                <c:pt idx="544">
                  <c:v>211.791153319536</c:v>
                </c:pt>
                <c:pt idx="545">
                  <c:v>211.791153319536</c:v>
                </c:pt>
                <c:pt idx="546">
                  <c:v>211.791153319536</c:v>
                </c:pt>
                <c:pt idx="547">
                  <c:v>211.791153319536</c:v>
                </c:pt>
                <c:pt idx="548">
                  <c:v>211.791153319536</c:v>
                </c:pt>
                <c:pt idx="549">
                  <c:v>211.791153319536</c:v>
                </c:pt>
                <c:pt idx="550">
                  <c:v>211.791153319536</c:v>
                </c:pt>
                <c:pt idx="551">
                  <c:v>211.791153319536</c:v>
                </c:pt>
                <c:pt idx="552">
                  <c:v>211.791153319536</c:v>
                </c:pt>
                <c:pt idx="553">
                  <c:v>211.791153319536</c:v>
                </c:pt>
                <c:pt idx="554">
                  <c:v>211.791153319536</c:v>
                </c:pt>
                <c:pt idx="555">
                  <c:v>211.791153319536</c:v>
                </c:pt>
                <c:pt idx="556">
                  <c:v>211.791153319536</c:v>
                </c:pt>
                <c:pt idx="557">
                  <c:v>211.791153319536</c:v>
                </c:pt>
                <c:pt idx="558">
                  <c:v>211.791153319536</c:v>
                </c:pt>
                <c:pt idx="559">
                  <c:v>211.791153319536</c:v>
                </c:pt>
                <c:pt idx="560">
                  <c:v>211.791153319536</c:v>
                </c:pt>
                <c:pt idx="561">
                  <c:v>211.791153319536</c:v>
                </c:pt>
                <c:pt idx="562">
                  <c:v>211.791153319536</c:v>
                </c:pt>
                <c:pt idx="563">
                  <c:v>211.791153319536</c:v>
                </c:pt>
                <c:pt idx="564">
                  <c:v>211.791153319536</c:v>
                </c:pt>
                <c:pt idx="565">
                  <c:v>211.791153319536</c:v>
                </c:pt>
                <c:pt idx="566">
                  <c:v>211.791153319536</c:v>
                </c:pt>
                <c:pt idx="567">
                  <c:v>211.791153319536</c:v>
                </c:pt>
                <c:pt idx="568">
                  <c:v>211.791153319536</c:v>
                </c:pt>
                <c:pt idx="569">
                  <c:v>211.791153319536</c:v>
                </c:pt>
                <c:pt idx="570">
                  <c:v>211.791153319536</c:v>
                </c:pt>
                <c:pt idx="571">
                  <c:v>211.791153319536</c:v>
                </c:pt>
                <c:pt idx="572">
                  <c:v>211.791153319536</c:v>
                </c:pt>
                <c:pt idx="573">
                  <c:v>211.791153319536</c:v>
                </c:pt>
                <c:pt idx="574">
                  <c:v>211.791153319536</c:v>
                </c:pt>
                <c:pt idx="575">
                  <c:v>211.791153319536</c:v>
                </c:pt>
                <c:pt idx="576">
                  <c:v>211.791153319536</c:v>
                </c:pt>
                <c:pt idx="577">
                  <c:v>211.791153319536</c:v>
                </c:pt>
                <c:pt idx="578">
                  <c:v>211.791153319536</c:v>
                </c:pt>
                <c:pt idx="579">
                  <c:v>211.791153319536</c:v>
                </c:pt>
                <c:pt idx="580">
                  <c:v>211.791153319536</c:v>
                </c:pt>
                <c:pt idx="581">
                  <c:v>211.791153319536</c:v>
                </c:pt>
                <c:pt idx="582">
                  <c:v>211.791153319536</c:v>
                </c:pt>
                <c:pt idx="583">
                  <c:v>211.791153319536</c:v>
                </c:pt>
                <c:pt idx="584">
                  <c:v>211.791153319536</c:v>
                </c:pt>
                <c:pt idx="585">
                  <c:v>211.791153319536</c:v>
                </c:pt>
                <c:pt idx="586">
                  <c:v>211.791153319536</c:v>
                </c:pt>
                <c:pt idx="587">
                  <c:v>211.791153319536</c:v>
                </c:pt>
                <c:pt idx="588">
                  <c:v>211.791153319536</c:v>
                </c:pt>
                <c:pt idx="589">
                  <c:v>211.791153319536</c:v>
                </c:pt>
                <c:pt idx="590">
                  <c:v>211.791153319536</c:v>
                </c:pt>
                <c:pt idx="591">
                  <c:v>211.791153319536</c:v>
                </c:pt>
                <c:pt idx="592">
                  <c:v>211.791153319536</c:v>
                </c:pt>
                <c:pt idx="593">
                  <c:v>211.791153319536</c:v>
                </c:pt>
                <c:pt idx="594">
                  <c:v>211.791153319536</c:v>
                </c:pt>
                <c:pt idx="595">
                  <c:v>211.791153319536</c:v>
                </c:pt>
                <c:pt idx="596">
                  <c:v>211.791153319536</c:v>
                </c:pt>
                <c:pt idx="597">
                  <c:v>211.791153319536</c:v>
                </c:pt>
                <c:pt idx="598">
                  <c:v>211.791153319536</c:v>
                </c:pt>
                <c:pt idx="599">
                  <c:v>211.791153319536</c:v>
                </c:pt>
                <c:pt idx="600">
                  <c:v>211.791153319536</c:v>
                </c:pt>
                <c:pt idx="601">
                  <c:v>211.791153319536</c:v>
                </c:pt>
                <c:pt idx="602">
                  <c:v>211.791153319536</c:v>
                </c:pt>
                <c:pt idx="603">
                  <c:v>211.791153319536</c:v>
                </c:pt>
                <c:pt idx="604">
                  <c:v>211.791153319536</c:v>
                </c:pt>
                <c:pt idx="605">
                  <c:v>211.791153319536</c:v>
                </c:pt>
                <c:pt idx="606">
                  <c:v>211.791153319536</c:v>
                </c:pt>
                <c:pt idx="607">
                  <c:v>211.791153319536</c:v>
                </c:pt>
                <c:pt idx="608">
                  <c:v>211.791153319536</c:v>
                </c:pt>
                <c:pt idx="609">
                  <c:v>211.791153319536</c:v>
                </c:pt>
                <c:pt idx="610">
                  <c:v>211.791153319536</c:v>
                </c:pt>
                <c:pt idx="611">
                  <c:v>211.791153319536</c:v>
                </c:pt>
                <c:pt idx="612">
                  <c:v>211.791153319536</c:v>
                </c:pt>
                <c:pt idx="613">
                  <c:v>211.791153319536</c:v>
                </c:pt>
                <c:pt idx="614">
                  <c:v>211.791153319536</c:v>
                </c:pt>
                <c:pt idx="615">
                  <c:v>211.791153319536</c:v>
                </c:pt>
                <c:pt idx="616">
                  <c:v>211.791153319536</c:v>
                </c:pt>
                <c:pt idx="617">
                  <c:v>211.791153319536</c:v>
                </c:pt>
                <c:pt idx="618">
                  <c:v>211.791153319536</c:v>
                </c:pt>
                <c:pt idx="619">
                  <c:v>211.791153319536</c:v>
                </c:pt>
                <c:pt idx="620">
                  <c:v>211.791153319536</c:v>
                </c:pt>
                <c:pt idx="621">
                  <c:v>211.791153319536</c:v>
                </c:pt>
                <c:pt idx="622">
                  <c:v>211.791153319536</c:v>
                </c:pt>
                <c:pt idx="623">
                  <c:v>211.791153319536</c:v>
                </c:pt>
                <c:pt idx="624">
                  <c:v>211.791153319536</c:v>
                </c:pt>
                <c:pt idx="625">
                  <c:v>211.791153319536</c:v>
                </c:pt>
                <c:pt idx="626">
                  <c:v>211.791153319536</c:v>
                </c:pt>
                <c:pt idx="627">
                  <c:v>211.791153319536</c:v>
                </c:pt>
                <c:pt idx="628">
                  <c:v>211.791153319536</c:v>
                </c:pt>
                <c:pt idx="629">
                  <c:v>211.791153319536</c:v>
                </c:pt>
                <c:pt idx="630">
                  <c:v>211.791153319536</c:v>
                </c:pt>
                <c:pt idx="631">
                  <c:v>211.791153319536</c:v>
                </c:pt>
                <c:pt idx="632">
                  <c:v>211.791153319536</c:v>
                </c:pt>
                <c:pt idx="633">
                  <c:v>211.791153319536</c:v>
                </c:pt>
                <c:pt idx="634">
                  <c:v>211.791153319536</c:v>
                </c:pt>
                <c:pt idx="635">
                  <c:v>211.791153319536</c:v>
                </c:pt>
                <c:pt idx="636">
                  <c:v>211.791153319536</c:v>
                </c:pt>
                <c:pt idx="637">
                  <c:v>211.791153319536</c:v>
                </c:pt>
                <c:pt idx="638">
                  <c:v>211.791153319536</c:v>
                </c:pt>
                <c:pt idx="639">
                  <c:v>211.791153319536</c:v>
                </c:pt>
                <c:pt idx="640">
                  <c:v>211.791153319536</c:v>
                </c:pt>
                <c:pt idx="641">
                  <c:v>211.791153319536</c:v>
                </c:pt>
                <c:pt idx="642">
                  <c:v>211.791153319536</c:v>
                </c:pt>
                <c:pt idx="643">
                  <c:v>211.791153319536</c:v>
                </c:pt>
                <c:pt idx="644">
                  <c:v>211.791153319536</c:v>
                </c:pt>
                <c:pt idx="645">
                  <c:v>211.791153319536</c:v>
                </c:pt>
                <c:pt idx="646">
                  <c:v>211.791153319536</c:v>
                </c:pt>
                <c:pt idx="647">
                  <c:v>211.791153319536</c:v>
                </c:pt>
                <c:pt idx="648">
                  <c:v>211.791153319536</c:v>
                </c:pt>
                <c:pt idx="649">
                  <c:v>211.791153319536</c:v>
                </c:pt>
                <c:pt idx="650">
                  <c:v>211.791153319536</c:v>
                </c:pt>
                <c:pt idx="651">
                  <c:v>211.791153319536</c:v>
                </c:pt>
                <c:pt idx="652">
                  <c:v>211.791153319536</c:v>
                </c:pt>
                <c:pt idx="653">
                  <c:v>211.791153319536</c:v>
                </c:pt>
                <c:pt idx="654">
                  <c:v>211.791153319536</c:v>
                </c:pt>
                <c:pt idx="655">
                  <c:v>211.791153319536</c:v>
                </c:pt>
                <c:pt idx="656">
                  <c:v>211.791153319536</c:v>
                </c:pt>
                <c:pt idx="657">
                  <c:v>211.791153319536</c:v>
                </c:pt>
                <c:pt idx="658">
                  <c:v>211.791153319536</c:v>
                </c:pt>
                <c:pt idx="659">
                  <c:v>211.791153319536</c:v>
                </c:pt>
                <c:pt idx="660">
                  <c:v>211.791153319536</c:v>
                </c:pt>
                <c:pt idx="661">
                  <c:v>211.791153319536</c:v>
                </c:pt>
                <c:pt idx="662">
                  <c:v>211.791153319536</c:v>
                </c:pt>
                <c:pt idx="663">
                  <c:v>211.791153319536</c:v>
                </c:pt>
                <c:pt idx="664">
                  <c:v>211.791153319536</c:v>
                </c:pt>
                <c:pt idx="665">
                  <c:v>211.791153319536</c:v>
                </c:pt>
                <c:pt idx="666">
                  <c:v>211.791153319536</c:v>
                </c:pt>
                <c:pt idx="667">
                  <c:v>211.791153319536</c:v>
                </c:pt>
                <c:pt idx="668">
                  <c:v>211.791153319536</c:v>
                </c:pt>
                <c:pt idx="669">
                  <c:v>211.791153319536</c:v>
                </c:pt>
                <c:pt idx="670">
                  <c:v>211.791153319536</c:v>
                </c:pt>
                <c:pt idx="671">
                  <c:v>211.791153319536</c:v>
                </c:pt>
                <c:pt idx="672">
                  <c:v>211.791153319536</c:v>
                </c:pt>
                <c:pt idx="673">
                  <c:v>211.791153319536</c:v>
                </c:pt>
                <c:pt idx="674">
                  <c:v>211.791153319536</c:v>
                </c:pt>
                <c:pt idx="675">
                  <c:v>211.791153319536</c:v>
                </c:pt>
                <c:pt idx="676">
                  <c:v>211.791153319536</c:v>
                </c:pt>
                <c:pt idx="677">
                  <c:v>211.791153319536</c:v>
                </c:pt>
                <c:pt idx="678">
                  <c:v>211.791153319536</c:v>
                </c:pt>
                <c:pt idx="679">
                  <c:v>211.791153319536</c:v>
                </c:pt>
                <c:pt idx="680">
                  <c:v>211.791153319536</c:v>
                </c:pt>
                <c:pt idx="681">
                  <c:v>211.791153319536</c:v>
                </c:pt>
                <c:pt idx="682">
                  <c:v>211.791153319536</c:v>
                </c:pt>
                <c:pt idx="683">
                  <c:v>211.791153319536</c:v>
                </c:pt>
                <c:pt idx="684">
                  <c:v>211.791153319536</c:v>
                </c:pt>
                <c:pt idx="685">
                  <c:v>211.791153319536</c:v>
                </c:pt>
                <c:pt idx="686">
                  <c:v>211.791153319536</c:v>
                </c:pt>
                <c:pt idx="687">
                  <c:v>211.791153319536</c:v>
                </c:pt>
                <c:pt idx="688">
                  <c:v>211.791153319536</c:v>
                </c:pt>
                <c:pt idx="689">
                  <c:v>211.791153319536</c:v>
                </c:pt>
                <c:pt idx="690">
                  <c:v>211.791153319536</c:v>
                </c:pt>
                <c:pt idx="691">
                  <c:v>211.791153319536</c:v>
                </c:pt>
                <c:pt idx="692">
                  <c:v>211.791153319536</c:v>
                </c:pt>
                <c:pt idx="693">
                  <c:v>211.791153319536</c:v>
                </c:pt>
                <c:pt idx="694">
                  <c:v>211.791153319536</c:v>
                </c:pt>
                <c:pt idx="695">
                  <c:v>211.791153319536</c:v>
                </c:pt>
                <c:pt idx="696">
                  <c:v>211.791153319536</c:v>
                </c:pt>
                <c:pt idx="697">
                  <c:v>211.791153319536</c:v>
                </c:pt>
                <c:pt idx="698">
                  <c:v>211.791153319536</c:v>
                </c:pt>
                <c:pt idx="699">
                  <c:v>211.791153319536</c:v>
                </c:pt>
                <c:pt idx="700">
                  <c:v>211.791153319536</c:v>
                </c:pt>
                <c:pt idx="701">
                  <c:v>211.791153319536</c:v>
                </c:pt>
                <c:pt idx="702">
                  <c:v>211.791153319536</c:v>
                </c:pt>
                <c:pt idx="703">
                  <c:v>211.791153319536</c:v>
                </c:pt>
                <c:pt idx="704">
                  <c:v>211.791153319536</c:v>
                </c:pt>
                <c:pt idx="705">
                  <c:v>211.791153319536</c:v>
                </c:pt>
                <c:pt idx="706">
                  <c:v>211.791153319536</c:v>
                </c:pt>
                <c:pt idx="707">
                  <c:v>211.791153319536</c:v>
                </c:pt>
                <c:pt idx="708">
                  <c:v>211.791153319536</c:v>
                </c:pt>
                <c:pt idx="709">
                  <c:v>211.791153319536</c:v>
                </c:pt>
                <c:pt idx="710">
                  <c:v>211.791153319536</c:v>
                </c:pt>
                <c:pt idx="711">
                  <c:v>211.791153319536</c:v>
                </c:pt>
                <c:pt idx="712">
                  <c:v>211.791153319536</c:v>
                </c:pt>
                <c:pt idx="713">
                  <c:v>211.791153319536</c:v>
                </c:pt>
                <c:pt idx="714">
                  <c:v>211.791153319536</c:v>
                </c:pt>
                <c:pt idx="715">
                  <c:v>211.791153319536</c:v>
                </c:pt>
                <c:pt idx="716">
                  <c:v>211.791153319536</c:v>
                </c:pt>
                <c:pt idx="717">
                  <c:v>211.791153319536</c:v>
                </c:pt>
                <c:pt idx="718">
                  <c:v>211.791153319536</c:v>
                </c:pt>
                <c:pt idx="719">
                  <c:v>211.791153319536</c:v>
                </c:pt>
                <c:pt idx="720">
                  <c:v>211.791153319536</c:v>
                </c:pt>
                <c:pt idx="721">
                  <c:v>211.791153319536</c:v>
                </c:pt>
                <c:pt idx="722">
                  <c:v>211.791153319536</c:v>
                </c:pt>
                <c:pt idx="723">
                  <c:v>211.791153319536</c:v>
                </c:pt>
                <c:pt idx="724">
                  <c:v>211.791153319536</c:v>
                </c:pt>
                <c:pt idx="725">
                  <c:v>211.791153319536</c:v>
                </c:pt>
                <c:pt idx="726">
                  <c:v>211.791153319536</c:v>
                </c:pt>
                <c:pt idx="727">
                  <c:v>211.791153319536</c:v>
                </c:pt>
                <c:pt idx="728">
                  <c:v>211.791153319536</c:v>
                </c:pt>
                <c:pt idx="729">
                  <c:v>211.791153319536</c:v>
                </c:pt>
                <c:pt idx="730">
                  <c:v>211.791153319536</c:v>
                </c:pt>
                <c:pt idx="731">
                  <c:v>211.791153319536</c:v>
                </c:pt>
                <c:pt idx="732">
                  <c:v>211.791153319536</c:v>
                </c:pt>
                <c:pt idx="733">
                  <c:v>211.791153319536</c:v>
                </c:pt>
                <c:pt idx="734">
                  <c:v>211.791153319536</c:v>
                </c:pt>
                <c:pt idx="735">
                  <c:v>211.791153319536</c:v>
                </c:pt>
                <c:pt idx="736">
                  <c:v>211.791153319536</c:v>
                </c:pt>
                <c:pt idx="737">
                  <c:v>211.791153319536</c:v>
                </c:pt>
                <c:pt idx="738">
                  <c:v>211.791153319536</c:v>
                </c:pt>
                <c:pt idx="739">
                  <c:v>211.791153319536</c:v>
                </c:pt>
                <c:pt idx="740">
                  <c:v>211.791153319536</c:v>
                </c:pt>
                <c:pt idx="741">
                  <c:v>211.791153319536</c:v>
                </c:pt>
                <c:pt idx="742">
                  <c:v>211.791153319536</c:v>
                </c:pt>
                <c:pt idx="743">
                  <c:v>211.791153319536</c:v>
                </c:pt>
                <c:pt idx="744">
                  <c:v>211.791153319536</c:v>
                </c:pt>
                <c:pt idx="745">
                  <c:v>211.791153319536</c:v>
                </c:pt>
                <c:pt idx="746">
                  <c:v>211.791153319536</c:v>
                </c:pt>
                <c:pt idx="747">
                  <c:v>211.791153319536</c:v>
                </c:pt>
                <c:pt idx="748">
                  <c:v>211.791153319536</c:v>
                </c:pt>
                <c:pt idx="749">
                  <c:v>211.791153319536</c:v>
                </c:pt>
                <c:pt idx="750">
                  <c:v>211.791153319536</c:v>
                </c:pt>
                <c:pt idx="751">
                  <c:v>211.791153319536</c:v>
                </c:pt>
                <c:pt idx="752">
                  <c:v>211.791153319536</c:v>
                </c:pt>
                <c:pt idx="753">
                  <c:v>211.791153319536</c:v>
                </c:pt>
                <c:pt idx="754">
                  <c:v>211.791153319536</c:v>
                </c:pt>
                <c:pt idx="755">
                  <c:v>211.791153319536</c:v>
                </c:pt>
                <c:pt idx="756">
                  <c:v>211.791153319536</c:v>
                </c:pt>
                <c:pt idx="757">
                  <c:v>211.791153319536</c:v>
                </c:pt>
                <c:pt idx="758">
                  <c:v>211.791153319536</c:v>
                </c:pt>
                <c:pt idx="759">
                  <c:v>211.791153319536</c:v>
                </c:pt>
                <c:pt idx="760">
                  <c:v>211.791153319536</c:v>
                </c:pt>
                <c:pt idx="761">
                  <c:v>211.791153319536</c:v>
                </c:pt>
                <c:pt idx="762">
                  <c:v>211.791153319536</c:v>
                </c:pt>
                <c:pt idx="763">
                  <c:v>211.791153319536</c:v>
                </c:pt>
                <c:pt idx="764">
                  <c:v>211.791153319536</c:v>
                </c:pt>
                <c:pt idx="765">
                  <c:v>211.791153319536</c:v>
                </c:pt>
                <c:pt idx="766">
                  <c:v>211.791153319536</c:v>
                </c:pt>
                <c:pt idx="767">
                  <c:v>211.791153319536</c:v>
                </c:pt>
                <c:pt idx="768">
                  <c:v>211.791153319536</c:v>
                </c:pt>
                <c:pt idx="769">
                  <c:v>211.791153319536</c:v>
                </c:pt>
                <c:pt idx="770">
                  <c:v>211.791153319536</c:v>
                </c:pt>
                <c:pt idx="771">
                  <c:v>211.791153319536</c:v>
                </c:pt>
                <c:pt idx="772">
                  <c:v>211.791153319536</c:v>
                </c:pt>
                <c:pt idx="773">
                  <c:v>211.791153319536</c:v>
                </c:pt>
                <c:pt idx="774">
                  <c:v>211.791153319536</c:v>
                </c:pt>
                <c:pt idx="775">
                  <c:v>211.791153319536</c:v>
                </c:pt>
                <c:pt idx="776">
                  <c:v>211.791153319536</c:v>
                </c:pt>
                <c:pt idx="777">
                  <c:v>211.791153319536</c:v>
                </c:pt>
                <c:pt idx="778">
                  <c:v>211.791153319536</c:v>
                </c:pt>
                <c:pt idx="779">
                  <c:v>211.791153319536</c:v>
                </c:pt>
                <c:pt idx="780">
                  <c:v>211.791153319536</c:v>
                </c:pt>
                <c:pt idx="781">
                  <c:v>211.791153319536</c:v>
                </c:pt>
                <c:pt idx="782">
                  <c:v>211.791153319536</c:v>
                </c:pt>
                <c:pt idx="783">
                  <c:v>211.791153319536</c:v>
                </c:pt>
                <c:pt idx="784">
                  <c:v>211.791153319536</c:v>
                </c:pt>
                <c:pt idx="785">
                  <c:v>211.791153319536</c:v>
                </c:pt>
                <c:pt idx="786">
                  <c:v>211.791153319536</c:v>
                </c:pt>
                <c:pt idx="787">
                  <c:v>211.791153319536</c:v>
                </c:pt>
                <c:pt idx="788">
                  <c:v>211.791153319536</c:v>
                </c:pt>
                <c:pt idx="789">
                  <c:v>211.791153319536</c:v>
                </c:pt>
                <c:pt idx="790">
                  <c:v>211.791153319536</c:v>
                </c:pt>
                <c:pt idx="791">
                  <c:v>211.791153319536</c:v>
                </c:pt>
                <c:pt idx="792">
                  <c:v>211.791153319536</c:v>
                </c:pt>
                <c:pt idx="793">
                  <c:v>211.791153319536</c:v>
                </c:pt>
                <c:pt idx="794">
                  <c:v>211.791153319536</c:v>
                </c:pt>
                <c:pt idx="795">
                  <c:v>211.791153319536</c:v>
                </c:pt>
                <c:pt idx="796">
                  <c:v>211.791153319536</c:v>
                </c:pt>
                <c:pt idx="797">
                  <c:v>211.791153319536</c:v>
                </c:pt>
                <c:pt idx="798">
                  <c:v>211.791153319536</c:v>
                </c:pt>
                <c:pt idx="799">
                  <c:v>211.791153319536</c:v>
                </c:pt>
                <c:pt idx="800">
                  <c:v>211.791153319536</c:v>
                </c:pt>
                <c:pt idx="801">
                  <c:v>211.791153319536</c:v>
                </c:pt>
                <c:pt idx="802">
                  <c:v>211.791153319536</c:v>
                </c:pt>
                <c:pt idx="803">
                  <c:v>211.791153319536</c:v>
                </c:pt>
                <c:pt idx="804">
                  <c:v>211.791153319536</c:v>
                </c:pt>
                <c:pt idx="805">
                  <c:v>211.791153319536</c:v>
                </c:pt>
                <c:pt idx="806">
                  <c:v>211.791153319536</c:v>
                </c:pt>
                <c:pt idx="807">
                  <c:v>211.791153319536</c:v>
                </c:pt>
                <c:pt idx="808">
                  <c:v>211.791153319536</c:v>
                </c:pt>
                <c:pt idx="809">
                  <c:v>211.791153319536</c:v>
                </c:pt>
                <c:pt idx="810">
                  <c:v>211.791153319536</c:v>
                </c:pt>
                <c:pt idx="811">
                  <c:v>211.791153319536</c:v>
                </c:pt>
                <c:pt idx="812">
                  <c:v>211.791153319536</c:v>
                </c:pt>
                <c:pt idx="813">
                  <c:v>211.791153319536</c:v>
                </c:pt>
                <c:pt idx="814">
                  <c:v>211.791153319536</c:v>
                </c:pt>
                <c:pt idx="815">
                  <c:v>211.791153319536</c:v>
                </c:pt>
                <c:pt idx="816">
                  <c:v>211.791153319536</c:v>
                </c:pt>
                <c:pt idx="817">
                  <c:v>211.791153319536</c:v>
                </c:pt>
                <c:pt idx="818">
                  <c:v>211.791153319536</c:v>
                </c:pt>
                <c:pt idx="819">
                  <c:v>211.791153319536</c:v>
                </c:pt>
                <c:pt idx="820">
                  <c:v>211.791153319536</c:v>
                </c:pt>
                <c:pt idx="821">
                  <c:v>211.791153319536</c:v>
                </c:pt>
                <c:pt idx="822">
                  <c:v>211.791153319536</c:v>
                </c:pt>
                <c:pt idx="823">
                  <c:v>211.791153319536</c:v>
                </c:pt>
                <c:pt idx="824">
                  <c:v>211.791153319536</c:v>
                </c:pt>
                <c:pt idx="825">
                  <c:v>211.791153319536</c:v>
                </c:pt>
                <c:pt idx="826">
                  <c:v>211.791153319536</c:v>
                </c:pt>
                <c:pt idx="827">
                  <c:v>211.791153319536</c:v>
                </c:pt>
                <c:pt idx="828">
                  <c:v>211.791153319536</c:v>
                </c:pt>
                <c:pt idx="829">
                  <c:v>211.791153319536</c:v>
                </c:pt>
                <c:pt idx="830">
                  <c:v>211.791153319536</c:v>
                </c:pt>
                <c:pt idx="831">
                  <c:v>211.791153319536</c:v>
                </c:pt>
                <c:pt idx="832">
                  <c:v>211.791153319536</c:v>
                </c:pt>
                <c:pt idx="833">
                  <c:v>211.791153319536</c:v>
                </c:pt>
                <c:pt idx="834">
                  <c:v>211.791153319536</c:v>
                </c:pt>
                <c:pt idx="835">
                  <c:v>211.791153319536</c:v>
                </c:pt>
                <c:pt idx="836">
                  <c:v>211.791153319536</c:v>
                </c:pt>
                <c:pt idx="837">
                  <c:v>211.791153319536</c:v>
                </c:pt>
                <c:pt idx="838">
                  <c:v>211.791153319536</c:v>
                </c:pt>
                <c:pt idx="839">
                  <c:v>211.791153319536</c:v>
                </c:pt>
                <c:pt idx="840">
                  <c:v>211.791153319536</c:v>
                </c:pt>
                <c:pt idx="841">
                  <c:v>211.791153319536</c:v>
                </c:pt>
                <c:pt idx="842">
                  <c:v>211.791153319536</c:v>
                </c:pt>
                <c:pt idx="843">
                  <c:v>211.791153319536</c:v>
                </c:pt>
                <c:pt idx="844">
                  <c:v>211.791153319536</c:v>
                </c:pt>
                <c:pt idx="845">
                  <c:v>211.791153319536</c:v>
                </c:pt>
                <c:pt idx="846">
                  <c:v>211.791153319536</c:v>
                </c:pt>
                <c:pt idx="847">
                  <c:v>211.791153319536</c:v>
                </c:pt>
                <c:pt idx="848">
                  <c:v>211.791153319536</c:v>
                </c:pt>
                <c:pt idx="849">
                  <c:v>211.791153319536</c:v>
                </c:pt>
                <c:pt idx="850">
                  <c:v>211.791153319536</c:v>
                </c:pt>
                <c:pt idx="851">
                  <c:v>211.791153319536</c:v>
                </c:pt>
                <c:pt idx="852">
                  <c:v>211.791153319536</c:v>
                </c:pt>
                <c:pt idx="853">
                  <c:v>211.791153319536</c:v>
                </c:pt>
                <c:pt idx="854">
                  <c:v>211.791153319536</c:v>
                </c:pt>
                <c:pt idx="855">
                  <c:v>211.791153319536</c:v>
                </c:pt>
                <c:pt idx="856">
                  <c:v>211.791153319536</c:v>
                </c:pt>
                <c:pt idx="857">
                  <c:v>211.791153319536</c:v>
                </c:pt>
                <c:pt idx="858">
                  <c:v>211.791153319536</c:v>
                </c:pt>
                <c:pt idx="859">
                  <c:v>211.791153319536</c:v>
                </c:pt>
                <c:pt idx="860">
                  <c:v>211.791153319536</c:v>
                </c:pt>
                <c:pt idx="861">
                  <c:v>211.791153319536</c:v>
                </c:pt>
                <c:pt idx="862">
                  <c:v>211.791153319536</c:v>
                </c:pt>
                <c:pt idx="863">
                  <c:v>211.791153319536</c:v>
                </c:pt>
                <c:pt idx="864">
                  <c:v>211.791153319536</c:v>
                </c:pt>
                <c:pt idx="865">
                  <c:v>211.791153319536</c:v>
                </c:pt>
                <c:pt idx="866">
                  <c:v>211.791153319536</c:v>
                </c:pt>
                <c:pt idx="867">
                  <c:v>211.791153319536</c:v>
                </c:pt>
                <c:pt idx="868">
                  <c:v>211.791153319536</c:v>
                </c:pt>
                <c:pt idx="869">
                  <c:v>211.791153319536</c:v>
                </c:pt>
                <c:pt idx="870">
                  <c:v>211.791153319536</c:v>
                </c:pt>
                <c:pt idx="871">
                  <c:v>211.791153319536</c:v>
                </c:pt>
                <c:pt idx="872">
                  <c:v>211.791153319536</c:v>
                </c:pt>
                <c:pt idx="873">
                  <c:v>211.791153319536</c:v>
                </c:pt>
                <c:pt idx="874">
                  <c:v>211.791153319536</c:v>
                </c:pt>
                <c:pt idx="875">
                  <c:v>211.791153319536</c:v>
                </c:pt>
                <c:pt idx="876">
                  <c:v>211.791153319536</c:v>
                </c:pt>
                <c:pt idx="877">
                  <c:v>211.791153319536</c:v>
                </c:pt>
                <c:pt idx="878">
                  <c:v>211.791153319536</c:v>
                </c:pt>
                <c:pt idx="879">
                  <c:v>211.791153319536</c:v>
                </c:pt>
                <c:pt idx="880">
                  <c:v>211.791153319536</c:v>
                </c:pt>
                <c:pt idx="881">
                  <c:v>211.791153319536</c:v>
                </c:pt>
                <c:pt idx="882">
                  <c:v>211.791153319536</c:v>
                </c:pt>
                <c:pt idx="883">
                  <c:v>211.791153319536</c:v>
                </c:pt>
                <c:pt idx="884">
                  <c:v>211.791153319536</c:v>
                </c:pt>
                <c:pt idx="885">
                  <c:v>211.791153319536</c:v>
                </c:pt>
                <c:pt idx="886">
                  <c:v>211.791153319536</c:v>
                </c:pt>
                <c:pt idx="887">
                  <c:v>211.791153319536</c:v>
                </c:pt>
                <c:pt idx="888">
                  <c:v>211.791153319536</c:v>
                </c:pt>
                <c:pt idx="889">
                  <c:v>211.791153319536</c:v>
                </c:pt>
                <c:pt idx="890">
                  <c:v>211.791153319536</c:v>
                </c:pt>
                <c:pt idx="891">
                  <c:v>211.791153319536</c:v>
                </c:pt>
                <c:pt idx="892">
                  <c:v>211.791153319536</c:v>
                </c:pt>
                <c:pt idx="893">
                  <c:v>211.791153319536</c:v>
                </c:pt>
                <c:pt idx="894">
                  <c:v>211.791153319536</c:v>
                </c:pt>
                <c:pt idx="895">
                  <c:v>211.791153319536</c:v>
                </c:pt>
                <c:pt idx="896">
                  <c:v>211.791153319536</c:v>
                </c:pt>
                <c:pt idx="897">
                  <c:v>211.791153319536</c:v>
                </c:pt>
                <c:pt idx="898">
                  <c:v>211.791153319536</c:v>
                </c:pt>
                <c:pt idx="899">
                  <c:v>211.791153319536</c:v>
                </c:pt>
                <c:pt idx="900">
                  <c:v>211.791153319536</c:v>
                </c:pt>
                <c:pt idx="901">
                  <c:v>211.791153319536</c:v>
                </c:pt>
                <c:pt idx="902">
                  <c:v>211.791153319536</c:v>
                </c:pt>
                <c:pt idx="903">
                  <c:v>211.791153319536</c:v>
                </c:pt>
                <c:pt idx="904">
                  <c:v>211.791153319536</c:v>
                </c:pt>
                <c:pt idx="905">
                  <c:v>211.791153319536</c:v>
                </c:pt>
                <c:pt idx="906">
                  <c:v>211.791153319536</c:v>
                </c:pt>
                <c:pt idx="907">
                  <c:v>211.791153319536</c:v>
                </c:pt>
                <c:pt idx="908">
                  <c:v>211.791153319536</c:v>
                </c:pt>
                <c:pt idx="909">
                  <c:v>211.791153319536</c:v>
                </c:pt>
                <c:pt idx="910">
                  <c:v>211.791153319536</c:v>
                </c:pt>
                <c:pt idx="911">
                  <c:v>211.791153319536</c:v>
                </c:pt>
                <c:pt idx="912">
                  <c:v>211.791153319536</c:v>
                </c:pt>
                <c:pt idx="913">
                  <c:v>211.791153319536</c:v>
                </c:pt>
                <c:pt idx="914">
                  <c:v>211.791153319536</c:v>
                </c:pt>
                <c:pt idx="915">
                  <c:v>211.791153319536</c:v>
                </c:pt>
                <c:pt idx="916">
                  <c:v>211.791153319536</c:v>
                </c:pt>
                <c:pt idx="917">
                  <c:v>211.791153319536</c:v>
                </c:pt>
                <c:pt idx="918">
                  <c:v>211.791153319536</c:v>
                </c:pt>
                <c:pt idx="919">
                  <c:v>211.791153319536</c:v>
                </c:pt>
                <c:pt idx="920">
                  <c:v>211.791153319536</c:v>
                </c:pt>
                <c:pt idx="921">
                  <c:v>211.791153319536</c:v>
                </c:pt>
                <c:pt idx="922">
                  <c:v>211.791153319536</c:v>
                </c:pt>
                <c:pt idx="923">
                  <c:v>211.791153319536</c:v>
                </c:pt>
                <c:pt idx="924">
                  <c:v>211.791153319536</c:v>
                </c:pt>
                <c:pt idx="925">
                  <c:v>211.791153319536</c:v>
                </c:pt>
                <c:pt idx="926">
                  <c:v>211.791153319536</c:v>
                </c:pt>
                <c:pt idx="927">
                  <c:v>211.791153319536</c:v>
                </c:pt>
                <c:pt idx="928">
                  <c:v>211.791153319536</c:v>
                </c:pt>
                <c:pt idx="929">
                  <c:v>211.791153319536</c:v>
                </c:pt>
                <c:pt idx="930">
                  <c:v>211.791153319536</c:v>
                </c:pt>
                <c:pt idx="931">
                  <c:v>211.791153319536</c:v>
                </c:pt>
                <c:pt idx="932">
                  <c:v>211.791153319536</c:v>
                </c:pt>
                <c:pt idx="933">
                  <c:v>211.791153319536</c:v>
                </c:pt>
                <c:pt idx="934">
                  <c:v>211.791153319536</c:v>
                </c:pt>
                <c:pt idx="935">
                  <c:v>211.791153319536</c:v>
                </c:pt>
                <c:pt idx="936">
                  <c:v>211.791153319536</c:v>
                </c:pt>
                <c:pt idx="937">
                  <c:v>211.791153319536</c:v>
                </c:pt>
                <c:pt idx="938">
                  <c:v>211.791153319536</c:v>
                </c:pt>
                <c:pt idx="939">
                  <c:v>211.791153319536</c:v>
                </c:pt>
                <c:pt idx="940">
                  <c:v>211.791153319536</c:v>
                </c:pt>
                <c:pt idx="941">
                  <c:v>211.791153319536</c:v>
                </c:pt>
                <c:pt idx="942">
                  <c:v>211.791153319536</c:v>
                </c:pt>
                <c:pt idx="943">
                  <c:v>211.791153319536</c:v>
                </c:pt>
                <c:pt idx="944">
                  <c:v>211.791153319536</c:v>
                </c:pt>
                <c:pt idx="945">
                  <c:v>211.791153319536</c:v>
                </c:pt>
                <c:pt idx="946">
                  <c:v>211.791153319536</c:v>
                </c:pt>
                <c:pt idx="947">
                  <c:v>211.791153319536</c:v>
                </c:pt>
                <c:pt idx="948">
                  <c:v>211.791153319536</c:v>
                </c:pt>
                <c:pt idx="949">
                  <c:v>211.791153319536</c:v>
                </c:pt>
                <c:pt idx="950">
                  <c:v>211.791153319536</c:v>
                </c:pt>
                <c:pt idx="951">
                  <c:v>211.791153319536</c:v>
                </c:pt>
                <c:pt idx="952">
                  <c:v>211.791153319536</c:v>
                </c:pt>
                <c:pt idx="953">
                  <c:v>211.791153319536</c:v>
                </c:pt>
                <c:pt idx="954">
                  <c:v>211.791153319536</c:v>
                </c:pt>
                <c:pt idx="955">
                  <c:v>211.791153319536</c:v>
                </c:pt>
                <c:pt idx="956">
                  <c:v>211.791153319536</c:v>
                </c:pt>
                <c:pt idx="957">
                  <c:v>211.791153319536</c:v>
                </c:pt>
                <c:pt idx="958">
                  <c:v>211.791153319536</c:v>
                </c:pt>
                <c:pt idx="959">
                  <c:v>211.791153319536</c:v>
                </c:pt>
                <c:pt idx="960">
                  <c:v>211.791153319536</c:v>
                </c:pt>
                <c:pt idx="961">
                  <c:v>211.791153319536</c:v>
                </c:pt>
                <c:pt idx="962">
                  <c:v>211.791153319536</c:v>
                </c:pt>
                <c:pt idx="963">
                  <c:v>211.791153319536</c:v>
                </c:pt>
                <c:pt idx="964">
                  <c:v>211.791153319536</c:v>
                </c:pt>
                <c:pt idx="965">
                  <c:v>211.791153319536</c:v>
                </c:pt>
                <c:pt idx="966">
                  <c:v>211.791153319536</c:v>
                </c:pt>
                <c:pt idx="967">
                  <c:v>211.791153319536</c:v>
                </c:pt>
                <c:pt idx="968">
                  <c:v>211.791153319536</c:v>
                </c:pt>
                <c:pt idx="969">
                  <c:v>211.791153319536</c:v>
                </c:pt>
                <c:pt idx="970">
                  <c:v>211.791153319536</c:v>
                </c:pt>
                <c:pt idx="971">
                  <c:v>211.791153319536</c:v>
                </c:pt>
                <c:pt idx="972">
                  <c:v>211.791153319536</c:v>
                </c:pt>
                <c:pt idx="973">
                  <c:v>211.791153319536</c:v>
                </c:pt>
                <c:pt idx="974">
                  <c:v>211.791153319536</c:v>
                </c:pt>
                <c:pt idx="975">
                  <c:v>211.791153319536</c:v>
                </c:pt>
                <c:pt idx="976">
                  <c:v>211.791153319536</c:v>
                </c:pt>
                <c:pt idx="977">
                  <c:v>211.791153319536</c:v>
                </c:pt>
                <c:pt idx="978">
                  <c:v>211.791153319536</c:v>
                </c:pt>
                <c:pt idx="979">
                  <c:v>211.791153319536</c:v>
                </c:pt>
                <c:pt idx="980">
                  <c:v>211.791153319536</c:v>
                </c:pt>
                <c:pt idx="981">
                  <c:v>211.791153319536</c:v>
                </c:pt>
                <c:pt idx="982">
                  <c:v>211.791153319536</c:v>
                </c:pt>
                <c:pt idx="983">
                  <c:v>211.791153319536</c:v>
                </c:pt>
                <c:pt idx="984">
                  <c:v>211.791153319536</c:v>
                </c:pt>
                <c:pt idx="985">
                  <c:v>211.791153319536</c:v>
                </c:pt>
                <c:pt idx="986">
                  <c:v>211.791153319536</c:v>
                </c:pt>
                <c:pt idx="987">
                  <c:v>211.791153319536</c:v>
                </c:pt>
                <c:pt idx="988">
                  <c:v>211.791153319536</c:v>
                </c:pt>
                <c:pt idx="989">
                  <c:v>211.791153319536</c:v>
                </c:pt>
                <c:pt idx="990">
                  <c:v>211.791153319536</c:v>
                </c:pt>
                <c:pt idx="991">
                  <c:v>211.791153319536</c:v>
                </c:pt>
                <c:pt idx="992">
                  <c:v>211.791153319536</c:v>
                </c:pt>
                <c:pt idx="993">
                  <c:v>211.791153319536</c:v>
                </c:pt>
                <c:pt idx="994">
                  <c:v>211.791153319536</c:v>
                </c:pt>
                <c:pt idx="995">
                  <c:v>211.791153319536</c:v>
                </c:pt>
                <c:pt idx="996">
                  <c:v>211.791153319536</c:v>
                </c:pt>
                <c:pt idx="997">
                  <c:v>211.791153319536</c:v>
                </c:pt>
                <c:pt idx="998">
                  <c:v>211.791153319536</c:v>
                </c:pt>
                <c:pt idx="999">
                  <c:v>211.791153319536</c:v>
                </c:pt>
                <c:pt idx="1000">
                  <c:v>211.791153319536</c:v>
                </c:pt>
              </c:numCache>
            </c:numRef>
          </c:xVal>
          <c:yVal>
            <c:numRef>
              <c:f>Calculs!$K$4:$K$1004</c:f>
              <c:numCache>
                <c:formatCode>General</c:formatCode>
                <c:ptCount val="1001"/>
                <c:pt idx="0">
                  <c:v>0</c:v>
                </c:pt>
                <c:pt idx="1">
                  <c:v>0.00149761157315366</c:v>
                </c:pt>
                <c:pt idx="2">
                  <c:v>0.00994086543666655</c:v>
                </c:pt>
                <c:pt idx="3">
                  <c:v>0.0309449661824849</c:v>
                </c:pt>
                <c:pt idx="4">
                  <c:v>0.0655473254807626</c:v>
                </c:pt>
                <c:pt idx="5">
                  <c:v>0.112794928389273</c:v>
                </c:pt>
                <c:pt idx="6">
                  <c:v>0.172339135868416</c:v>
                </c:pt>
                <c:pt idx="7">
                  <c:v>0.244133794910506</c:v>
                </c:pt>
                <c:pt idx="8">
                  <c:v>0.328132439080203</c:v>
                </c:pt>
                <c:pt idx="9">
                  <c:v>0.424288290701774</c:v>
                </c:pt>
                <c:pt idx="10">
                  <c:v>0.532554263071725</c:v>
                </c:pt>
                <c:pt idx="11">
                  <c:v>0.652882962696385</c:v>
                </c:pt>
                <c:pt idx="12">
                  <c:v>0.785226691554009</c:v>
                </c:pt>
                <c:pt idx="13">
                  <c:v>0.92953744938099</c:v>
                </c:pt>
                <c:pt idx="14">
                  <c:v>1.08576693598176</c:v>
                </c:pt>
                <c:pt idx="15">
                  <c:v>1.2538665535619</c:v>
                </c:pt>
                <c:pt idx="16">
                  <c:v>1.43378740908412</c:v>
                </c:pt>
                <c:pt idx="17">
                  <c:v>1.62548031664655</c:v>
                </c:pt>
                <c:pt idx="18">
                  <c:v>1.82889579988301</c:v>
                </c:pt>
                <c:pt idx="19">
                  <c:v>2.04398409438469</c:v>
                </c:pt>
                <c:pt idx="20">
                  <c:v>2.27069515014293</c:v>
                </c:pt>
                <c:pt idx="21">
                  <c:v>2.50897863401254</c:v>
                </c:pt>
                <c:pt idx="22">
                  <c:v>2.75876913185433</c:v>
                </c:pt>
                <c:pt idx="23">
                  <c:v>3.02000024285186</c:v>
                </c:pt>
                <c:pt idx="24">
                  <c:v>3.29261940370578</c:v>
                </c:pt>
                <c:pt idx="25">
                  <c:v>3.57657382859159</c:v>
                </c:pt>
                <c:pt idx="26">
                  <c:v>3.87181051756387</c:v>
                </c:pt>
                <c:pt idx="27">
                  <c:v>4.17827625525355</c:v>
                </c:pt>
                <c:pt idx="28">
                  <c:v>4.4959176100076</c:v>
                </c:pt>
                <c:pt idx="29">
                  <c:v>4.8246809334096</c:v>
                </c:pt>
                <c:pt idx="30">
                  <c:v>5.16451236013052</c:v>
                </c:pt>
                <c:pt idx="31">
                  <c:v>5.51535780806741</c:v>
                </c:pt>
                <c:pt idx="32">
                  <c:v>5.87716297873451</c:v>
                </c:pt>
                <c:pt idx="33">
                  <c:v>6.24987335787673</c:v>
                </c:pt>
                <c:pt idx="34">
                  <c:v>6.63343421628008</c:v>
                </c:pt>
                <c:pt idx="35">
                  <c:v>7.02779061075713</c:v>
                </c:pt>
                <c:pt idx="36">
                  <c:v>7.43288738528883</c:v>
                </c:pt>
                <c:pt idx="37">
                  <c:v>7.84866917230639</c:v>
                </c:pt>
                <c:pt idx="38">
                  <c:v>8.27508039409912</c:v>
                </c:pt>
                <c:pt idx="39">
                  <c:v>8.71206526433602</c:v>
                </c:pt>
                <c:pt idx="40">
                  <c:v>9.15956778969014</c:v>
                </c:pt>
                <c:pt idx="41">
                  <c:v>9.61753177155636</c:v>
                </c:pt>
                <c:pt idx="42">
                  <c:v>10.085900807854</c:v>
                </c:pt>
                <c:pt idx="43">
                  <c:v>10.5646182949072</c:v>
                </c:pt>
                <c:pt idx="44">
                  <c:v>11.0536274293952</c:v>
                </c:pt>
                <c:pt idx="45">
                  <c:v>11.552871210369</c:v>
                </c:pt>
                <c:pt idx="46">
                  <c:v>12.0622924413253</c:v>
                </c:pt>
                <c:pt idx="47">
                  <c:v>12.5818337323372</c:v>
                </c:pt>
                <c:pt idx="48">
                  <c:v>13.1114375022334</c:v>
                </c:pt>
                <c:pt idx="49">
                  <c:v>13.6510459808248</c:v>
                </c:pt>
                <c:pt idx="50">
                  <c:v>14.2006012111725</c:v>
                </c:pt>
                <c:pt idx="51">
                  <c:v>14.7600450518965</c:v>
                </c:pt>
                <c:pt idx="52">
                  <c:v>15.3293191795192</c:v>
                </c:pt>
                <c:pt idx="53">
                  <c:v>15.9083650908437</c:v>
                </c:pt>
                <c:pt idx="54">
                  <c:v>16.4971241053613</c:v>
                </c:pt>
                <c:pt idx="55">
                  <c:v>17.0955373676895</c:v>
                </c:pt>
                <c:pt idx="56">
                  <c:v>17.7035458500344</c:v>
                </c:pt>
                <c:pt idx="57">
                  <c:v>18.3210903546783</c:v>
                </c:pt>
                <c:pt idx="58">
                  <c:v>18.9481115164897</c:v>
                </c:pt>
                <c:pt idx="59">
                  <c:v>19.5845498054528</c:v>
                </c:pt>
                <c:pt idx="60">
                  <c:v>20.2303455292171</c:v>
                </c:pt>
                <c:pt idx="61">
                  <c:v>20.8854388356633</c:v>
                </c:pt>
                <c:pt idx="62">
                  <c:v>21.5497697154852</c:v>
                </c:pt>
                <c:pt idx="63">
                  <c:v>22.2232511580769</c:v>
                </c:pt>
                <c:pt idx="64">
                  <c:v>22.9057422793436</c:v>
                </c:pt>
                <c:pt idx="65">
                  <c:v>23.5970751444598</c:v>
                </c:pt>
                <c:pt idx="66">
                  <c:v>24.297081622634</c:v>
                </c:pt>
                <c:pt idx="67">
                  <c:v>25.005568764452</c:v>
                </c:pt>
                <c:pt idx="68">
                  <c:v>25.7222941592072</c:v>
                </c:pt>
                <c:pt idx="69">
                  <c:v>26.4469467340393</c:v>
                </c:pt>
                <c:pt idx="70">
                  <c:v>27.1791275513389</c:v>
                </c:pt>
                <c:pt idx="71">
                  <c:v>27.9183936510392</c:v>
                </c:pt>
                <c:pt idx="72">
                  <c:v>28.6643019319154</c:v>
                </c:pt>
                <c:pt idx="73">
                  <c:v>29.4164091961913</c:v>
                </c:pt>
                <c:pt idx="74">
                  <c:v>30.1742721933886</c:v>
                </c:pt>
                <c:pt idx="75">
                  <c:v>30.9374476634028</c:v>
                </c:pt>
                <c:pt idx="76">
                  <c:v>31.7054923787871</c:v>
                </c:pt>
                <c:pt idx="77">
                  <c:v>32.4779631862312</c:v>
                </c:pt>
                <c:pt idx="78">
                  <c:v>33.2544170472194</c:v>
                </c:pt>
                <c:pt idx="79">
                  <c:v>34.0344110778551</c:v>
                </c:pt>
                <c:pt idx="80">
                  <c:v>34.8175025878409</c:v>
                </c:pt>
                <c:pt idx="81">
                  <c:v>35.6033013345865</c:v>
                </c:pt>
                <c:pt idx="82">
                  <c:v>36.3915217448462</c:v>
                </c:pt>
                <c:pt idx="83">
                  <c:v>37.1819306492936</c:v>
                </c:pt>
                <c:pt idx="84">
                  <c:v>37.9742950357498</c:v>
                </c:pt>
                <c:pt idx="85">
                  <c:v>38.7683820599819</c:v>
                </c:pt>
                <c:pt idx="86">
                  <c:v>39.563959056254</c:v>
                </c:pt>
                <c:pt idx="87">
                  <c:v>40.3607935476303</c:v>
                </c:pt>
                <c:pt idx="88">
                  <c:v>41.1586532560274</c:v>
                </c:pt>
                <c:pt idx="89">
                  <c:v>41.9573226144923</c:v>
                </c:pt>
                <c:pt idx="90">
                  <c:v>42.7566192634275</c:v>
                </c:pt>
                <c:pt idx="91">
                  <c:v>43.5563775226215</c:v>
                </c:pt>
                <c:pt idx="92">
                  <c:v>44.3564318767097</c:v>
                </c:pt>
                <c:pt idx="93">
                  <c:v>45.1566211060552</c:v>
                </c:pt>
                <c:pt idx="94">
                  <c:v>45.9567924130316</c:v>
                </c:pt>
                <c:pt idx="95">
                  <c:v>46.7567972907362</c:v>
                </c:pt>
                <c:pt idx="96">
                  <c:v>47.5564873956476</c:v>
                </c:pt>
                <c:pt idx="97">
                  <c:v>48.3557310564116</c:v>
                </c:pt>
                <c:pt idx="98">
                  <c:v>49.1544297628562</c:v>
                </c:pt>
                <c:pt idx="99">
                  <c:v>49.9525016237902</c:v>
                </c:pt>
                <c:pt idx="100">
                  <c:v>50.749864843289</c:v>
                </c:pt>
                <c:pt idx="101">
                  <c:v>51.5464377214809</c:v>
                </c:pt>
                <c:pt idx="102">
                  <c:v>52.3421386553031</c:v>
                </c:pt>
                <c:pt idx="103">
                  <c:v>53.136886139228</c:v>
                </c:pt>
                <c:pt idx="104">
                  <c:v>53.930598765958</c:v>
                </c:pt>
                <c:pt idx="105">
                  <c:v>54.7231952270908</c:v>
                </c:pt>
                <c:pt idx="106">
                  <c:v>55.5145943137544</c:v>
                </c:pt>
                <c:pt idx="107">
                  <c:v>56.3047149172125</c:v>
                </c:pt>
                <c:pt idx="108">
                  <c:v>57.0934760294402</c:v>
                </c:pt>
                <c:pt idx="109">
                  <c:v>57.8808173678719</c:v>
                </c:pt>
                <c:pt idx="110">
                  <c:v>58.6667199721302</c:v>
                </c:pt>
                <c:pt idx="111">
                  <c:v>59.4511855264254</c:v>
                </c:pt>
                <c:pt idx="112">
                  <c:v>60.2342157097029</c:v>
                </c:pt>
                <c:pt idx="113">
                  <c:v>61.0158121956622</c:v>
                </c:pt>
                <c:pt idx="114">
                  <c:v>61.7959766527747</c:v>
                </c:pt>
                <c:pt idx="115">
                  <c:v>62.5747107443026</c:v>
                </c:pt>
                <c:pt idx="116">
                  <c:v>63.352016128317</c:v>
                </c:pt>
                <c:pt idx="117">
                  <c:v>64.1278944577163</c:v>
                </c:pt>
                <c:pt idx="118">
                  <c:v>64.9023473802442</c:v>
                </c:pt>
                <c:pt idx="119">
                  <c:v>65.6753765385076</c:v>
                </c:pt>
                <c:pt idx="120">
                  <c:v>66.4469835699949</c:v>
                </c:pt>
                <c:pt idx="121">
                  <c:v>67.2171701070938</c:v>
                </c:pt>
                <c:pt idx="122">
                  <c:v>67.9859377771088</c:v>
                </c:pt>
                <c:pt idx="123">
                  <c:v>68.7532882022793</c:v>
                </c:pt>
                <c:pt idx="124">
                  <c:v>69.519222999797</c:v>
                </c:pt>
                <c:pt idx="125">
                  <c:v>70.2837437818233</c:v>
                </c:pt>
                <c:pt idx="126">
                  <c:v>71.0468521555073</c:v>
                </c:pt>
                <c:pt idx="127">
                  <c:v>71.8085497230025</c:v>
                </c:pt>
                <c:pt idx="128">
                  <c:v>72.5688380814847</c:v>
                </c:pt>
                <c:pt idx="129">
                  <c:v>73.3277188231688</c:v>
                </c:pt>
                <c:pt idx="130">
                  <c:v>74.085193535326</c:v>
                </c:pt>
                <c:pt idx="131">
                  <c:v>74.8412638003011</c:v>
                </c:pt>
                <c:pt idx="132">
                  <c:v>75.5959311955291</c:v>
                </c:pt>
                <c:pt idx="133">
                  <c:v>76.3491972935525</c:v>
                </c:pt>
                <c:pt idx="134">
                  <c:v>77.1010636620376</c:v>
                </c:pt>
                <c:pt idx="135">
                  <c:v>77.8515318637919</c:v>
                </c:pt>
                <c:pt idx="136">
                  <c:v>78.6006034567801</c:v>
                </c:pt>
                <c:pt idx="137">
                  <c:v>79.348279994141</c:v>
                </c:pt>
                <c:pt idx="138">
                  <c:v>80.0945630242041</c:v>
                </c:pt>
                <c:pt idx="139">
                  <c:v>80.8394540905058</c:v>
                </c:pt>
                <c:pt idx="140">
                  <c:v>81.5829547318057</c:v>
                </c:pt>
                <c:pt idx="141">
                  <c:v>82.3250664821031</c:v>
                </c:pt>
                <c:pt idx="142">
                  <c:v>83.0657908706532</c:v>
                </c:pt>
                <c:pt idx="143">
                  <c:v>83.805129421983</c:v>
                </c:pt>
                <c:pt idx="144">
                  <c:v>84.5430836559073</c:v>
                </c:pt>
                <c:pt idx="145">
                  <c:v>85.279655087545</c:v>
                </c:pt>
                <c:pt idx="146">
                  <c:v>86.0148452273348</c:v>
                </c:pt>
                <c:pt idx="147">
                  <c:v>86.7486555810509</c:v>
                </c:pt>
                <c:pt idx="148">
                  <c:v>87.4810876498189</c:v>
                </c:pt>
                <c:pt idx="149">
                  <c:v>88.2121429301315</c:v>
                </c:pt>
                <c:pt idx="150">
                  <c:v>88.9418229138639</c:v>
                </c:pt>
                <c:pt idx="151">
                  <c:v>89.6701290882897</c:v>
                </c:pt>
                <c:pt idx="152">
                  <c:v>90.3970629360958</c:v>
                </c:pt>
                <c:pt idx="153">
                  <c:v>91.1226259353983</c:v>
                </c:pt>
                <c:pt idx="154">
                  <c:v>91.8468195597576</c:v>
                </c:pt>
                <c:pt idx="155">
                  <c:v>92.5696452781936</c:v>
                </c:pt>
                <c:pt idx="156">
                  <c:v>93.2911045552008</c:v>
                </c:pt>
                <c:pt idx="157">
                  <c:v>94.0111988507638</c:v>
                </c:pt>
                <c:pt idx="158">
                  <c:v>94.7299296203718</c:v>
                </c:pt>
                <c:pt idx="159">
                  <c:v>95.4472983150339</c:v>
                </c:pt>
                <c:pt idx="160">
                  <c:v>96.1633063812938</c:v>
                </c:pt>
                <c:pt idx="161">
                  <c:v>96.8779552612449</c:v>
                </c:pt>
                <c:pt idx="162">
                  <c:v>97.5912463925448</c:v>
                </c:pt>
                <c:pt idx="163">
                  <c:v>98.3031812084299</c:v>
                </c:pt>
                <c:pt idx="164">
                  <c:v>99.0137611377304</c:v>
                </c:pt>
                <c:pt idx="165">
                  <c:v>99.7229876048845</c:v>
                </c:pt>
                <c:pt idx="166">
                  <c:v>100.430862029953</c:v>
                </c:pt>
                <c:pt idx="167">
                  <c:v>101.137385828634</c:v>
                </c:pt>
                <c:pt idx="168">
                  <c:v>101.842560412277</c:v>
                </c:pt>
                <c:pt idx="169">
                  <c:v>102.546387187896</c:v>
                </c:pt>
                <c:pt idx="170">
                  <c:v>103.248867558187</c:v>
                </c:pt>
                <c:pt idx="171">
                  <c:v>103.950002921538</c:v>
                </c:pt>
                <c:pt idx="172">
                  <c:v>104.649794672047</c:v>
                </c:pt>
                <c:pt idx="173">
                  <c:v>105.348244199532</c:v>
                </c:pt>
                <c:pt idx="174">
                  <c:v>106.04535288955</c:v>
                </c:pt>
                <c:pt idx="175">
                  <c:v>106.741122123405</c:v>
                </c:pt>
                <c:pt idx="176">
                  <c:v>107.435553278166</c:v>
                </c:pt>
                <c:pt idx="177">
                  <c:v>108.128647726681</c:v>
                </c:pt>
                <c:pt idx="178">
                  <c:v>108.820406837588</c:v>
                </c:pt>
                <c:pt idx="179">
                  <c:v>109.51083197533</c:v>
                </c:pt>
                <c:pt idx="180">
                  <c:v>110.199924500169</c:v>
                </c:pt>
                <c:pt idx="181">
                  <c:v>110.887685768199</c:v>
                </c:pt>
                <c:pt idx="182">
                  <c:v>111.574117131359</c:v>
                </c:pt>
                <c:pt idx="183">
                  <c:v>112.259219937448</c:v>
                </c:pt>
                <c:pt idx="184">
                  <c:v>112.942995530137</c:v>
                </c:pt>
                <c:pt idx="185">
                  <c:v>113.625445248982</c:v>
                </c:pt>
                <c:pt idx="186">
                  <c:v>114.306570429438</c:v>
                </c:pt>
                <c:pt idx="187">
                  <c:v>114.986372402872</c:v>
                </c:pt>
                <c:pt idx="188">
                  <c:v>115.664852496577</c:v>
                </c:pt>
                <c:pt idx="189">
                  <c:v>116.342012033783</c:v>
                </c:pt>
                <c:pt idx="190">
                  <c:v>117.017852333672</c:v>
                </c:pt>
                <c:pt idx="191">
                  <c:v>117.692374711388</c:v>
                </c:pt>
                <c:pt idx="192">
                  <c:v>118.365580478055</c:v>
                </c:pt>
                <c:pt idx="193">
                  <c:v>119.037470940784</c:v>
                </c:pt>
                <c:pt idx="194">
                  <c:v>119.70804740269</c:v>
                </c:pt>
                <c:pt idx="195">
                  <c:v>120.377311162903</c:v>
                </c:pt>
                <c:pt idx="196">
                  <c:v>121.045263516579</c:v>
                </c:pt>
                <c:pt idx="197">
                  <c:v>121.711905754917</c:v>
                </c:pt>
                <c:pt idx="198">
                  <c:v>122.377239165167</c:v>
                </c:pt>
                <c:pt idx="199">
                  <c:v>123.041265030645</c:v>
                </c:pt>
                <c:pt idx="200">
                  <c:v>123.703984630745</c:v>
                </c:pt>
                <c:pt idx="201">
                  <c:v>130.259434842014</c:v>
                </c:pt>
                <c:pt idx="202">
                  <c:v>136.685078590675</c:v>
                </c:pt>
                <c:pt idx="203">
                  <c:v>142.982154502811</c:v>
                </c:pt>
                <c:pt idx="204">
                  <c:v>149.151863640917</c:v>
                </c:pt>
                <c:pt idx="205">
                  <c:v>155.195370648685</c:v>
                </c:pt>
                <c:pt idx="206">
                  <c:v>161.11380484575</c:v>
                </c:pt>
                <c:pt idx="207">
                  <c:v>166.908261274865</c:v>
                </c:pt>
                <c:pt idx="208">
                  <c:v>172.579801703789</c:v>
                </c:pt>
                <c:pt idx="209">
                  <c:v>178.129455584094</c:v>
                </c:pt>
                <c:pt idx="210">
                  <c:v>183.558220968917</c:v>
                </c:pt>
                <c:pt idx="211">
                  <c:v>188.867065391609</c:v>
                </c:pt>
                <c:pt idx="212">
                  <c:v>194.056926707098</c:v>
                </c:pt>
                <c:pt idx="213">
                  <c:v>199.128713897703</c:v>
                </c:pt>
                <c:pt idx="214">
                  <c:v>204.083307845015</c:v>
                </c:pt>
                <c:pt idx="215">
                  <c:v>208.92156206941</c:v>
                </c:pt>
                <c:pt idx="216">
                  <c:v>213.644303438631</c:v>
                </c:pt>
                <c:pt idx="217">
                  <c:v>218.252332846838</c:v>
                </c:pt>
                <c:pt idx="218">
                  <c:v>222.746425865443</c:v>
                </c:pt>
                <c:pt idx="219">
                  <c:v>227.127333366955</c:v>
                </c:pt>
                <c:pt idx="220">
                  <c:v>231.395782123044</c:v>
                </c:pt>
                <c:pt idx="221">
                  <c:v>235.552475377935</c:v>
                </c:pt>
                <c:pt idx="222">
                  <c:v>239.598093398214</c:v>
                </c:pt>
                <c:pt idx="223">
                  <c:v>243.533294000073</c:v>
                </c:pt>
                <c:pt idx="224">
                  <c:v>247.358713054975</c:v>
                </c:pt>
                <c:pt idx="225">
                  <c:v>251.074964974691</c:v>
                </c:pt>
                <c:pt idx="226">
                  <c:v>254.682643176604</c:v>
                </c:pt>
                <c:pt idx="227">
                  <c:v>258.182320530185</c:v>
                </c:pt>
                <c:pt idx="228">
                  <c:v>261.574549785476</c:v>
                </c:pt>
                <c:pt idx="229">
                  <c:v>264.859863984431</c:v>
                </c:pt>
                <c:pt idx="230">
                  <c:v>268.038776855943</c:v>
                </c:pt>
                <c:pt idx="231">
                  <c:v>271.111783195368</c:v>
                </c:pt>
                <c:pt idx="232">
                  <c:v>274.079359229376</c:v>
                </c:pt>
                <c:pt idx="233">
                  <c:v>276.941962966974</c:v>
                </c:pt>
                <c:pt idx="234">
                  <c:v>279.700034537537</c:v>
                </c:pt>
                <c:pt idx="235">
                  <c:v>282.353996516769</c:v>
                </c:pt>
                <c:pt idx="236">
                  <c:v>284.904254241518</c:v>
                </c:pt>
                <c:pt idx="237">
                  <c:v>287.351196114468</c:v>
                </c:pt>
                <c:pt idx="238">
                  <c:v>289.695193899829</c:v>
                </c:pt>
                <c:pt idx="239">
                  <c:v>291.936603011229</c:v>
                </c:pt>
                <c:pt idx="240">
                  <c:v>294.075762793215</c:v>
                </c:pt>
                <c:pt idx="241">
                  <c:v>296.11299679793</c:v>
                </c:pt>
                <c:pt idx="242">
                  <c:v>298.048613058807</c:v>
                </c:pt>
                <c:pt idx="243">
                  <c:v>299.882904363398</c:v>
                </c:pt>
                <c:pt idx="244">
                  <c:v>301.61614852789</c:v>
                </c:pt>
                <c:pt idx="245">
                  <c:v>303.24860867629</c:v>
                </c:pt>
                <c:pt idx="246">
                  <c:v>304.780533527887</c:v>
                </c:pt>
                <c:pt idx="247">
                  <c:v>306.212157697298</c:v>
                </c:pt>
                <c:pt idx="248">
                  <c:v>307.543702012255</c:v>
                </c:pt>
                <c:pt idx="249">
                  <c:v>308.775373855343</c:v>
                </c:pt>
                <c:pt idx="250">
                  <c:v>309.907367537041</c:v>
                </c:pt>
                <c:pt idx="251">
                  <c:v>310.939864708734</c:v>
                </c:pt>
                <c:pt idx="252">
                  <c:v>311.873034825793</c:v>
                </c:pt>
                <c:pt idx="253">
                  <c:v>312.707035672151</c:v>
                </c:pt>
                <c:pt idx="254">
                  <c:v>313.442013959001</c:v>
                </c:pt>
                <c:pt idx="255">
                  <c:v>314.078106010923</c:v>
                </c:pt>
                <c:pt idx="256">
                  <c:v>314.615438552569</c:v>
                </c:pt>
                <c:pt idx="257">
                  <c:v>315.054129607607</c:v>
                </c:pt>
                <c:pt idx="258">
                  <c:v>315.394289518347</c:v>
                </c:pt>
                <c:pt idx="259">
                  <c:v>315.636022089161</c:v>
                </c:pt>
                <c:pt idx="260">
                  <c:v>315.77942584937</c:v>
                </c:pt>
                <c:pt idx="261">
                  <c:v>315.824595422082</c:v>
                </c:pt>
                <c:pt idx="262">
                  <c:v>315.771622975766</c:v>
                </c:pt>
                <c:pt idx="263">
                  <c:v>315.620599726499</c:v>
                </c:pt>
                <c:pt idx="264">
                  <c:v>315.37161745262</c:v>
                </c:pt>
                <c:pt idx="265">
                  <c:v>315.024769981269</c:v>
                </c:pt>
                <c:pt idx="266">
                  <c:v>314.58015460848</c:v>
                </c:pt>
                <c:pt idx="267">
                  <c:v>314.037873420721</c:v>
                </c:pt>
                <c:pt idx="268">
                  <c:v>313.398034494531</c:v>
                </c:pt>
                <c:pt idx="269">
                  <c:v>312.660752960771</c:v>
                </c:pt>
                <c:pt idx="270">
                  <c:v>311.826151929127</c:v>
                </c:pt>
                <c:pt idx="271">
                  <c:v>310.894363276055</c:v>
                </c:pt>
                <c:pt idx="272">
                  <c:v>309.865528304702</c:v>
                </c:pt>
                <c:pt idx="273">
                  <c:v>308.739798288604</c:v>
                </c:pt>
                <c:pt idx="274">
                  <c:v>307.517334912389</c:v>
                </c:pt>
                <c:pt idx="275">
                  <c:v>306.198310622879</c:v>
                </c:pt>
                <c:pt idx="276">
                  <c:v>304.782908903259</c:v>
                </c:pt>
                <c:pt idx="277">
                  <c:v>303.271324481749</c:v>
                </c:pt>
                <c:pt idx="278">
                  <c:v>301.663763484855</c:v>
                </c:pt>
                <c:pt idx="279">
                  <c:v>299.960443543796</c:v>
                </c:pt>
                <c:pt idx="280">
                  <c:v>298.1615938614</c:v>
                </c:pt>
                <c:pt idx="281">
                  <c:v>296.267455245539</c:v>
                </c:pt>
                <c:pt idx="282">
                  <c:v>294.278280114138</c:v>
                </c:pt>
                <c:pt idx="283">
                  <c:v>292.194332475928</c:v>
                </c:pt>
                <c:pt idx="284">
                  <c:v>290.015887890361</c:v>
                </c:pt>
                <c:pt idx="285">
                  <c:v>287.743233409507</c:v>
                </c:pt>
                <c:pt idx="286">
                  <c:v>285.376667504276</c:v>
                </c:pt>
                <c:pt idx="287">
                  <c:v>282.916499976872</c:v>
                </c:pt>
                <c:pt idx="288">
                  <c:v>280.363051861099</c:v>
                </c:pt>
                <c:pt idx="289">
                  <c:v>277.716655311842</c:v>
                </c:pt>
                <c:pt idx="290">
                  <c:v>274.977653484862</c:v>
                </c:pt>
                <c:pt idx="291">
                  <c:v>272.146400407841</c:v>
                </c:pt>
                <c:pt idx="292">
                  <c:v>269.223260843513</c:v>
                </c:pt>
                <c:pt idx="293">
                  <c:v>266.208610145553</c:v>
                </c:pt>
                <c:pt idx="294">
                  <c:v>263.102834107855</c:v>
                </c:pt>
                <c:pt idx="295">
                  <c:v>259.906328807727</c:v>
                </c:pt>
                <c:pt idx="296">
                  <c:v>256.619500443462</c:v>
                </c:pt>
                <c:pt idx="297">
                  <c:v>253.242765166734</c:v>
                </c:pt>
                <c:pt idx="298">
                  <c:v>249.776548910171</c:v>
                </c:pt>
                <c:pt idx="299">
                  <c:v>246.221287210483</c:v>
                </c:pt>
                <c:pt idx="300">
                  <c:v>242.577425027439</c:v>
                </c:pt>
                <c:pt idx="301">
                  <c:v>238.845416559016</c:v>
                </c:pt>
                <c:pt idx="302">
                  <c:v>235.025725052977</c:v>
                </c:pt>
                <c:pt idx="303">
                  <c:v>231.11882261515</c:v>
                </c:pt>
                <c:pt idx="304">
                  <c:v>227.125190014666</c:v>
                </c:pt>
                <c:pt idx="305">
                  <c:v>223.045316486372</c:v>
                </c:pt>
                <c:pt idx="306">
                  <c:v>218.879699530671</c:v>
                </c:pt>
                <c:pt idx="307">
                  <c:v>214.628844710986</c:v>
                </c:pt>
                <c:pt idx="308">
                  <c:v>210.293265449077</c:v>
                </c:pt>
                <c:pt idx="309">
                  <c:v>205.873482818408</c:v>
                </c:pt>
                <c:pt idx="310">
                  <c:v>201.370025335761</c:v>
                </c:pt>
                <c:pt idx="311">
                  <c:v>196.783428751304</c:v>
                </c:pt>
                <c:pt idx="312">
                  <c:v>192.114235837282</c:v>
                </c:pt>
                <c:pt idx="313">
                  <c:v>187.362996175533</c:v>
                </c:pt>
                <c:pt idx="314">
                  <c:v>182.530265944007</c:v>
                </c:pt>
                <c:pt idx="315">
                  <c:v>177.616607702456</c:v>
                </c:pt>
                <c:pt idx="316">
                  <c:v>172.622590177472</c:v>
                </c:pt>
                <c:pt idx="317">
                  <c:v>167.548788047049</c:v>
                </c:pt>
                <c:pt idx="318">
                  <c:v>162.395781724827</c:v>
                </c:pt>
                <c:pt idx="319">
                  <c:v>157.164157144174</c:v>
                </c:pt>
                <c:pt idx="320">
                  <c:v>151.854505542285</c:v>
                </c:pt>
                <c:pt idx="321">
                  <c:v>146.467423244423</c:v>
                </c:pt>
                <c:pt idx="322">
                  <c:v>141.003511448485</c:v>
                </c:pt>
                <c:pt idx="323">
                  <c:v>135.463376010014</c:v>
                </c:pt>
                <c:pt idx="324">
                  <c:v>129.847627227815</c:v>
                </c:pt>
                <c:pt idx="325">
                  <c:v>124.156879630311</c:v>
                </c:pt>
                <c:pt idx="326">
                  <c:v>118.391751762781</c:v>
                </c:pt>
                <c:pt idx="327">
                  <c:v>112.5528659756</c:v>
                </c:pt>
                <c:pt idx="328">
                  <c:v>106.640848213625</c:v>
                </c:pt>
                <c:pt idx="329">
                  <c:v>100.656327806845</c:v>
                </c:pt>
                <c:pt idx="330">
                  <c:v>94.5999372624113</c:v>
                </c:pt>
                <c:pt idx="331">
                  <c:v>88.4723120581828</c:v>
                </c:pt>
                <c:pt idx="332">
                  <c:v>82.2740904378779</c:v>
                </c:pt>
                <c:pt idx="333">
                  <c:v>76.0059132079617</c:v>
                </c:pt>
                <c:pt idx="334">
                  <c:v>69.6684235363634</c:v>
                </c:pt>
                <c:pt idx="335">
                  <c:v>63.2622667531313</c:v>
                </c:pt>
                <c:pt idx="336">
                  <c:v>56.788090153121</c:v>
                </c:pt>
                <c:pt idx="337">
                  <c:v>50.2465428008116</c:v>
                </c:pt>
                <c:pt idx="338">
                  <c:v>43.6382753373412</c:v>
                </c:pt>
                <c:pt idx="339">
                  <c:v>36.9639397898459</c:v>
                </c:pt>
                <c:pt idx="340">
                  <c:v>30.2241893831857</c:v>
                </c:pt>
                <c:pt idx="341">
                  <c:v>23.4196783541361</c:v>
                </c:pt>
                <c:pt idx="342">
                  <c:v>16.5510617681181</c:v>
                </c:pt>
                <c:pt idx="343">
                  <c:v>9.6189953385379</c:v>
                </c:pt>
                <c:pt idx="344">
                  <c:v>2.62413524880365</c:v>
                </c:pt>
                <c:pt idx="345">
                  <c:v>-4.43286202292057</c:v>
                </c:pt>
                <c:pt idx="346">
                  <c:v>-4.43994995521391</c:v>
                </c:pt>
                <c:pt idx="347">
                  <c:v>-4.44703794865919</c:v>
                </c:pt>
                <c:pt idx="348">
                  <c:v>-4.45412600325577</c:v>
                </c:pt>
                <c:pt idx="349">
                  <c:v>-4.46121411900298</c:v>
                </c:pt>
                <c:pt idx="350">
                  <c:v>-4.46830229590018</c:v>
                </c:pt>
                <c:pt idx="351">
                  <c:v>-4.47539053394671</c:v>
                </c:pt>
                <c:pt idx="352">
                  <c:v>-4.48247883314192</c:v>
                </c:pt>
                <c:pt idx="353">
                  <c:v>-4.48956719348516</c:v>
                </c:pt>
                <c:pt idx="354">
                  <c:v>-4.49665561497577</c:v>
                </c:pt>
                <c:pt idx="355">
                  <c:v>-4.5037440976131</c:v>
                </c:pt>
                <c:pt idx="356">
                  <c:v>-4.5108326413965</c:v>
                </c:pt>
                <c:pt idx="357">
                  <c:v>-4.51792124632531</c:v>
                </c:pt>
                <c:pt idx="358">
                  <c:v>-4.52500991239888</c:v>
                </c:pt>
                <c:pt idx="359">
                  <c:v>-4.53209863961656</c:v>
                </c:pt>
                <c:pt idx="360">
                  <c:v>-4.53918742797769</c:v>
                </c:pt>
                <c:pt idx="361">
                  <c:v>-4.54627627748162</c:v>
                </c:pt>
                <c:pt idx="362">
                  <c:v>-4.55336518812771</c:v>
                </c:pt>
                <c:pt idx="363">
                  <c:v>-4.56045415991528</c:v>
                </c:pt>
                <c:pt idx="364">
                  <c:v>-4.5675431928437</c:v>
                </c:pt>
                <c:pt idx="365">
                  <c:v>-4.5746322869123</c:v>
                </c:pt>
                <c:pt idx="366">
                  <c:v>-4.58172144212044</c:v>
                </c:pt>
                <c:pt idx="367">
                  <c:v>-4.58881065846746</c:v>
                </c:pt>
                <c:pt idx="368">
                  <c:v>-4.59589993595272</c:v>
                </c:pt>
                <c:pt idx="369">
                  <c:v>-4.60298927457554</c:v>
                </c:pt>
                <c:pt idx="370">
                  <c:v>-4.61007867433529</c:v>
                </c:pt>
                <c:pt idx="371">
                  <c:v>-4.61716813523131</c:v>
                </c:pt>
                <c:pt idx="372">
                  <c:v>-4.62425765726294</c:v>
                </c:pt>
                <c:pt idx="373">
                  <c:v>-4.63134724042953</c:v>
                </c:pt>
                <c:pt idx="374">
                  <c:v>-4.63843688473044</c:v>
                </c:pt>
                <c:pt idx="375">
                  <c:v>-4.645526590165</c:v>
                </c:pt>
                <c:pt idx="376">
                  <c:v>-4.65261635673256</c:v>
                </c:pt>
                <c:pt idx="377">
                  <c:v>-4.65970618443248</c:v>
                </c:pt>
                <c:pt idx="378">
                  <c:v>-4.66679607326409</c:v>
                </c:pt>
                <c:pt idx="379">
                  <c:v>-4.67388602322674</c:v>
                </c:pt>
                <c:pt idx="380">
                  <c:v>-4.68097603431979</c:v>
                </c:pt>
                <c:pt idx="381">
                  <c:v>-4.68806610654257</c:v>
                </c:pt>
                <c:pt idx="382">
                  <c:v>-4.69515623989443</c:v>
                </c:pt>
                <c:pt idx="383">
                  <c:v>-4.70224643437473</c:v>
                </c:pt>
                <c:pt idx="384">
                  <c:v>-4.7093366899828</c:v>
                </c:pt>
                <c:pt idx="385">
                  <c:v>-4.716427006718</c:v>
                </c:pt>
                <c:pt idx="386">
                  <c:v>-4.72351738457967</c:v>
                </c:pt>
                <c:pt idx="387">
                  <c:v>-4.73060782356716</c:v>
                </c:pt>
                <c:pt idx="388">
                  <c:v>-4.73769832367981</c:v>
                </c:pt>
                <c:pt idx="389">
                  <c:v>-4.74478888491698</c:v>
                </c:pt>
                <c:pt idx="390">
                  <c:v>-4.751879507278</c:v>
                </c:pt>
                <c:pt idx="391">
                  <c:v>-4.75897019076223</c:v>
                </c:pt>
                <c:pt idx="392">
                  <c:v>-4.76606093536901</c:v>
                </c:pt>
                <c:pt idx="393">
                  <c:v>-4.77315174109769</c:v>
                </c:pt>
                <c:pt idx="394">
                  <c:v>-4.78024260794761</c:v>
                </c:pt>
                <c:pt idx="395">
                  <c:v>-4.78733353591813</c:v>
                </c:pt>
                <c:pt idx="396">
                  <c:v>-4.79442452500859</c:v>
                </c:pt>
                <c:pt idx="397">
                  <c:v>-4.80151557521833</c:v>
                </c:pt>
                <c:pt idx="398">
                  <c:v>-4.80860668654671</c:v>
                </c:pt>
                <c:pt idx="399">
                  <c:v>-4.81569785899306</c:v>
                </c:pt>
                <c:pt idx="400">
                  <c:v>-4.82278909255674</c:v>
                </c:pt>
                <c:pt idx="401">
                  <c:v>-4.8298803872371</c:v>
                </c:pt>
                <c:pt idx="402">
                  <c:v>-4.83697174303348</c:v>
                </c:pt>
                <c:pt idx="403">
                  <c:v>-4.84406315994522</c:v>
                </c:pt>
                <c:pt idx="404">
                  <c:v>-4.85115463797168</c:v>
                </c:pt>
                <c:pt idx="405">
                  <c:v>-4.8582461771122</c:v>
                </c:pt>
                <c:pt idx="406">
                  <c:v>-4.86533777736612</c:v>
                </c:pt>
                <c:pt idx="407">
                  <c:v>-4.8724294387328</c:v>
                </c:pt>
                <c:pt idx="408">
                  <c:v>-4.87952116121159</c:v>
                </c:pt>
                <c:pt idx="409">
                  <c:v>-4.88661294480182</c:v>
                </c:pt>
                <c:pt idx="410">
                  <c:v>-4.89370478950284</c:v>
                </c:pt>
                <c:pt idx="411">
                  <c:v>-4.90079669531401</c:v>
                </c:pt>
                <c:pt idx="412">
                  <c:v>-4.90788866223466</c:v>
                </c:pt>
                <c:pt idx="413">
                  <c:v>-4.91498069026415</c:v>
                </c:pt>
                <c:pt idx="414">
                  <c:v>-4.92207277940182</c:v>
                </c:pt>
                <c:pt idx="415">
                  <c:v>-4.92916492964702</c:v>
                </c:pt>
                <c:pt idx="416">
                  <c:v>-4.9362571409991</c:v>
                </c:pt>
                <c:pt idx="417">
                  <c:v>-4.9433494134574</c:v>
                </c:pt>
                <c:pt idx="418">
                  <c:v>-4.95044174702127</c:v>
                </c:pt>
                <c:pt idx="419">
                  <c:v>-4.95753414169006</c:v>
                </c:pt>
                <c:pt idx="420">
                  <c:v>-4.96462659746311</c:v>
                </c:pt>
                <c:pt idx="421">
                  <c:v>-4.97171911433976</c:v>
                </c:pt>
                <c:pt idx="422">
                  <c:v>-4.97881169231938</c:v>
                </c:pt>
                <c:pt idx="423">
                  <c:v>-4.9859043314013</c:v>
                </c:pt>
                <c:pt idx="424">
                  <c:v>-4.99299703158487</c:v>
                </c:pt>
                <c:pt idx="425">
                  <c:v>-5.00008979286944</c:v>
                </c:pt>
                <c:pt idx="426">
                  <c:v>-5.00718261525435</c:v>
                </c:pt>
                <c:pt idx="427">
                  <c:v>-5.01427549873895</c:v>
                </c:pt>
                <c:pt idx="428">
                  <c:v>-5.02136844332259</c:v>
                </c:pt>
                <c:pt idx="429">
                  <c:v>-5.02846144900461</c:v>
                </c:pt>
                <c:pt idx="430">
                  <c:v>-5.03555451578437</c:v>
                </c:pt>
                <c:pt idx="431">
                  <c:v>-5.0426476436612</c:v>
                </c:pt>
                <c:pt idx="432">
                  <c:v>-5.04974083263446</c:v>
                </c:pt>
                <c:pt idx="433">
                  <c:v>-5.05683408270349</c:v>
                </c:pt>
                <c:pt idx="434">
                  <c:v>-5.06392739386764</c:v>
                </c:pt>
                <c:pt idx="435">
                  <c:v>-5.07102076612625</c:v>
                </c:pt>
                <c:pt idx="436">
                  <c:v>-5.07811419947868</c:v>
                </c:pt>
                <c:pt idx="437">
                  <c:v>-5.08520769392427</c:v>
                </c:pt>
                <c:pt idx="438">
                  <c:v>-5.09230124946236</c:v>
                </c:pt>
                <c:pt idx="439">
                  <c:v>-5.0993948660923</c:v>
                </c:pt>
                <c:pt idx="440">
                  <c:v>-5.10648854381345</c:v>
                </c:pt>
                <c:pt idx="441">
                  <c:v>-5.11358228262514</c:v>
                </c:pt>
                <c:pt idx="442">
                  <c:v>-5.12067608252672</c:v>
                </c:pt>
                <c:pt idx="443">
                  <c:v>-5.12776994351754</c:v>
                </c:pt>
                <c:pt idx="444">
                  <c:v>-5.13486386559695</c:v>
                </c:pt>
                <c:pt idx="445">
                  <c:v>-5.1419578487643</c:v>
                </c:pt>
                <c:pt idx="446">
                  <c:v>-5.14905189301892</c:v>
                </c:pt>
                <c:pt idx="447">
                  <c:v>-5.15614599836018</c:v>
                </c:pt>
                <c:pt idx="448">
                  <c:v>-5.1632401647874</c:v>
                </c:pt>
                <c:pt idx="449">
                  <c:v>-5.17033439229995</c:v>
                </c:pt>
                <c:pt idx="450">
                  <c:v>-5.17742868089717</c:v>
                </c:pt>
                <c:pt idx="451">
                  <c:v>-5.1845230305784</c:v>
                </c:pt>
                <c:pt idx="452">
                  <c:v>-5.19161744134299</c:v>
                </c:pt>
                <c:pt idx="453">
                  <c:v>-5.19871191319029</c:v>
                </c:pt>
                <c:pt idx="454">
                  <c:v>-5.20580644611964</c:v>
                </c:pt>
                <c:pt idx="455">
                  <c:v>-5.2129010401304</c:v>
                </c:pt>
                <c:pt idx="456">
                  <c:v>-5.21999569522191</c:v>
                </c:pt>
                <c:pt idx="457">
                  <c:v>-5.22709041139351</c:v>
                </c:pt>
                <c:pt idx="458">
                  <c:v>-5.23418518864455</c:v>
                </c:pt>
                <c:pt idx="459">
                  <c:v>-5.24128002697439</c:v>
                </c:pt>
                <c:pt idx="460">
                  <c:v>-5.24837492638236</c:v>
                </c:pt>
                <c:pt idx="461">
                  <c:v>-5.25546988686781</c:v>
                </c:pt>
                <c:pt idx="462">
                  <c:v>-5.26256490843009</c:v>
                </c:pt>
                <c:pt idx="463">
                  <c:v>-5.26965999106855</c:v>
                </c:pt>
                <c:pt idx="464">
                  <c:v>-5.27675513478254</c:v>
                </c:pt>
                <c:pt idx="465">
                  <c:v>-5.28385033957139</c:v>
                </c:pt>
                <c:pt idx="466">
                  <c:v>-5.29094560543446</c:v>
                </c:pt>
                <c:pt idx="467">
                  <c:v>-5.29804093237109</c:v>
                </c:pt>
                <c:pt idx="468">
                  <c:v>-5.30513632038064</c:v>
                </c:pt>
                <c:pt idx="469">
                  <c:v>-5.31223176946244</c:v>
                </c:pt>
                <c:pt idx="470">
                  <c:v>-5.31932727961585</c:v>
                </c:pt>
                <c:pt idx="471">
                  <c:v>-5.32642285084021</c:v>
                </c:pt>
                <c:pt idx="472">
                  <c:v>-5.33351848313487</c:v>
                </c:pt>
                <c:pt idx="473">
                  <c:v>-5.34061417649917</c:v>
                </c:pt>
                <c:pt idx="474">
                  <c:v>-5.34770993093246</c:v>
                </c:pt>
                <c:pt idx="475">
                  <c:v>-5.35480574643409</c:v>
                </c:pt>
                <c:pt idx="476">
                  <c:v>-5.36190162300341</c:v>
                </c:pt>
                <c:pt idx="477">
                  <c:v>-5.36899756063976</c:v>
                </c:pt>
                <c:pt idx="478">
                  <c:v>-5.37609355934249</c:v>
                </c:pt>
                <c:pt idx="479">
                  <c:v>-5.38318961911094</c:v>
                </c:pt>
                <c:pt idx="480">
                  <c:v>-5.39028573994447</c:v>
                </c:pt>
                <c:pt idx="481">
                  <c:v>-5.39738192184242</c:v>
                </c:pt>
                <c:pt idx="482">
                  <c:v>-5.40447816480413</c:v>
                </c:pt>
                <c:pt idx="483">
                  <c:v>-5.41157446882896</c:v>
                </c:pt>
                <c:pt idx="484">
                  <c:v>-5.41867083391625</c:v>
                </c:pt>
                <c:pt idx="485">
                  <c:v>-5.42576726006534</c:v>
                </c:pt>
                <c:pt idx="486">
                  <c:v>-5.43286374727559</c:v>
                </c:pt>
                <c:pt idx="487">
                  <c:v>-5.43996029554634</c:v>
                </c:pt>
                <c:pt idx="488">
                  <c:v>-5.44705690487693</c:v>
                </c:pt>
                <c:pt idx="489">
                  <c:v>-5.45415357526672</c:v>
                </c:pt>
                <c:pt idx="490">
                  <c:v>-5.46125030671506</c:v>
                </c:pt>
                <c:pt idx="491">
                  <c:v>-5.46834709922128</c:v>
                </c:pt>
                <c:pt idx="492">
                  <c:v>-5.47544395278473</c:v>
                </c:pt>
                <c:pt idx="493">
                  <c:v>-5.48254086740477</c:v>
                </c:pt>
                <c:pt idx="494">
                  <c:v>-5.48963784308073</c:v>
                </c:pt>
                <c:pt idx="495">
                  <c:v>-5.49673487981197</c:v>
                </c:pt>
                <c:pt idx="496">
                  <c:v>-5.50383197759783</c:v>
                </c:pt>
                <c:pt idx="497">
                  <c:v>-5.51092913643766</c:v>
                </c:pt>
                <c:pt idx="498">
                  <c:v>-5.51802635633081</c:v>
                </c:pt>
                <c:pt idx="499">
                  <c:v>-5.52512363727662</c:v>
                </c:pt>
                <c:pt idx="500">
                  <c:v>-5.53222097927444</c:v>
                </c:pt>
                <c:pt idx="501">
                  <c:v>-5.53931838232362</c:v>
                </c:pt>
                <c:pt idx="502">
                  <c:v>-5.54641584642349</c:v>
                </c:pt>
                <c:pt idx="503">
                  <c:v>-5.55351337157342</c:v>
                </c:pt>
                <c:pt idx="504">
                  <c:v>-5.56061095777275</c:v>
                </c:pt>
                <c:pt idx="505">
                  <c:v>-5.56770860502082</c:v>
                </c:pt>
                <c:pt idx="506">
                  <c:v>-5.57480631331698</c:v>
                </c:pt>
                <c:pt idx="507">
                  <c:v>-5.58190408266057</c:v>
                </c:pt>
                <c:pt idx="508">
                  <c:v>-5.58900191305095</c:v>
                </c:pt>
                <c:pt idx="509">
                  <c:v>-5.59609980448747</c:v>
                </c:pt>
                <c:pt idx="510">
                  <c:v>-5.60319775696946</c:v>
                </c:pt>
                <c:pt idx="511">
                  <c:v>-5.61029577049627</c:v>
                </c:pt>
                <c:pt idx="512">
                  <c:v>-5.61739384506726</c:v>
                </c:pt>
                <c:pt idx="513">
                  <c:v>-5.62449198068176</c:v>
                </c:pt>
                <c:pt idx="514">
                  <c:v>-5.63159017733913</c:v>
                </c:pt>
                <c:pt idx="515">
                  <c:v>-5.63868843503872</c:v>
                </c:pt>
                <c:pt idx="516">
                  <c:v>-5.64578675377986</c:v>
                </c:pt>
                <c:pt idx="517">
                  <c:v>-5.6528851335619</c:v>
                </c:pt>
                <c:pt idx="518">
                  <c:v>-5.6599835743842</c:v>
                </c:pt>
                <c:pt idx="519">
                  <c:v>-5.6670820762461</c:v>
                </c:pt>
                <c:pt idx="520">
                  <c:v>-5.67418063914695</c:v>
                </c:pt>
                <c:pt idx="521">
                  <c:v>-5.68127926308609</c:v>
                </c:pt>
                <c:pt idx="522">
                  <c:v>-5.68837794806287</c:v>
                </c:pt>
                <c:pt idx="523">
                  <c:v>-5.69547669407663</c:v>
                </c:pt>
                <c:pt idx="524">
                  <c:v>-5.70257550112673</c:v>
                </c:pt>
                <c:pt idx="525">
                  <c:v>-5.70967436921251</c:v>
                </c:pt>
                <c:pt idx="526">
                  <c:v>-5.71677329833332</c:v>
                </c:pt>
                <c:pt idx="527">
                  <c:v>-5.7238722884885</c:v>
                </c:pt>
                <c:pt idx="528">
                  <c:v>-5.7309713396774</c:v>
                </c:pt>
                <c:pt idx="529">
                  <c:v>-5.73807045189937</c:v>
                </c:pt>
                <c:pt idx="530">
                  <c:v>-5.74516962515375</c:v>
                </c:pt>
                <c:pt idx="531">
                  <c:v>-5.7522688594399</c:v>
                </c:pt>
                <c:pt idx="532">
                  <c:v>-5.75936815475715</c:v>
                </c:pt>
                <c:pt idx="533">
                  <c:v>-5.76646751110486</c:v>
                </c:pt>
                <c:pt idx="534">
                  <c:v>-5.77356692848237</c:v>
                </c:pt>
                <c:pt idx="535">
                  <c:v>-5.78066640688903</c:v>
                </c:pt>
                <c:pt idx="536">
                  <c:v>-5.78776594632419</c:v>
                </c:pt>
                <c:pt idx="537">
                  <c:v>-5.79486554678719</c:v>
                </c:pt>
                <c:pt idx="538">
                  <c:v>-5.80196520827738</c:v>
                </c:pt>
                <c:pt idx="539">
                  <c:v>-5.8090649307941</c:v>
                </c:pt>
                <c:pt idx="540">
                  <c:v>-5.81616471433671</c:v>
                </c:pt>
                <c:pt idx="541">
                  <c:v>-5.82326455890455</c:v>
                </c:pt>
                <c:pt idx="542">
                  <c:v>-5.83036446449696</c:v>
                </c:pt>
                <c:pt idx="543">
                  <c:v>-5.8374644311133</c:v>
                </c:pt>
                <c:pt idx="544">
                  <c:v>-5.84456445875291</c:v>
                </c:pt>
                <c:pt idx="545">
                  <c:v>-5.85166454741514</c:v>
                </c:pt>
                <c:pt idx="546">
                  <c:v>-5.85876469709933</c:v>
                </c:pt>
                <c:pt idx="547">
                  <c:v>-5.86586490780483</c:v>
                </c:pt>
                <c:pt idx="548">
                  <c:v>-5.87296517953099</c:v>
                </c:pt>
                <c:pt idx="549">
                  <c:v>-5.88006551227715</c:v>
                </c:pt>
                <c:pt idx="550">
                  <c:v>-5.88716590604267</c:v>
                </c:pt>
                <c:pt idx="551">
                  <c:v>-5.89426636082688</c:v>
                </c:pt>
                <c:pt idx="552">
                  <c:v>-5.90136687662914</c:v>
                </c:pt>
                <c:pt idx="553">
                  <c:v>-5.90846745344879</c:v>
                </c:pt>
                <c:pt idx="554">
                  <c:v>-5.91556809128518</c:v>
                </c:pt>
                <c:pt idx="555">
                  <c:v>-5.92266879013766</c:v>
                </c:pt>
                <c:pt idx="556">
                  <c:v>-5.92976955000557</c:v>
                </c:pt>
                <c:pt idx="557">
                  <c:v>-5.93687037088826</c:v>
                </c:pt>
                <c:pt idx="558">
                  <c:v>-5.94397125278507</c:v>
                </c:pt>
                <c:pt idx="559">
                  <c:v>-5.95107219569536</c:v>
                </c:pt>
                <c:pt idx="560">
                  <c:v>-5.95817319961847</c:v>
                </c:pt>
                <c:pt idx="561">
                  <c:v>-5.96527426455375</c:v>
                </c:pt>
                <c:pt idx="562">
                  <c:v>-5.97237539050054</c:v>
                </c:pt>
                <c:pt idx="563">
                  <c:v>-5.97947657745819</c:v>
                </c:pt>
                <c:pt idx="564">
                  <c:v>-5.98657782542604</c:v>
                </c:pt>
                <c:pt idx="565">
                  <c:v>-5.99367913440345</c:v>
                </c:pt>
                <c:pt idx="566">
                  <c:v>-6.00078050438977</c:v>
                </c:pt>
                <c:pt idx="567">
                  <c:v>-6.00788193538433</c:v>
                </c:pt>
                <c:pt idx="568">
                  <c:v>-6.01498342738648</c:v>
                </c:pt>
                <c:pt idx="569">
                  <c:v>-6.02208498039558</c:v>
                </c:pt>
                <c:pt idx="570">
                  <c:v>-6.02918659441097</c:v>
                </c:pt>
                <c:pt idx="571">
                  <c:v>-6.03628826943199</c:v>
                </c:pt>
                <c:pt idx="572">
                  <c:v>-6.04339000545799</c:v>
                </c:pt>
                <c:pt idx="573">
                  <c:v>-6.05049180248832</c:v>
                </c:pt>
                <c:pt idx="574">
                  <c:v>-6.05759366052233</c:v>
                </c:pt>
                <c:pt idx="575">
                  <c:v>-6.06469557955936</c:v>
                </c:pt>
                <c:pt idx="576">
                  <c:v>-6.07179755959877</c:v>
                </c:pt>
                <c:pt idx="577">
                  <c:v>-6.07889960063988</c:v>
                </c:pt>
                <c:pt idx="578">
                  <c:v>-6.08600170268206</c:v>
                </c:pt>
                <c:pt idx="579">
                  <c:v>-6.09310386572466</c:v>
                </c:pt>
                <c:pt idx="580">
                  <c:v>-6.100206089767</c:v>
                </c:pt>
                <c:pt idx="581">
                  <c:v>-6.10730837480846</c:v>
                </c:pt>
                <c:pt idx="582">
                  <c:v>-6.11441072084836</c:v>
                </c:pt>
                <c:pt idx="583">
                  <c:v>-6.12151312788606</c:v>
                </c:pt>
                <c:pt idx="584">
                  <c:v>-6.1286155959209</c:v>
                </c:pt>
                <c:pt idx="585">
                  <c:v>-6.13571812495224</c:v>
                </c:pt>
                <c:pt idx="586">
                  <c:v>-6.14282071497942</c:v>
                </c:pt>
                <c:pt idx="587">
                  <c:v>-6.14992336600178</c:v>
                </c:pt>
                <c:pt idx="588">
                  <c:v>-6.15702607801867</c:v>
                </c:pt>
                <c:pt idx="589">
                  <c:v>-6.16412885102944</c:v>
                </c:pt>
                <c:pt idx="590">
                  <c:v>-6.17123168503343</c:v>
                </c:pt>
                <c:pt idx="591">
                  <c:v>-6.17833458003</c:v>
                </c:pt>
                <c:pt idx="592">
                  <c:v>-6.18543753601849</c:v>
                </c:pt>
                <c:pt idx="593">
                  <c:v>-6.19254055299825</c:v>
                </c:pt>
                <c:pt idx="594">
                  <c:v>-6.19964363096861</c:v>
                </c:pt>
                <c:pt idx="595">
                  <c:v>-6.20674676992894</c:v>
                </c:pt>
                <c:pt idx="596">
                  <c:v>-6.21384996987857</c:v>
                </c:pt>
                <c:pt idx="597">
                  <c:v>-6.22095323081686</c:v>
                </c:pt>
                <c:pt idx="598">
                  <c:v>-6.22805655274315</c:v>
                </c:pt>
                <c:pt idx="599">
                  <c:v>-6.23515993565678</c:v>
                </c:pt>
                <c:pt idx="600">
                  <c:v>-6.24226337955711</c:v>
                </c:pt>
                <c:pt idx="601">
                  <c:v>-6.24936688444348</c:v>
                </c:pt>
                <c:pt idx="602">
                  <c:v>-6.25647045031524</c:v>
                </c:pt>
                <c:pt idx="603">
                  <c:v>-6.26357407717174</c:v>
                </c:pt>
                <c:pt idx="604">
                  <c:v>-6.27067776501231</c:v>
                </c:pt>
                <c:pt idx="605">
                  <c:v>-6.27778151383631</c:v>
                </c:pt>
                <c:pt idx="606">
                  <c:v>-6.28488532364309</c:v>
                </c:pt>
                <c:pt idx="607">
                  <c:v>-6.29198919443199</c:v>
                </c:pt>
                <c:pt idx="608">
                  <c:v>-6.29909312620236</c:v>
                </c:pt>
                <c:pt idx="609">
                  <c:v>-6.30619711895355</c:v>
                </c:pt>
                <c:pt idx="610">
                  <c:v>-6.3133011726849</c:v>
                </c:pt>
                <c:pt idx="611">
                  <c:v>-6.32040528739575</c:v>
                </c:pt>
                <c:pt idx="612">
                  <c:v>-6.32750946308547</c:v>
                </c:pt>
                <c:pt idx="613">
                  <c:v>-6.33461369975338</c:v>
                </c:pt>
                <c:pt idx="614">
                  <c:v>-6.34171799739885</c:v>
                </c:pt>
                <c:pt idx="615">
                  <c:v>-6.34882235602122</c:v>
                </c:pt>
                <c:pt idx="616">
                  <c:v>-6.35592677561983</c:v>
                </c:pt>
                <c:pt idx="617">
                  <c:v>-6.36303125619403</c:v>
                </c:pt>
                <c:pt idx="618">
                  <c:v>-6.37013579774316</c:v>
                </c:pt>
                <c:pt idx="619">
                  <c:v>-6.37724040026659</c:v>
                </c:pt>
                <c:pt idx="620">
                  <c:v>-6.38434506376364</c:v>
                </c:pt>
                <c:pt idx="621">
                  <c:v>-6.39144978823367</c:v>
                </c:pt>
                <c:pt idx="622">
                  <c:v>-6.39855457367603</c:v>
                </c:pt>
                <c:pt idx="623">
                  <c:v>-6.40565942009005</c:v>
                </c:pt>
                <c:pt idx="624">
                  <c:v>-6.4127643274751</c:v>
                </c:pt>
                <c:pt idx="625">
                  <c:v>-6.41986929583051</c:v>
                </c:pt>
                <c:pt idx="626">
                  <c:v>-6.42697432515564</c:v>
                </c:pt>
                <c:pt idx="627">
                  <c:v>-6.43407941544982</c:v>
                </c:pt>
                <c:pt idx="628">
                  <c:v>-6.44118456671242</c:v>
                </c:pt>
                <c:pt idx="629">
                  <c:v>-6.44828977894276</c:v>
                </c:pt>
                <c:pt idx="630">
                  <c:v>-6.4553950521402</c:v>
                </c:pt>
                <c:pt idx="631">
                  <c:v>-6.46250038630409</c:v>
                </c:pt>
                <c:pt idx="632">
                  <c:v>-6.46960578143378</c:v>
                </c:pt>
                <c:pt idx="633">
                  <c:v>-6.4767112375286</c:v>
                </c:pt>
                <c:pt idx="634">
                  <c:v>-6.48381675458792</c:v>
                </c:pt>
                <c:pt idx="635">
                  <c:v>-6.49092233261106</c:v>
                </c:pt>
                <c:pt idx="636">
                  <c:v>-6.49802797159739</c:v>
                </c:pt>
                <c:pt idx="637">
                  <c:v>-6.50513367154625</c:v>
                </c:pt>
                <c:pt idx="638">
                  <c:v>-6.51223943245698</c:v>
                </c:pt>
                <c:pt idx="639">
                  <c:v>-6.51934525432893</c:v>
                </c:pt>
                <c:pt idx="640">
                  <c:v>-6.52645113716145</c:v>
                </c:pt>
                <c:pt idx="641">
                  <c:v>-6.53355708095389</c:v>
                </c:pt>
                <c:pt idx="642">
                  <c:v>-6.54066308570558</c:v>
                </c:pt>
                <c:pt idx="643">
                  <c:v>-6.54776915141589</c:v>
                </c:pt>
                <c:pt idx="644">
                  <c:v>-6.55487527808416</c:v>
                </c:pt>
                <c:pt idx="645">
                  <c:v>-6.56198146570972</c:v>
                </c:pt>
                <c:pt idx="646">
                  <c:v>-6.56908771429194</c:v>
                </c:pt>
                <c:pt idx="647">
                  <c:v>-6.57619402383015</c:v>
                </c:pt>
                <c:pt idx="648">
                  <c:v>-6.58330039432371</c:v>
                </c:pt>
                <c:pt idx="649">
                  <c:v>-6.59040682577196</c:v>
                </c:pt>
                <c:pt idx="650">
                  <c:v>-6.59751331817424</c:v>
                </c:pt>
                <c:pt idx="651">
                  <c:v>-6.60461987152991</c:v>
                </c:pt>
                <c:pt idx="652">
                  <c:v>-6.61172648583831</c:v>
                </c:pt>
                <c:pt idx="653">
                  <c:v>-6.61883316109879</c:v>
                </c:pt>
                <c:pt idx="654">
                  <c:v>-6.62593989731069</c:v>
                </c:pt>
                <c:pt idx="655">
                  <c:v>-6.63304669447336</c:v>
                </c:pt>
                <c:pt idx="656">
                  <c:v>-6.64015355258615</c:v>
                </c:pt>
                <c:pt idx="657">
                  <c:v>-6.64726047164841</c:v>
                </c:pt>
                <c:pt idx="658">
                  <c:v>-6.65436745165948</c:v>
                </c:pt>
                <c:pt idx="659">
                  <c:v>-6.66147449261871</c:v>
                </c:pt>
                <c:pt idx="660">
                  <c:v>-6.66858159452545</c:v>
                </c:pt>
                <c:pt idx="661">
                  <c:v>-6.67568875737903</c:v>
                </c:pt>
                <c:pt idx="662">
                  <c:v>-6.68279598117882</c:v>
                </c:pt>
                <c:pt idx="663">
                  <c:v>-6.68990326592415</c:v>
                </c:pt>
                <c:pt idx="664">
                  <c:v>-6.69701061161438</c:v>
                </c:pt>
                <c:pt idx="665">
                  <c:v>-6.70411801824885</c:v>
                </c:pt>
                <c:pt idx="666">
                  <c:v>-6.7112254858269</c:v>
                </c:pt>
                <c:pt idx="667">
                  <c:v>-6.71833301434789</c:v>
                </c:pt>
                <c:pt idx="668">
                  <c:v>-6.72544060381116</c:v>
                </c:pt>
                <c:pt idx="669">
                  <c:v>-6.73254825421606</c:v>
                </c:pt>
                <c:pt idx="670">
                  <c:v>-6.73965596556193</c:v>
                </c:pt>
                <c:pt idx="671">
                  <c:v>-6.74676373784812</c:v>
                </c:pt>
                <c:pt idx="672">
                  <c:v>-6.75387157107399</c:v>
                </c:pt>
                <c:pt idx="673">
                  <c:v>-6.76097946523886</c:v>
                </c:pt>
                <c:pt idx="674">
                  <c:v>-6.7680874203421</c:v>
                </c:pt>
                <c:pt idx="675">
                  <c:v>-6.77519543638305</c:v>
                </c:pt>
                <c:pt idx="676">
                  <c:v>-6.78230351336105</c:v>
                </c:pt>
                <c:pt idx="677">
                  <c:v>-6.78941165127546</c:v>
                </c:pt>
                <c:pt idx="678">
                  <c:v>-6.79651985012562</c:v>
                </c:pt>
                <c:pt idx="679">
                  <c:v>-6.80362810991087</c:v>
                </c:pt>
                <c:pt idx="680">
                  <c:v>-6.81073643063057</c:v>
                </c:pt>
                <c:pt idx="681">
                  <c:v>-6.81784481228405</c:v>
                </c:pt>
                <c:pt idx="682">
                  <c:v>-6.82495325487068</c:v>
                </c:pt>
                <c:pt idx="683">
                  <c:v>-6.83206175838978</c:v>
                </c:pt>
                <c:pt idx="684">
                  <c:v>-6.83917032284072</c:v>
                </c:pt>
                <c:pt idx="685">
                  <c:v>-6.84627894822284</c:v>
                </c:pt>
                <c:pt idx="686">
                  <c:v>-6.85338763453548</c:v>
                </c:pt>
                <c:pt idx="687">
                  <c:v>-6.86049638177799</c:v>
                </c:pt>
                <c:pt idx="688">
                  <c:v>-6.86760518994972</c:v>
                </c:pt>
                <c:pt idx="689">
                  <c:v>-6.87471405905001</c:v>
                </c:pt>
                <c:pt idx="690">
                  <c:v>-6.88182298907822</c:v>
                </c:pt>
                <c:pt idx="691">
                  <c:v>-6.88893198003369</c:v>
                </c:pt>
                <c:pt idx="692">
                  <c:v>-6.89604103191576</c:v>
                </c:pt>
                <c:pt idx="693">
                  <c:v>-6.90315014472379</c:v>
                </c:pt>
                <c:pt idx="694">
                  <c:v>-6.91025931845711</c:v>
                </c:pt>
                <c:pt idx="695">
                  <c:v>-6.91736855311508</c:v>
                </c:pt>
                <c:pt idx="696">
                  <c:v>-6.92447784869705</c:v>
                </c:pt>
                <c:pt idx="697">
                  <c:v>-6.93158720520235</c:v>
                </c:pt>
                <c:pt idx="698">
                  <c:v>-6.93869662263034</c:v>
                </c:pt>
                <c:pt idx="699">
                  <c:v>-6.94580610098037</c:v>
                </c:pt>
                <c:pt idx="700">
                  <c:v>-6.95291564025178</c:v>
                </c:pt>
                <c:pt idx="701">
                  <c:v>-6.96002524044391</c:v>
                </c:pt>
                <c:pt idx="702">
                  <c:v>-6.96713490155612</c:v>
                </c:pt>
                <c:pt idx="703">
                  <c:v>-6.97424462358775</c:v>
                </c:pt>
                <c:pt idx="704">
                  <c:v>-6.98135440653815</c:v>
                </c:pt>
                <c:pt idx="705">
                  <c:v>-6.98846425040666</c:v>
                </c:pt>
                <c:pt idx="706">
                  <c:v>-6.99557415519264</c:v>
                </c:pt>
                <c:pt idx="707">
                  <c:v>-7.00268412089543</c:v>
                </c:pt>
                <c:pt idx="708">
                  <c:v>-7.00979414751437</c:v>
                </c:pt>
                <c:pt idx="709">
                  <c:v>-7.01690423504881</c:v>
                </c:pt>
                <c:pt idx="710">
                  <c:v>-7.02401438349811</c:v>
                </c:pt>
                <c:pt idx="711">
                  <c:v>-7.0311245928616</c:v>
                </c:pt>
                <c:pt idx="712">
                  <c:v>-7.03823486313863</c:v>
                </c:pt>
                <c:pt idx="713">
                  <c:v>-7.04534519432855</c:v>
                </c:pt>
                <c:pt idx="714">
                  <c:v>-7.05245558643071</c:v>
                </c:pt>
                <c:pt idx="715">
                  <c:v>-7.05956603944446</c:v>
                </c:pt>
                <c:pt idx="716">
                  <c:v>-7.06667655336913</c:v>
                </c:pt>
                <c:pt idx="717">
                  <c:v>-7.07378712820409</c:v>
                </c:pt>
                <c:pt idx="718">
                  <c:v>-7.08089776394867</c:v>
                </c:pt>
                <c:pt idx="719">
                  <c:v>-7.08800846060222</c:v>
                </c:pt>
                <c:pt idx="720">
                  <c:v>-7.09511921816408</c:v>
                </c:pt>
                <c:pt idx="721">
                  <c:v>-7.10223003663362</c:v>
                </c:pt>
                <c:pt idx="722">
                  <c:v>-7.10934091601016</c:v>
                </c:pt>
                <c:pt idx="723">
                  <c:v>-7.11645185629307</c:v>
                </c:pt>
                <c:pt idx="724">
                  <c:v>-7.12356285748168</c:v>
                </c:pt>
                <c:pt idx="725">
                  <c:v>-7.13067391957534</c:v>
                </c:pt>
                <c:pt idx="726">
                  <c:v>-7.13778504257341</c:v>
                </c:pt>
                <c:pt idx="727">
                  <c:v>-7.14489622647522</c:v>
                </c:pt>
                <c:pt idx="728">
                  <c:v>-7.15200747128012</c:v>
                </c:pt>
                <c:pt idx="729">
                  <c:v>-7.15911877698747</c:v>
                </c:pt>
                <c:pt idx="730">
                  <c:v>-7.1662301435966</c:v>
                </c:pt>
                <c:pt idx="731">
                  <c:v>-7.17334157110686</c:v>
                </c:pt>
                <c:pt idx="732">
                  <c:v>-7.18045305951761</c:v>
                </c:pt>
                <c:pt idx="733">
                  <c:v>-7.18756460882818</c:v>
                </c:pt>
                <c:pt idx="734">
                  <c:v>-7.19467621903793</c:v>
                </c:pt>
                <c:pt idx="735">
                  <c:v>-7.2017878901462</c:v>
                </c:pt>
                <c:pt idx="736">
                  <c:v>-7.20889962215234</c:v>
                </c:pt>
                <c:pt idx="737">
                  <c:v>-7.2160114150557</c:v>
                </c:pt>
                <c:pt idx="738">
                  <c:v>-7.22312326885562</c:v>
                </c:pt>
                <c:pt idx="739">
                  <c:v>-7.23023518355145</c:v>
                </c:pt>
                <c:pt idx="740">
                  <c:v>-7.23734715914253</c:v>
                </c:pt>
                <c:pt idx="741">
                  <c:v>-7.24445919562821</c:v>
                </c:pt>
                <c:pt idx="742">
                  <c:v>-7.25157129300785</c:v>
                </c:pt>
                <c:pt idx="743">
                  <c:v>-7.25868345128078</c:v>
                </c:pt>
                <c:pt idx="744">
                  <c:v>-7.26579567044636</c:v>
                </c:pt>
                <c:pt idx="745">
                  <c:v>-7.27290795050393</c:v>
                </c:pt>
                <c:pt idx="746">
                  <c:v>-7.28002029145283</c:v>
                </c:pt>
                <c:pt idx="747">
                  <c:v>-7.28713269329242</c:v>
                </c:pt>
                <c:pt idx="748">
                  <c:v>-7.29424515602204</c:v>
                </c:pt>
                <c:pt idx="749">
                  <c:v>-7.30135767964104</c:v>
                </c:pt>
                <c:pt idx="750">
                  <c:v>-7.30847026414876</c:v>
                </c:pt>
                <c:pt idx="751">
                  <c:v>-7.31558290954455</c:v>
                </c:pt>
                <c:pt idx="752">
                  <c:v>-7.32269561582777</c:v>
                </c:pt>
                <c:pt idx="753">
                  <c:v>-7.32980838299775</c:v>
                </c:pt>
                <c:pt idx="754">
                  <c:v>-7.33692121105384</c:v>
                </c:pt>
                <c:pt idx="755">
                  <c:v>-7.34403409999539</c:v>
                </c:pt>
                <c:pt idx="756">
                  <c:v>-7.35114704982175</c:v>
                </c:pt>
                <c:pt idx="757">
                  <c:v>-7.35826006053226</c:v>
                </c:pt>
                <c:pt idx="758">
                  <c:v>-7.36537313212627</c:v>
                </c:pt>
                <c:pt idx="759">
                  <c:v>-7.37248626460313</c:v>
                </c:pt>
                <c:pt idx="760">
                  <c:v>-7.37959945796218</c:v>
                </c:pt>
                <c:pt idx="761">
                  <c:v>-7.38671271220277</c:v>
                </c:pt>
                <c:pt idx="762">
                  <c:v>-7.39382602732425</c:v>
                </c:pt>
                <c:pt idx="763">
                  <c:v>-7.40093940332597</c:v>
                </c:pt>
                <c:pt idx="764">
                  <c:v>-7.40805284020727</c:v>
                </c:pt>
                <c:pt idx="765">
                  <c:v>-7.41516633796749</c:v>
                </c:pt>
                <c:pt idx="766">
                  <c:v>-7.42227989660599</c:v>
                </c:pt>
                <c:pt idx="767">
                  <c:v>-7.42939351612211</c:v>
                </c:pt>
                <c:pt idx="768">
                  <c:v>-7.43650719651521</c:v>
                </c:pt>
                <c:pt idx="769">
                  <c:v>-7.44362093778461</c:v>
                </c:pt>
                <c:pt idx="770">
                  <c:v>-7.45073473992968</c:v>
                </c:pt>
                <c:pt idx="771">
                  <c:v>-7.45784860294976</c:v>
                </c:pt>
                <c:pt idx="772">
                  <c:v>-7.4649625268442</c:v>
                </c:pt>
                <c:pt idx="773">
                  <c:v>-7.47207651161234</c:v>
                </c:pt>
                <c:pt idx="774">
                  <c:v>-7.47919055725353</c:v>
                </c:pt>
                <c:pt idx="775">
                  <c:v>-7.48630466376712</c:v>
                </c:pt>
                <c:pt idx="776">
                  <c:v>-7.49341883115245</c:v>
                </c:pt>
                <c:pt idx="777">
                  <c:v>-7.50053305940887</c:v>
                </c:pt>
                <c:pt idx="778">
                  <c:v>-7.50764734853573</c:v>
                </c:pt>
                <c:pt idx="779">
                  <c:v>-7.51476169853238</c:v>
                </c:pt>
                <c:pt idx="780">
                  <c:v>-7.52187610939815</c:v>
                </c:pt>
                <c:pt idx="781">
                  <c:v>-7.52899058113241</c:v>
                </c:pt>
                <c:pt idx="782">
                  <c:v>-7.53610511373449</c:v>
                </c:pt>
                <c:pt idx="783">
                  <c:v>-7.54321970720375</c:v>
                </c:pt>
                <c:pt idx="784">
                  <c:v>-7.55033436153952</c:v>
                </c:pt>
                <c:pt idx="785">
                  <c:v>-7.55744907674116</c:v>
                </c:pt>
                <c:pt idx="786">
                  <c:v>-7.56456385280801</c:v>
                </c:pt>
                <c:pt idx="787">
                  <c:v>-7.57167868973943</c:v>
                </c:pt>
                <c:pt idx="788">
                  <c:v>-7.57879358753474</c:v>
                </c:pt>
                <c:pt idx="789">
                  <c:v>-7.58590854619332</c:v>
                </c:pt>
                <c:pt idx="790">
                  <c:v>-7.59302356571449</c:v>
                </c:pt>
                <c:pt idx="791">
                  <c:v>-7.60013864609762</c:v>
                </c:pt>
                <c:pt idx="792">
                  <c:v>-7.60725378734203</c:v>
                </c:pt>
                <c:pt idx="793">
                  <c:v>-7.61436898944709</c:v>
                </c:pt>
                <c:pt idx="794">
                  <c:v>-7.62148425241214</c:v>
                </c:pt>
                <c:pt idx="795">
                  <c:v>-7.62859957623652</c:v>
                </c:pt>
                <c:pt idx="796">
                  <c:v>-7.63571496091958</c:v>
                </c:pt>
                <c:pt idx="797">
                  <c:v>-7.64283040646067</c:v>
                </c:pt>
                <c:pt idx="798">
                  <c:v>-7.64994591285914</c:v>
                </c:pt>
                <c:pt idx="799">
                  <c:v>-7.65706148011433</c:v>
                </c:pt>
                <c:pt idx="800">
                  <c:v>-7.66417710822559</c:v>
                </c:pt>
                <c:pt idx="801">
                  <c:v>-7.67129279719227</c:v>
                </c:pt>
                <c:pt idx="802">
                  <c:v>-7.67840854701371</c:v>
                </c:pt>
                <c:pt idx="803">
                  <c:v>-7.68552435768926</c:v>
                </c:pt>
                <c:pt idx="804">
                  <c:v>-7.69264022921827</c:v>
                </c:pt>
                <c:pt idx="805">
                  <c:v>-7.69975616160009</c:v>
                </c:pt>
                <c:pt idx="806">
                  <c:v>-7.70687215483405</c:v>
                </c:pt>
                <c:pt idx="807">
                  <c:v>-7.71398820891951</c:v>
                </c:pt>
                <c:pt idx="808">
                  <c:v>-7.72110432385582</c:v>
                </c:pt>
                <c:pt idx="809">
                  <c:v>-7.72822049964232</c:v>
                </c:pt>
                <c:pt idx="810">
                  <c:v>-7.73533673627836</c:v>
                </c:pt>
                <c:pt idx="811">
                  <c:v>-7.74245303376328</c:v>
                </c:pt>
                <c:pt idx="812">
                  <c:v>-7.74956939209644</c:v>
                </c:pt>
                <c:pt idx="813">
                  <c:v>-7.75668581127717</c:v>
                </c:pt>
                <c:pt idx="814">
                  <c:v>-7.76380229130483</c:v>
                </c:pt>
                <c:pt idx="815">
                  <c:v>-7.77091883217877</c:v>
                </c:pt>
                <c:pt idx="816">
                  <c:v>-7.77803543389832</c:v>
                </c:pt>
                <c:pt idx="817">
                  <c:v>-7.78515209646285</c:v>
                </c:pt>
                <c:pt idx="818">
                  <c:v>-7.79226881987168</c:v>
                </c:pt>
                <c:pt idx="819">
                  <c:v>-7.79938560412418</c:v>
                </c:pt>
                <c:pt idx="820">
                  <c:v>-7.80650244921968</c:v>
                </c:pt>
                <c:pt idx="821">
                  <c:v>-7.81361935515754</c:v>
                </c:pt>
                <c:pt idx="822">
                  <c:v>-7.8207363219371</c:v>
                </c:pt>
                <c:pt idx="823">
                  <c:v>-7.82785334955771</c:v>
                </c:pt>
                <c:pt idx="824">
                  <c:v>-7.83497043801872</c:v>
                </c:pt>
                <c:pt idx="825">
                  <c:v>-7.84208758731947</c:v>
                </c:pt>
                <c:pt idx="826">
                  <c:v>-7.8492047974593</c:v>
                </c:pt>
                <c:pt idx="827">
                  <c:v>-7.85632206843757</c:v>
                </c:pt>
                <c:pt idx="828">
                  <c:v>-7.86343940025363</c:v>
                </c:pt>
                <c:pt idx="829">
                  <c:v>-7.87055679290682</c:v>
                </c:pt>
                <c:pt idx="830">
                  <c:v>-7.87767424639648</c:v>
                </c:pt>
                <c:pt idx="831">
                  <c:v>-7.88479176072196</c:v>
                </c:pt>
                <c:pt idx="832">
                  <c:v>-7.89190933588262</c:v>
                </c:pt>
                <c:pt idx="833">
                  <c:v>-7.89902697187779</c:v>
                </c:pt>
                <c:pt idx="834">
                  <c:v>-7.90614466870683</c:v>
                </c:pt>
                <c:pt idx="835">
                  <c:v>-7.91326242636908</c:v>
                </c:pt>
                <c:pt idx="836">
                  <c:v>-7.92038024486389</c:v>
                </c:pt>
                <c:pt idx="837">
                  <c:v>-7.92749812419061</c:v>
                </c:pt>
                <c:pt idx="838">
                  <c:v>-7.93461606434857</c:v>
                </c:pt>
                <c:pt idx="839">
                  <c:v>-7.94173406533714</c:v>
                </c:pt>
                <c:pt idx="840">
                  <c:v>-7.94885212715565</c:v>
                </c:pt>
                <c:pt idx="841">
                  <c:v>-7.95597024980345</c:v>
                </c:pt>
                <c:pt idx="842">
                  <c:v>-7.96308843327989</c:v>
                </c:pt>
                <c:pt idx="843">
                  <c:v>-7.97020667758432</c:v>
                </c:pt>
                <c:pt idx="844">
                  <c:v>-7.97732498271608</c:v>
                </c:pt>
                <c:pt idx="845">
                  <c:v>-7.98444334867453</c:v>
                </c:pt>
                <c:pt idx="846">
                  <c:v>-7.991561775459</c:v>
                </c:pt>
                <c:pt idx="847">
                  <c:v>-7.99868026306884</c:v>
                </c:pt>
                <c:pt idx="848">
                  <c:v>-8.00579881150341</c:v>
                </c:pt>
                <c:pt idx="849">
                  <c:v>-8.01291742076204</c:v>
                </c:pt>
                <c:pt idx="850">
                  <c:v>-8.02003609084409</c:v>
                </c:pt>
                <c:pt idx="851">
                  <c:v>-8.0271548217489</c:v>
                </c:pt>
                <c:pt idx="852">
                  <c:v>-8.03427361347582</c:v>
                </c:pt>
                <c:pt idx="853">
                  <c:v>-8.0413924660242</c:v>
                </c:pt>
                <c:pt idx="854">
                  <c:v>-8.04851137939338</c:v>
                </c:pt>
                <c:pt idx="855">
                  <c:v>-8.05563035358271</c:v>
                </c:pt>
                <c:pt idx="856">
                  <c:v>-8.06274938859153</c:v>
                </c:pt>
                <c:pt idx="857">
                  <c:v>-8.0698684844192</c:v>
                </c:pt>
                <c:pt idx="858">
                  <c:v>-8.07698764106506</c:v>
                </c:pt>
                <c:pt idx="859">
                  <c:v>-8.08410685852845</c:v>
                </c:pt>
                <c:pt idx="860">
                  <c:v>-8.09122613680873</c:v>
                </c:pt>
                <c:pt idx="861">
                  <c:v>-8.09834547590524</c:v>
                </c:pt>
                <c:pt idx="862">
                  <c:v>-8.10546487581733</c:v>
                </c:pt>
                <c:pt idx="863">
                  <c:v>-8.11258433654435</c:v>
                </c:pt>
                <c:pt idx="864">
                  <c:v>-8.11970385808563</c:v>
                </c:pt>
                <c:pt idx="865">
                  <c:v>-8.12682344044054</c:v>
                </c:pt>
                <c:pt idx="866">
                  <c:v>-8.13394308360841</c:v>
                </c:pt>
                <c:pt idx="867">
                  <c:v>-8.14106278758859</c:v>
                </c:pt>
                <c:pt idx="868">
                  <c:v>-8.14818255238043</c:v>
                </c:pt>
                <c:pt idx="869">
                  <c:v>-8.15530237798328</c:v>
                </c:pt>
                <c:pt idx="870">
                  <c:v>-8.16242226439648</c:v>
                </c:pt>
                <c:pt idx="871">
                  <c:v>-8.16954221161938</c:v>
                </c:pt>
                <c:pt idx="872">
                  <c:v>-8.17666221965133</c:v>
                </c:pt>
                <c:pt idx="873">
                  <c:v>-8.18378228849168</c:v>
                </c:pt>
                <c:pt idx="874">
                  <c:v>-8.19090241813976</c:v>
                </c:pt>
                <c:pt idx="875">
                  <c:v>-8.19802260859493</c:v>
                </c:pt>
                <c:pt idx="876">
                  <c:v>-8.20514285985654</c:v>
                </c:pt>
                <c:pt idx="877">
                  <c:v>-8.21226317192393</c:v>
                </c:pt>
                <c:pt idx="878">
                  <c:v>-8.21938354479644</c:v>
                </c:pt>
                <c:pt idx="879">
                  <c:v>-8.22650397847344</c:v>
                </c:pt>
                <c:pt idx="880">
                  <c:v>-8.23362447295425</c:v>
                </c:pt>
                <c:pt idx="881">
                  <c:v>-8.24074502823824</c:v>
                </c:pt>
                <c:pt idx="882">
                  <c:v>-8.24786564432474</c:v>
                </c:pt>
                <c:pt idx="883">
                  <c:v>-8.2549863212131</c:v>
                </c:pt>
                <c:pt idx="884">
                  <c:v>-8.26210705890268</c:v>
                </c:pt>
                <c:pt idx="885">
                  <c:v>-8.26922785739281</c:v>
                </c:pt>
                <c:pt idx="886">
                  <c:v>-8.27634871668284</c:v>
                </c:pt>
                <c:pt idx="887">
                  <c:v>-8.28346963677213</c:v>
                </c:pt>
                <c:pt idx="888">
                  <c:v>-8.29059061766001</c:v>
                </c:pt>
                <c:pt idx="889">
                  <c:v>-8.29771165934584</c:v>
                </c:pt>
                <c:pt idx="890">
                  <c:v>-8.30483276182896</c:v>
                </c:pt>
                <c:pt idx="891">
                  <c:v>-8.31195392510872</c:v>
                </c:pt>
                <c:pt idx="892">
                  <c:v>-8.31907514918447</c:v>
                </c:pt>
                <c:pt idx="893">
                  <c:v>-8.32619643405555</c:v>
                </c:pt>
                <c:pt idx="894">
                  <c:v>-8.3333177797213</c:v>
                </c:pt>
                <c:pt idx="895">
                  <c:v>-8.34043918618109</c:v>
                </c:pt>
                <c:pt idx="896">
                  <c:v>-8.34756065343424</c:v>
                </c:pt>
                <c:pt idx="897">
                  <c:v>-8.35468218148012</c:v>
                </c:pt>
                <c:pt idx="898">
                  <c:v>-8.36180377031806</c:v>
                </c:pt>
                <c:pt idx="899">
                  <c:v>-8.36892541994742</c:v>
                </c:pt>
                <c:pt idx="900">
                  <c:v>-8.37604713036754</c:v>
                </c:pt>
                <c:pt idx="901">
                  <c:v>-8.38316890157777</c:v>
                </c:pt>
                <c:pt idx="902">
                  <c:v>-8.39029073357745</c:v>
                </c:pt>
                <c:pt idx="903">
                  <c:v>-8.39741262636593</c:v>
                </c:pt>
                <c:pt idx="904">
                  <c:v>-8.40453457994256</c:v>
                </c:pt>
                <c:pt idx="905">
                  <c:v>-8.41165659430669</c:v>
                </c:pt>
                <c:pt idx="906">
                  <c:v>-8.41877866945766</c:v>
                </c:pt>
                <c:pt idx="907">
                  <c:v>-8.42590080539481</c:v>
                </c:pt>
                <c:pt idx="908">
                  <c:v>-8.43302300211751</c:v>
                </c:pt>
                <c:pt idx="909">
                  <c:v>-8.44014525962509</c:v>
                </c:pt>
                <c:pt idx="910">
                  <c:v>-8.4472675779169</c:v>
                </c:pt>
                <c:pt idx="911">
                  <c:v>-8.45438995699228</c:v>
                </c:pt>
                <c:pt idx="912">
                  <c:v>-8.46151239685059</c:v>
                </c:pt>
                <c:pt idx="913">
                  <c:v>-8.46863489749117</c:v>
                </c:pt>
                <c:pt idx="914">
                  <c:v>-8.47575745891337</c:v>
                </c:pt>
                <c:pt idx="915">
                  <c:v>-8.48288008111653</c:v>
                </c:pt>
                <c:pt idx="916">
                  <c:v>-8.49000276410001</c:v>
                </c:pt>
                <c:pt idx="917">
                  <c:v>-8.49712550786314</c:v>
                </c:pt>
                <c:pt idx="918">
                  <c:v>-8.50424831240528</c:v>
                </c:pt>
                <c:pt idx="919">
                  <c:v>-8.51137117772577</c:v>
                </c:pt>
                <c:pt idx="920">
                  <c:v>-8.51849410382396</c:v>
                </c:pt>
                <c:pt idx="921">
                  <c:v>-8.5256170906992</c:v>
                </c:pt>
                <c:pt idx="922">
                  <c:v>-8.53274013835083</c:v>
                </c:pt>
                <c:pt idx="923">
                  <c:v>-8.5398632467782</c:v>
                </c:pt>
                <c:pt idx="924">
                  <c:v>-8.54698641598066</c:v>
                </c:pt>
                <c:pt idx="925">
                  <c:v>-8.55410964595755</c:v>
                </c:pt>
                <c:pt idx="926">
                  <c:v>-8.56123293670822</c:v>
                </c:pt>
                <c:pt idx="927">
                  <c:v>-8.56835628823202</c:v>
                </c:pt>
                <c:pt idx="928">
                  <c:v>-8.5754797005283</c:v>
                </c:pt>
                <c:pt idx="929">
                  <c:v>-8.5826031735964</c:v>
                </c:pt>
                <c:pt idx="930">
                  <c:v>-8.58972670743566</c:v>
                </c:pt>
                <c:pt idx="931">
                  <c:v>-8.59685030204544</c:v>
                </c:pt>
                <c:pt idx="932">
                  <c:v>-8.60397395742509</c:v>
                </c:pt>
                <c:pt idx="933">
                  <c:v>-8.61109767357394</c:v>
                </c:pt>
                <c:pt idx="934">
                  <c:v>-8.61822145049135</c:v>
                </c:pt>
                <c:pt idx="935">
                  <c:v>-8.62534528817667</c:v>
                </c:pt>
                <c:pt idx="936">
                  <c:v>-8.63246918662923</c:v>
                </c:pt>
                <c:pt idx="937">
                  <c:v>-8.63959314584839</c:v>
                </c:pt>
                <c:pt idx="938">
                  <c:v>-8.6467171658335</c:v>
                </c:pt>
                <c:pt idx="939">
                  <c:v>-8.6538412465839</c:v>
                </c:pt>
                <c:pt idx="940">
                  <c:v>-8.66096538809893</c:v>
                </c:pt>
                <c:pt idx="941">
                  <c:v>-8.66808959037795</c:v>
                </c:pt>
                <c:pt idx="942">
                  <c:v>-8.6752138534203</c:v>
                </c:pt>
                <c:pt idx="943">
                  <c:v>-8.68233817722534</c:v>
                </c:pt>
                <c:pt idx="944">
                  <c:v>-8.68946256179239</c:v>
                </c:pt>
                <c:pt idx="945">
                  <c:v>-8.69658700712082</c:v>
                </c:pt>
                <c:pt idx="946">
                  <c:v>-8.70371151320997</c:v>
                </c:pt>
                <c:pt idx="947">
                  <c:v>-8.71083608005919</c:v>
                </c:pt>
                <c:pt idx="948">
                  <c:v>-8.71796070766782</c:v>
                </c:pt>
                <c:pt idx="949">
                  <c:v>-8.72508539603521</c:v>
                </c:pt>
                <c:pt idx="950">
                  <c:v>-8.73221014516071</c:v>
                </c:pt>
                <c:pt idx="951">
                  <c:v>-8.73933495504366</c:v>
                </c:pt>
                <c:pt idx="952">
                  <c:v>-8.74645982568341</c:v>
                </c:pt>
                <c:pt idx="953">
                  <c:v>-8.75358475707931</c:v>
                </c:pt>
                <c:pt idx="954">
                  <c:v>-8.76070974923071</c:v>
                </c:pt>
                <c:pt idx="955">
                  <c:v>-8.76783480213695</c:v>
                </c:pt>
                <c:pt idx="956">
                  <c:v>-8.77495991579738</c:v>
                </c:pt>
                <c:pt idx="957">
                  <c:v>-8.78208509021134</c:v>
                </c:pt>
                <c:pt idx="958">
                  <c:v>-8.78921032537819</c:v>
                </c:pt>
                <c:pt idx="959">
                  <c:v>-8.79633562129726</c:v>
                </c:pt>
                <c:pt idx="960">
                  <c:v>-8.80346097796792</c:v>
                </c:pt>
                <c:pt idx="961">
                  <c:v>-8.81058639538949</c:v>
                </c:pt>
                <c:pt idx="962">
                  <c:v>-8.81771187356134</c:v>
                </c:pt>
                <c:pt idx="963">
                  <c:v>-8.82483741248281</c:v>
                </c:pt>
                <c:pt idx="964">
                  <c:v>-8.83196301215324</c:v>
                </c:pt>
                <c:pt idx="965">
                  <c:v>-8.83908867257198</c:v>
                </c:pt>
                <c:pt idx="966">
                  <c:v>-8.84621439373838</c:v>
                </c:pt>
                <c:pt idx="967">
                  <c:v>-8.85334017565179</c:v>
                </c:pt>
                <c:pt idx="968">
                  <c:v>-8.86046601831154</c:v>
                </c:pt>
                <c:pt idx="969">
                  <c:v>-8.867591921717</c:v>
                </c:pt>
                <c:pt idx="970">
                  <c:v>-8.8747178858675</c:v>
                </c:pt>
                <c:pt idx="971">
                  <c:v>-8.8818439107624</c:v>
                </c:pt>
                <c:pt idx="972">
                  <c:v>-8.88896999640104</c:v>
                </c:pt>
                <c:pt idx="973">
                  <c:v>-8.89609614278276</c:v>
                </c:pt>
                <c:pt idx="974">
                  <c:v>-8.90322234990692</c:v>
                </c:pt>
                <c:pt idx="975">
                  <c:v>-8.91034861777286</c:v>
                </c:pt>
                <c:pt idx="976">
                  <c:v>-8.91747494637992</c:v>
                </c:pt>
                <c:pt idx="977">
                  <c:v>-8.92460133572747</c:v>
                </c:pt>
                <c:pt idx="978">
                  <c:v>-8.93172778581483</c:v>
                </c:pt>
                <c:pt idx="979">
                  <c:v>-8.93885429664136</c:v>
                </c:pt>
                <c:pt idx="980">
                  <c:v>-8.94598086820641</c:v>
                </c:pt>
                <c:pt idx="981">
                  <c:v>-8.95310750050932</c:v>
                </c:pt>
                <c:pt idx="982">
                  <c:v>-8.96023419354944</c:v>
                </c:pt>
                <c:pt idx="983">
                  <c:v>-8.96736094732612</c:v>
                </c:pt>
                <c:pt idx="984">
                  <c:v>-8.9744877618387</c:v>
                </c:pt>
                <c:pt idx="985">
                  <c:v>-8.98161463708653</c:v>
                </c:pt>
                <c:pt idx="986">
                  <c:v>-8.98874157306896</c:v>
                </c:pt>
                <c:pt idx="987">
                  <c:v>-8.99586856978533</c:v>
                </c:pt>
                <c:pt idx="988">
                  <c:v>-9.00299562723499</c:v>
                </c:pt>
                <c:pt idx="989">
                  <c:v>-9.01012274541729</c:v>
                </c:pt>
                <c:pt idx="990">
                  <c:v>-9.01724992433158</c:v>
                </c:pt>
                <c:pt idx="991">
                  <c:v>-9.0243771639772</c:v>
                </c:pt>
                <c:pt idx="992">
                  <c:v>-9.03150446435349</c:v>
                </c:pt>
                <c:pt idx="993">
                  <c:v>-9.03863182545982</c:v>
                </c:pt>
                <c:pt idx="994">
                  <c:v>-9.04575924729551</c:v>
                </c:pt>
                <c:pt idx="995">
                  <c:v>-9.05288672985993</c:v>
                </c:pt>
                <c:pt idx="996">
                  <c:v>-9.06001427315241</c:v>
                </c:pt>
                <c:pt idx="997">
                  <c:v>-9.06714187717231</c:v>
                </c:pt>
                <c:pt idx="998">
                  <c:v>-9.07426954191897</c:v>
                </c:pt>
                <c:pt idx="999">
                  <c:v>-9.08139726739173</c:v>
                </c:pt>
                <c:pt idx="1000">
                  <c:v>-9.08852505358995</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0.0002640509309752</c:v>
                </c:pt>
                <c:pt idx="2">
                  <c:v>0.00175273237688055</c:v>
                </c:pt>
                <c:pt idx="3">
                  <c:v>0.00545610406193197</c:v>
                </c:pt>
                <c:pt idx="4">
                  <c:v>0.0115570799799965</c:v>
                </c:pt>
                <c:pt idx="5">
                  <c:v>0.019887626763166</c:v>
                </c:pt>
                <c:pt idx="6">
                  <c:v>0.0303862731855809</c:v>
                </c:pt>
                <c:pt idx="7">
                  <c:v>0.0430448816483504</c:v>
                </c:pt>
                <c:pt idx="8">
                  <c:v>0.0578552592877925</c:v>
                </c:pt>
                <c:pt idx="9">
                  <c:v>0.0748091583611076</c:v>
                </c:pt>
                <c:pt idx="10">
                  <c:v>0.093898276636523</c:v>
                </c:pt>
                <c:pt idx="11">
                  <c:v>0.115114257787836</c:v>
                </c:pt>
                <c:pt idx="12">
                  <c:v>0.138448691793286</c:v>
                </c:pt>
                <c:pt idx="13">
                  <c:v>0.163893115338667</c:v>
                </c:pt>
                <c:pt idx="14">
                  <c:v>0.191439012224629</c:v>
                </c:pt>
                <c:pt idx="15">
                  <c:v>0.221077813778067</c:v>
                </c:pt>
                <c:pt idx="16">
                  <c:v>0.252800899267539</c:v>
                </c:pt>
                <c:pt idx="17">
                  <c:v>0.28659959632262</c:v>
                </c:pt>
                <c:pt idx="18">
                  <c:v>0.322465181357135</c:v>
                </c:pt>
                <c:pt idx="19">
                  <c:v>0.360388879996165</c:v>
                </c:pt>
                <c:pt idx="20">
                  <c:v>0.400361867506773</c:v>
                </c:pt>
                <c:pt idx="21">
                  <c:v>0.442375269232349</c:v>
                </c:pt>
                <c:pt idx="22">
                  <c:v>0.486504097934803</c:v>
                </c:pt>
                <c:pt idx="23">
                  <c:v>0.532827327943045</c:v>
                </c:pt>
                <c:pt idx="24">
                  <c:v>0.581343823304871</c:v>
                </c:pt>
                <c:pt idx="25">
                  <c:v>0.632052086116819</c:v>
                </c:pt>
                <c:pt idx="26">
                  <c:v>0.684950227130358</c:v>
                </c:pt>
                <c:pt idx="27">
                  <c:v>0.740035991052591</c:v>
                </c:pt>
                <c:pt idx="28">
                  <c:v>0.797306779056704</c:v>
                </c:pt>
                <c:pt idx="29">
                  <c:v>0.856759668909874</c:v>
                </c:pt>
                <c:pt idx="30">
                  <c:v>0.918391433054189</c:v>
                </c:pt>
                <c:pt idx="31">
                  <c:v>0.982198554918847</c:v>
                </c:pt>
                <c:pt idx="32">
                  <c:v>1.04817724369602</c:v>
                </c:pt>
                <c:pt idx="33">
                  <c:v>1.11632344777567</c:v>
                </c:pt>
                <c:pt idx="34">
                  <c:v>1.18663286700435</c:v>
                </c:pt>
                <c:pt idx="35">
                  <c:v>1.25910096390855</c:v>
                </c:pt>
                <c:pt idx="36">
                  <c:v>1.33372297400227</c:v>
                </c:pt>
                <c:pt idx="37">
                  <c:v>1.41049391528209</c:v>
                </c:pt>
                <c:pt idx="38">
                  <c:v>1.48940859699853</c:v>
                </c:pt>
                <c:pt idx="39">
                  <c:v>1.57046162778065</c:v>
                </c:pt>
                <c:pt idx="40">
                  <c:v>1.65364742318099</c:v>
                </c:pt>
                <c:pt idx="41">
                  <c:v>1.7389602126994</c:v>
                </c:pt>
                <c:pt idx="42">
                  <c:v>1.8263940463369</c:v>
                </c:pt>
                <c:pt idx="43">
                  <c:v>1.9159428007248</c:v>
                </c:pt>
                <c:pt idx="44">
                  <c:v>2.00760018486897</c:v>
                </c:pt>
                <c:pt idx="45">
                  <c:v>2.10135974554421</c:v>
                </c:pt>
                <c:pt idx="46">
                  <c:v>2.19721487237039</c:v>
                </c:pt>
                <c:pt idx="47">
                  <c:v>2.29515880259785</c:v>
                </c:pt>
                <c:pt idx="48">
                  <c:v>2.39518462562717</c:v>
                </c:pt>
                <c:pt idx="49">
                  <c:v>2.49728528728538</c:v>
                </c:pt>
                <c:pt idx="50">
                  <c:v>2.60145359387868</c:v>
                </c:pt>
                <c:pt idx="51">
                  <c:v>2.70768221603955</c:v>
                </c:pt>
                <c:pt idx="52">
                  <c:v>2.81596369238441</c:v>
                </c:pt>
                <c:pt idx="53">
                  <c:v>2.92629043299643</c:v>
                </c:pt>
                <c:pt idx="54">
                  <c:v>3.03865472274672</c:v>
                </c:pt>
                <c:pt idx="55">
                  <c:v>3.15304872446584</c:v>
                </c:pt>
                <c:pt idx="56">
                  <c:v>3.2694644819765</c:v>
                </c:pt>
                <c:pt idx="57">
                  <c:v>3.38789392299733</c:v>
                </c:pt>
                <c:pt idx="58">
                  <c:v>3.50832886192681</c:v>
                </c:pt>
                <c:pt idx="59">
                  <c:v>3.63076100251548</c:v>
                </c:pt>
                <c:pt idx="60">
                  <c:v>3.75518194043399</c:v>
                </c:pt>
                <c:pt idx="61">
                  <c:v>3.88158316574394</c:v>
                </c:pt>
                <c:pt idx="62">
                  <c:v>4.00995606527774</c:v>
                </c:pt>
                <c:pt idx="63">
                  <c:v>4.14028673339737</c:v>
                </c:pt>
                <c:pt idx="64">
                  <c:v>4.27255075481131</c:v>
                </c:pt>
                <c:pt idx="65">
                  <c:v>4.40671836379116</c:v>
                </c:pt>
                <c:pt idx="66">
                  <c:v>4.54275963260079</c:v>
                </c:pt>
                <c:pt idx="67">
                  <c:v>4.68063968571726</c:v>
                </c:pt>
                <c:pt idx="68">
                  <c:v>4.82031389031129</c:v>
                </c:pt>
                <c:pt idx="69">
                  <c:v>4.96172407542431</c:v>
                </c:pt>
                <c:pt idx="70">
                  <c:v>5.10479473646288</c:v>
                </c:pt>
                <c:pt idx="71">
                  <c:v>5.249441542874</c:v>
                </c:pt>
                <c:pt idx="72">
                  <c:v>5.39557988836756</c:v>
                </c:pt>
                <c:pt idx="73">
                  <c:v>5.54312490378916</c:v>
                </c:pt>
                <c:pt idx="74">
                  <c:v>5.69199146949723</c:v>
                </c:pt>
                <c:pt idx="75">
                  <c:v>5.84209422726325</c:v>
                </c:pt>
                <c:pt idx="76">
                  <c:v>5.99334759171102</c:v>
                </c:pt>
                <c:pt idx="77">
                  <c:v>6.145665761309</c:v>
                </c:pt>
                <c:pt idx="78">
                  <c:v>6.29896272892765</c:v>
                </c:pt>
                <c:pt idx="79">
                  <c:v>6.45315229197218</c:v>
                </c:pt>
                <c:pt idx="80">
                  <c:v>6.60814806209938</c:v>
                </c:pt>
                <c:pt idx="81">
                  <c:v>6.76387381597904</c:v>
                </c:pt>
                <c:pt idx="82">
                  <c:v>6.9202738780059</c:v>
                </c:pt>
                <c:pt idx="83">
                  <c:v>7.07730282163948</c:v>
                </c:pt>
                <c:pt idx="84">
                  <c:v>7.23491513542946</c:v>
                </c:pt>
                <c:pt idx="85">
                  <c:v>7.39306522574327</c:v>
                </c:pt>
                <c:pt idx="86">
                  <c:v>7.55170741938369</c:v>
                </c:pt>
                <c:pt idx="87">
                  <c:v>7.71079596609759</c:v>
                </c:pt>
                <c:pt idx="88">
                  <c:v>7.87028504097633</c:v>
                </c:pt>
                <c:pt idx="89">
                  <c:v>8.03013204755353</c:v>
                </c:pt>
                <c:pt idx="90">
                  <c:v>8.1903009297815</c:v>
                </c:pt>
                <c:pt idx="91">
                  <c:v>8.35075888252431</c:v>
                </c:pt>
                <c:pt idx="92">
                  <c:v>8.51147305252637</c:v>
                </c:pt>
                <c:pt idx="93">
                  <c:v>8.67241136882667</c:v>
                </c:pt>
                <c:pt idx="94">
                  <c:v>8.83354337526783</c:v>
                </c:pt>
                <c:pt idx="95">
                  <c:v>8.99483940420411</c:v>
                </c:pt>
                <c:pt idx="96">
                  <c:v>9.15626974792777</c:v>
                </c:pt>
                <c:pt idx="97">
                  <c:v>9.31780799326488</c:v>
                </c:pt>
                <c:pt idx="98">
                  <c:v>9.47943436442749</c:v>
                </c:pt>
                <c:pt idx="99">
                  <c:v>9.64113239797863</c:v>
                </c:pt>
                <c:pt idx="100">
                  <c:v>9.80288560926065</c:v>
                </c:pt>
                <c:pt idx="101">
                  <c:v>9.96467749250837</c:v>
                </c:pt>
                <c:pt idx="102">
                  <c:v>10.1264915209482</c:v>
                </c:pt>
                <c:pt idx="103">
                  <c:v>10.2883111468834</c:v>
                </c:pt>
                <c:pt idx="104">
                  <c:v>10.450119801765</c:v>
                </c:pt>
                <c:pt idx="105">
                  <c:v>10.611900896249</c:v>
                </c:pt>
                <c:pt idx="106">
                  <c:v>10.7736378202387</c:v>
                </c:pt>
                <c:pt idx="107">
                  <c:v>10.9353139429132</c:v>
                </c:pt>
                <c:pt idx="108">
                  <c:v>11.096912612741</c:v>
                </c:pt>
                <c:pt idx="109">
                  <c:v>11.2584213855259</c:v>
                </c:pt>
                <c:pt idx="110">
                  <c:v>11.4198362625145</c:v>
                </c:pt>
                <c:pt idx="111">
                  <c:v>11.5811574724183</c:v>
                </c:pt>
                <c:pt idx="112">
                  <c:v>11.7423852433695</c:v>
                </c:pt>
                <c:pt idx="113">
                  <c:v>11.903519802924</c:v>
                </c:pt>
                <c:pt idx="114">
                  <c:v>12.0645613780633</c:v>
                </c:pt>
                <c:pt idx="115">
                  <c:v>12.2255101951969</c:v>
                </c:pt>
                <c:pt idx="116">
                  <c:v>12.3863664801642</c:v>
                </c:pt>
                <c:pt idx="117">
                  <c:v>12.5471304582369</c:v>
                </c:pt>
                <c:pt idx="118">
                  <c:v>12.7078023541214</c:v>
                </c:pt>
                <c:pt idx="119">
                  <c:v>12.8683823919603</c:v>
                </c:pt>
                <c:pt idx="120">
                  <c:v>13.0288707953355</c:v>
                </c:pt>
                <c:pt idx="121">
                  <c:v>13.1892677872693</c:v>
                </c:pt>
                <c:pt idx="122">
                  <c:v>13.3495735902276</c:v>
                </c:pt>
                <c:pt idx="123">
                  <c:v>13.5097884261211</c:v>
                </c:pt>
                <c:pt idx="124">
                  <c:v>13.6699125163081</c:v>
                </c:pt>
                <c:pt idx="125">
                  <c:v>13.8299460815963</c:v>
                </c:pt>
                <c:pt idx="126">
                  <c:v>13.9898893422449</c:v>
                </c:pt>
                <c:pt idx="127">
                  <c:v>14.1497425179669</c:v>
                </c:pt>
                <c:pt idx="128">
                  <c:v>14.3095058279307</c:v>
                </c:pt>
                <c:pt idx="129">
                  <c:v>14.469179490763</c:v>
                </c:pt>
                <c:pt idx="130">
                  <c:v>14.6287637245499</c:v>
                </c:pt>
                <c:pt idx="131">
                  <c:v>14.7882587468398</c:v>
                </c:pt>
                <c:pt idx="132">
                  <c:v>14.9476647746448</c:v>
                </c:pt>
                <c:pt idx="133">
                  <c:v>15.1069820244432</c:v>
                </c:pt>
                <c:pt idx="134">
                  <c:v>15.2662107121813</c:v>
                </c:pt>
                <c:pt idx="135">
                  <c:v>15.4253510532754</c:v>
                </c:pt>
                <c:pt idx="136">
                  <c:v>15.584403262614</c:v>
                </c:pt>
                <c:pt idx="137">
                  <c:v>15.7433675545594</c:v>
                </c:pt>
                <c:pt idx="138">
                  <c:v>15.9022441429502</c:v>
                </c:pt>
                <c:pt idx="139">
                  <c:v>16.0610332411029</c:v>
                </c:pt>
                <c:pt idx="140">
                  <c:v>16.2197350618142</c:v>
                </c:pt>
                <c:pt idx="141">
                  <c:v>16.3783498173626</c:v>
                </c:pt>
                <c:pt idx="142">
                  <c:v>16.5368777195106</c:v>
                </c:pt>
                <c:pt idx="143">
                  <c:v>16.6953189795065</c:v>
                </c:pt>
                <c:pt idx="144">
                  <c:v>16.8536738080865</c:v>
                </c:pt>
                <c:pt idx="145">
                  <c:v>17.0119424154764</c:v>
                </c:pt>
                <c:pt idx="146">
                  <c:v>17.1701250113938</c:v>
                </c:pt>
                <c:pt idx="147">
                  <c:v>17.3282218050499</c:v>
                </c:pt>
                <c:pt idx="148">
                  <c:v>17.4862330051512</c:v>
                </c:pt>
                <c:pt idx="149">
                  <c:v>17.6441588199017</c:v>
                </c:pt>
                <c:pt idx="150">
                  <c:v>17.8019994570046</c:v>
                </c:pt>
                <c:pt idx="151">
                  <c:v>17.9597551236641</c:v>
                </c:pt>
                <c:pt idx="152">
                  <c:v>18.1174260265877</c:v>
                </c:pt>
                <c:pt idx="153">
                  <c:v>18.2750123719874</c:v>
                </c:pt>
                <c:pt idx="154">
                  <c:v>18.4325143655821</c:v>
                </c:pt>
                <c:pt idx="155">
                  <c:v>18.5899322125992</c:v>
                </c:pt>
                <c:pt idx="156">
                  <c:v>18.7472661177764</c:v>
                </c:pt>
                <c:pt idx="157">
                  <c:v>18.9045162853638</c:v>
                </c:pt>
                <c:pt idx="158">
                  <c:v>19.0616829191253</c:v>
                </c:pt>
                <c:pt idx="159">
                  <c:v>19.2187662223407</c:v>
                </c:pt>
                <c:pt idx="160">
                  <c:v>19.3757663978076</c:v>
                </c:pt>
                <c:pt idx="161">
                  <c:v>19.5326836478426</c:v>
                </c:pt>
                <c:pt idx="162">
                  <c:v>19.689518174284</c:v>
                </c:pt>
                <c:pt idx="163">
                  <c:v>19.8462701784928</c:v>
                </c:pt>
                <c:pt idx="164">
                  <c:v>20.0029398613548</c:v>
                </c:pt>
                <c:pt idx="165">
                  <c:v>20.1595274232823</c:v>
                </c:pt>
                <c:pt idx="166">
                  <c:v>20.3160330642159</c:v>
                </c:pt>
                <c:pt idx="167">
                  <c:v>20.4724569836262</c:v>
                </c:pt>
                <c:pt idx="168">
                  <c:v>20.6287993805156</c:v>
                </c:pt>
                <c:pt idx="169">
                  <c:v>20.78506045342</c:v>
                </c:pt>
                <c:pt idx="170">
                  <c:v>20.9412404004103</c:v>
                </c:pt>
                <c:pt idx="171">
                  <c:v>21.0973394190945</c:v>
                </c:pt>
                <c:pt idx="172">
                  <c:v>21.2533577066193</c:v>
                </c:pt>
                <c:pt idx="173">
                  <c:v>21.4092954596715</c:v>
                </c:pt>
                <c:pt idx="174">
                  <c:v>21.5651528744801</c:v>
                </c:pt>
                <c:pt idx="175">
                  <c:v>21.7209301468177</c:v>
                </c:pt>
                <c:pt idx="176">
                  <c:v>21.8766274720023</c:v>
                </c:pt>
                <c:pt idx="177">
                  <c:v>22.032245044899</c:v>
                </c:pt>
                <c:pt idx="178">
                  <c:v>22.1877830599215</c:v>
                </c:pt>
                <c:pt idx="179">
                  <c:v>22.343241711034</c:v>
                </c:pt>
                <c:pt idx="180">
                  <c:v>22.4986211917525</c:v>
                </c:pt>
                <c:pt idx="181">
                  <c:v>22.653921695147</c:v>
                </c:pt>
                <c:pt idx="182">
                  <c:v>22.8091434138424</c:v>
                </c:pt>
                <c:pt idx="183">
                  <c:v>22.9642865400208</c:v>
                </c:pt>
                <c:pt idx="184">
                  <c:v>23.1193512654227</c:v>
                </c:pt>
                <c:pt idx="185">
                  <c:v>23.2743377813486</c:v>
                </c:pt>
                <c:pt idx="186">
                  <c:v>23.4292462786611</c:v>
                </c:pt>
                <c:pt idx="187">
                  <c:v>23.5840769477858</c:v>
                </c:pt>
                <c:pt idx="188">
                  <c:v>23.7388299787135</c:v>
                </c:pt>
                <c:pt idx="189">
                  <c:v>23.8935055610012</c:v>
                </c:pt>
                <c:pt idx="190">
                  <c:v>24.0481038837743</c:v>
                </c:pt>
                <c:pt idx="191">
                  <c:v>24.2026251357277</c:v>
                </c:pt>
                <c:pt idx="192">
                  <c:v>24.3570695051275</c:v>
                </c:pt>
                <c:pt idx="193">
                  <c:v>24.5114371798127</c:v>
                </c:pt>
                <c:pt idx="194">
                  <c:v>24.6657283471965</c:v>
                </c:pt>
                <c:pt idx="195">
                  <c:v>24.819943194268</c:v>
                </c:pt>
                <c:pt idx="196">
                  <c:v>24.9740819075937</c:v>
                </c:pt>
                <c:pt idx="197">
                  <c:v>25.1281446733192</c:v>
                </c:pt>
                <c:pt idx="198">
                  <c:v>25.2821316771702</c:v>
                </c:pt>
                <c:pt idx="199">
                  <c:v>25.4360431044547</c:v>
                </c:pt>
                <c:pt idx="200">
                  <c:v>25.589879140064</c:v>
                </c:pt>
                <c:pt idx="201">
                  <c:v>27.1241072462749</c:v>
                </c:pt>
                <c:pt idx="202">
                  <c:v>28.6509153679725</c:v>
                </c:pt>
                <c:pt idx="203">
                  <c:v>30.1704845272051</c:v>
                </c:pt>
                <c:pt idx="204">
                  <c:v>31.6829917738662</c:v>
                </c:pt>
                <c:pt idx="205">
                  <c:v>33.1886103254613</c:v>
                </c:pt>
                <c:pt idx="206">
                  <c:v>34.6875097008918</c:v>
                </c:pt>
                <c:pt idx="207">
                  <c:v>36.1798558485309</c:v>
                </c:pt>
                <c:pt idx="208">
                  <c:v>37.6658112688444</c:v>
                </c:pt>
                <c:pt idx="209">
                  <c:v>39.1455351317959</c:v>
                </c:pt>
                <c:pt idx="210">
                  <c:v>40.6191833892532</c:v>
                </c:pt>
                <c:pt idx="211">
                  <c:v>42.0869088826014</c:v>
                </c:pt>
                <c:pt idx="212">
                  <c:v>43.5488614457487</c:v>
                </c:pt>
                <c:pt idx="213">
                  <c:v>45.0051880036973</c:v>
                </c:pt>
                <c:pt idx="214">
                  <c:v>46.4560326668361</c:v>
                </c:pt>
                <c:pt idx="215">
                  <c:v>47.9015368210961</c:v>
                </c:pt>
                <c:pt idx="216">
                  <c:v>49.3418392140975</c:v>
                </c:pt>
                <c:pt idx="217">
                  <c:v>50.7770760373982</c:v>
                </c:pt>
                <c:pt idx="218">
                  <c:v>52.2073810049423</c:v>
                </c:pt>
                <c:pt idx="219">
                  <c:v>53.6328854277912</c:v>
                </c:pt>
                <c:pt idx="220">
                  <c:v>55.0537182852011</c:v>
                </c:pt>
                <c:pt idx="221">
                  <c:v>56.4700062920988</c:v>
                </c:pt>
                <c:pt idx="222">
                  <c:v>57.8818739629875</c:v>
                </c:pt>
                <c:pt idx="223">
                  <c:v>59.2894436722966</c:v>
                </c:pt>
                <c:pt idx="224">
                  <c:v>60.6928357111703</c:v>
                </c:pt>
                <c:pt idx="225">
                  <c:v>62.0921683406678</c:v>
                </c:pt>
                <c:pt idx="226">
                  <c:v>63.4875578413254</c:v>
                </c:pt>
                <c:pt idx="227">
                  <c:v>64.8791185590055</c:v>
                </c:pt>
                <c:pt idx="228">
                  <c:v>66.2669629469261</c:v>
                </c:pt>
                <c:pt idx="229">
                  <c:v>67.6512016037385</c:v>
                </c:pt>
                <c:pt idx="230">
                  <c:v>69.0319433074777</c:v>
                </c:pt>
                <c:pt idx="231">
                  <c:v>70.4092950451771</c:v>
                </c:pt>
                <c:pt idx="232">
                  <c:v>71.7833620378873</c:v>
                </c:pt>
                <c:pt idx="233">
                  <c:v>73.154247760791</c:v>
                </c:pt>
                <c:pt idx="234">
                  <c:v>74.5220539580438</c:v>
                </c:pt>
                <c:pt idx="235">
                  <c:v>75.8868806519034</c:v>
                </c:pt>
                <c:pt idx="236">
                  <c:v>77.2488261456333</c:v>
                </c:pt>
                <c:pt idx="237">
                  <c:v>78.6079870195742</c:v>
                </c:pt>
                <c:pt idx="238">
                  <c:v>79.9644581196798</c:v>
                </c:pt>
                <c:pt idx="239">
                  <c:v>81.3183325376901</c:v>
                </c:pt>
                <c:pt idx="240">
                  <c:v>82.6697015819911</c:v>
                </c:pt>
                <c:pt idx="241">
                  <c:v>84.018654738055</c:v>
                </c:pt>
                <c:pt idx="242">
                  <c:v>85.3652796171916</c:v>
                </c:pt>
                <c:pt idx="243">
                  <c:v>86.7096618921615</c:v>
                </c:pt>
                <c:pt idx="244">
                  <c:v>88.0518852180017</c:v>
                </c:pt>
                <c:pt idx="245">
                  <c:v>89.3920311362153</c:v>
                </c:pt>
                <c:pt idx="246">
                  <c:v>90.730178960275</c:v>
                </c:pt>
                <c:pt idx="247">
                  <c:v>92.0664056402108</c:v>
                </c:pt>
                <c:pt idx="248">
                  <c:v>93.4007856039167</c:v>
                </c:pt>
                <c:pt idx="249">
                  <c:v>94.7333905727708</c:v>
                </c:pt>
                <c:pt idx="250">
                  <c:v>96.0642893492522</c:v>
                </c:pt>
                <c:pt idx="251">
                  <c:v>97.3935475745626</c:v>
                </c:pt>
                <c:pt idx="252">
                  <c:v>98.7212274548912</c:v>
                </c:pt>
                <c:pt idx="253">
                  <c:v>100.047387456033</c:v>
                </c:pt>
                <c:pt idx="254">
                  <c:v>101.372081967693</c:v>
                </c:pt>
                <c:pt idx="255">
                  <c:v>102.695360941113</c:v>
                </c:pt>
                <c:pt idx="256">
                  <c:v>104.017269506614</c:v>
                </c:pt>
                <c:pt idx="257">
                  <c:v>105.337847581295</c:v>
                </c:pt>
                <c:pt idx="258">
                  <c:v>106.65712948104</c:v>
                </c:pt>
                <c:pt idx="259">
                  <c:v>107.975143554761</c:v>
                </c:pt>
                <c:pt idx="260">
                  <c:v>109.29191186161</c:v>
                </c:pt>
                <c:pt idx="261">
                  <c:v>110.607449912884</c:v>
                </c:pt>
                <c:pt idx="262">
                  <c:v>111.921766498765</c:v>
                </c:pt>
                <c:pt idx="263">
                  <c:v>113.234863615499</c:v>
                </c:pt>
                <c:pt idx="264">
                  <c:v>114.546736501578</c:v>
                </c:pt>
                <c:pt idx="265">
                  <c:v>115.857373782858</c:v>
                </c:pt>
                <c:pt idx="266">
                  <c:v>117.166757717944</c:v>
                </c:pt>
                <c:pt idx="267">
                  <c:v>118.47486452808</c:v>
                </c:pt>
                <c:pt idx="268">
                  <c:v>119.781664791249</c:v>
                </c:pt>
                <c:pt idx="269">
                  <c:v>121.087123878618</c:v>
                </c:pt>
                <c:pt idx="270">
                  <c:v>122.391202412443</c:v>
                </c:pt>
                <c:pt idx="271">
                  <c:v>123.693856727445</c:v>
                </c:pt>
                <c:pt idx="272">
                  <c:v>124.995039321455</c:v>
                </c:pt>
                <c:pt idx="273">
                  <c:v>126.294699285146</c:v>
                </c:pt>
                <c:pt idx="274">
                  <c:v>127.592782704301</c:v>
                </c:pt>
                <c:pt idx="275">
                  <c:v>128.889233031113</c:v>
                </c:pt>
                <c:pt idx="276">
                  <c:v>130.183991423304</c:v>
                </c:pt>
                <c:pt idx="277">
                  <c:v>131.476997051489</c:v>
                </c:pt>
                <c:pt idx="278">
                  <c:v>132.768187376292</c:v>
                </c:pt>
                <c:pt idx="279">
                  <c:v>134.057498397319</c:v>
                </c:pt>
                <c:pt idx="280">
                  <c:v>135.344864876434</c:v>
                </c:pt>
                <c:pt idx="281">
                  <c:v>136.630220537849</c:v>
                </c:pt>
                <c:pt idx="282">
                  <c:v>137.91349824748</c:v>
                </c:pt>
                <c:pt idx="283">
                  <c:v>139.194630173895</c:v>
                </c:pt>
                <c:pt idx="284">
                  <c:v>140.473547932965</c:v>
                </c:pt>
                <c:pt idx="285">
                  <c:v>141.750182718156</c:v>
                </c:pt>
                <c:pt idx="286">
                  <c:v>143.024465418141</c:v>
                </c:pt>
                <c:pt idx="287">
                  <c:v>144.296326723279</c:v>
                </c:pt>
                <c:pt idx="288">
                  <c:v>145.565697222252</c:v>
                </c:pt>
                <c:pt idx="289">
                  <c:v>146.832507490033</c:v>
                </c:pt>
                <c:pt idx="290">
                  <c:v>148.096688168197</c:v>
                </c:pt>
                <c:pt idx="291">
                  <c:v>149.358170038437</c:v>
                </c:pt>
                <c:pt idx="292">
                  <c:v>150.616884090054</c:v>
                </c:pt>
                <c:pt idx="293">
                  <c:v>151.872761582084</c:v>
                </c:pt>
                <c:pt idx="294">
                  <c:v>153.125734100618</c:v>
                </c:pt>
                <c:pt idx="295">
                  <c:v>154.375733611838</c:v>
                </c:pt>
                <c:pt idx="296">
                  <c:v>155.622692511179</c:v>
                </c:pt>
                <c:pt idx="297">
                  <c:v>156.866543668995</c:v>
                </c:pt>
                <c:pt idx="298">
                  <c:v>158.107220473077</c:v>
                </c:pt>
                <c:pt idx="299">
                  <c:v>159.34465686828</c:v>
                </c:pt>
                <c:pt idx="300">
                  <c:v>160.578787393525</c:v>
                </c:pt>
                <c:pt idx="301">
                  <c:v>161.809547216404</c:v>
                </c:pt>
                <c:pt idx="302">
                  <c:v>163.036872165549</c:v>
                </c:pt>
                <c:pt idx="303">
                  <c:v>164.260698760965</c:v>
                </c:pt>
                <c:pt idx="304">
                  <c:v>165.480964242463</c:v>
                </c:pt>
                <c:pt idx="305">
                  <c:v>166.697606596321</c:v>
                </c:pt>
                <c:pt idx="306">
                  <c:v>167.910564580289</c:v>
                </c:pt>
                <c:pt idx="307">
                  <c:v>169.119777747057</c:v>
                </c:pt>
                <c:pt idx="308">
                  <c:v>170.325186466254</c:v>
                </c:pt>
                <c:pt idx="309">
                  <c:v>171.526731945079</c:v>
                </c:pt>
                <c:pt idx="310">
                  <c:v>172.724356247625</c:v>
                </c:pt>
                <c:pt idx="311">
                  <c:v>173.918002312976</c:v>
                </c:pt>
                <c:pt idx="312">
                  <c:v>175.107613972118</c:v>
                </c:pt>
                <c:pt idx="313">
                  <c:v>176.293135963735</c:v>
                </c:pt>
                <c:pt idx="314">
                  <c:v>177.474513948929</c:v>
                </c:pt>
                <c:pt idx="315">
                  <c:v>178.651694524911</c:v>
                </c:pt>
                <c:pt idx="316">
                  <c:v>179.824625237706</c:v>
                </c:pt>
                <c:pt idx="317">
                  <c:v>180.993254593904</c:v>
                </c:pt>
                <c:pt idx="318">
                  <c:v>182.157532071501</c:v>
                </c:pt>
                <c:pt idx="319">
                  <c:v>183.317408129849</c:v>
                </c:pt>
                <c:pt idx="320">
                  <c:v>184.47283421876</c:v>
                </c:pt>
                <c:pt idx="321">
                  <c:v>185.623762786773</c:v>
                </c:pt>
                <c:pt idx="322">
                  <c:v>186.770147288634</c:v>
                </c:pt>
                <c:pt idx="323">
                  <c:v>187.911942191991</c:v>
                </c:pt>
                <c:pt idx="324">
                  <c:v>189.049102983338</c:v>
                </c:pt>
                <c:pt idx="325">
                  <c:v>190.181586173237</c:v>
                </c:pt>
                <c:pt idx="326">
                  <c:v>191.30934930082</c:v>
                </c:pt>
                <c:pt idx="327">
                  <c:v>192.432350937613</c:v>
                </c:pt>
                <c:pt idx="328">
                  <c:v>193.550550690681</c:v>
                </c:pt>
                <c:pt idx="329">
                  <c:v>194.663909205136</c:v>
                </c:pt>
                <c:pt idx="330">
                  <c:v>195.772388166001</c:v>
                </c:pt>
                <c:pt idx="331">
                  <c:v>196.875950299465</c:v>
                </c:pt>
                <c:pt idx="332">
                  <c:v>197.974559373545</c:v>
                </c:pt>
                <c:pt idx="333">
                  <c:v>199.06818019816</c:v>
                </c:pt>
                <c:pt idx="334">
                  <c:v>200.156778624649</c:v>
                </c:pt>
                <c:pt idx="335">
                  <c:v>201.240321544737</c:v>
                </c:pt>
                <c:pt idx="336">
                  <c:v>202.31877688897</c:v>
                </c:pt>
                <c:pt idx="337">
                  <c:v>203.392113624637</c:v>
                </c:pt>
                <c:pt idx="338">
                  <c:v>204.460301753185</c:v>
                </c:pt>
                <c:pt idx="339">
                  <c:v>205.523312307158</c:v>
                </c:pt>
                <c:pt idx="340">
                  <c:v>206.581117346653</c:v>
                </c:pt>
                <c:pt idx="341">
                  <c:v>207.633689955331</c:v>
                </c:pt>
                <c:pt idx="342">
                  <c:v>208.68100423598</c:v>
                </c:pt>
                <c:pt idx="343">
                  <c:v>209.723035305651</c:v>
                </c:pt>
                <c:pt idx="344">
                  <c:v>210.759759290385</c:v>
                </c:pt>
                <c:pt idx="345">
                  <c:v>211.791153319536</c:v>
                </c:pt>
                <c:pt idx="346">
                  <c:v>211.791153319536</c:v>
                </c:pt>
                <c:pt idx="347">
                  <c:v>211.791153319536</c:v>
                </c:pt>
                <c:pt idx="348">
                  <c:v>211.791153319536</c:v>
                </c:pt>
                <c:pt idx="349">
                  <c:v>211.791153319536</c:v>
                </c:pt>
                <c:pt idx="350">
                  <c:v>211.791153319536</c:v>
                </c:pt>
                <c:pt idx="351">
                  <c:v>211.791153319536</c:v>
                </c:pt>
                <c:pt idx="352">
                  <c:v>211.791153319536</c:v>
                </c:pt>
                <c:pt idx="353">
                  <c:v>211.791153319536</c:v>
                </c:pt>
                <c:pt idx="354">
                  <c:v>211.791153319536</c:v>
                </c:pt>
                <c:pt idx="355">
                  <c:v>211.791153319536</c:v>
                </c:pt>
                <c:pt idx="356">
                  <c:v>211.791153319536</c:v>
                </c:pt>
                <c:pt idx="357">
                  <c:v>211.791153319536</c:v>
                </c:pt>
                <c:pt idx="358">
                  <c:v>211.791153319536</c:v>
                </c:pt>
                <c:pt idx="359">
                  <c:v>211.791153319536</c:v>
                </c:pt>
                <c:pt idx="360">
                  <c:v>211.791153319536</c:v>
                </c:pt>
                <c:pt idx="361">
                  <c:v>211.791153319536</c:v>
                </c:pt>
                <c:pt idx="362">
                  <c:v>211.791153319536</c:v>
                </c:pt>
                <c:pt idx="363">
                  <c:v>211.791153319536</c:v>
                </c:pt>
                <c:pt idx="364">
                  <c:v>211.791153319536</c:v>
                </c:pt>
                <c:pt idx="365">
                  <c:v>211.791153319536</c:v>
                </c:pt>
                <c:pt idx="366">
                  <c:v>211.791153319536</c:v>
                </c:pt>
                <c:pt idx="367">
                  <c:v>211.791153319536</c:v>
                </c:pt>
                <c:pt idx="368">
                  <c:v>211.791153319536</c:v>
                </c:pt>
                <c:pt idx="369">
                  <c:v>211.791153319536</c:v>
                </c:pt>
                <c:pt idx="370">
                  <c:v>211.791153319536</c:v>
                </c:pt>
                <c:pt idx="371">
                  <c:v>211.791153319536</c:v>
                </c:pt>
                <c:pt idx="372">
                  <c:v>211.791153319536</c:v>
                </c:pt>
                <c:pt idx="373">
                  <c:v>211.791153319536</c:v>
                </c:pt>
                <c:pt idx="374">
                  <c:v>211.791153319536</c:v>
                </c:pt>
                <c:pt idx="375">
                  <c:v>211.791153319536</c:v>
                </c:pt>
                <c:pt idx="376">
                  <c:v>211.791153319536</c:v>
                </c:pt>
                <c:pt idx="377">
                  <c:v>211.791153319536</c:v>
                </c:pt>
                <c:pt idx="378">
                  <c:v>211.791153319536</c:v>
                </c:pt>
                <c:pt idx="379">
                  <c:v>211.791153319536</c:v>
                </c:pt>
                <c:pt idx="380">
                  <c:v>211.791153319536</c:v>
                </c:pt>
                <c:pt idx="381">
                  <c:v>211.791153319536</c:v>
                </c:pt>
                <c:pt idx="382">
                  <c:v>211.791153319536</c:v>
                </c:pt>
                <c:pt idx="383">
                  <c:v>211.791153319536</c:v>
                </c:pt>
                <c:pt idx="384">
                  <c:v>211.791153319536</c:v>
                </c:pt>
                <c:pt idx="385">
                  <c:v>211.791153319536</c:v>
                </c:pt>
                <c:pt idx="386">
                  <c:v>211.791153319536</c:v>
                </c:pt>
                <c:pt idx="387">
                  <c:v>211.791153319536</c:v>
                </c:pt>
                <c:pt idx="388">
                  <c:v>211.791153319536</c:v>
                </c:pt>
                <c:pt idx="389">
                  <c:v>211.791153319536</c:v>
                </c:pt>
                <c:pt idx="390">
                  <c:v>211.791153319536</c:v>
                </c:pt>
                <c:pt idx="391">
                  <c:v>211.791153319536</c:v>
                </c:pt>
                <c:pt idx="392">
                  <c:v>211.791153319536</c:v>
                </c:pt>
                <c:pt idx="393">
                  <c:v>211.791153319536</c:v>
                </c:pt>
                <c:pt idx="394">
                  <c:v>211.791153319536</c:v>
                </c:pt>
                <c:pt idx="395">
                  <c:v>211.791153319536</c:v>
                </c:pt>
                <c:pt idx="396">
                  <c:v>211.791153319536</c:v>
                </c:pt>
                <c:pt idx="397">
                  <c:v>211.791153319536</c:v>
                </c:pt>
                <c:pt idx="398">
                  <c:v>211.791153319536</c:v>
                </c:pt>
                <c:pt idx="399">
                  <c:v>211.791153319536</c:v>
                </c:pt>
                <c:pt idx="400">
                  <c:v>211.791153319536</c:v>
                </c:pt>
                <c:pt idx="401">
                  <c:v>211.791153319536</c:v>
                </c:pt>
                <c:pt idx="402">
                  <c:v>211.791153319536</c:v>
                </c:pt>
                <c:pt idx="403">
                  <c:v>211.791153319536</c:v>
                </c:pt>
                <c:pt idx="404">
                  <c:v>211.791153319536</c:v>
                </c:pt>
                <c:pt idx="405">
                  <c:v>211.791153319536</c:v>
                </c:pt>
                <c:pt idx="406">
                  <c:v>211.791153319536</c:v>
                </c:pt>
                <c:pt idx="407">
                  <c:v>211.791153319536</c:v>
                </c:pt>
                <c:pt idx="408">
                  <c:v>211.791153319536</c:v>
                </c:pt>
                <c:pt idx="409">
                  <c:v>211.791153319536</c:v>
                </c:pt>
                <c:pt idx="410">
                  <c:v>211.791153319536</c:v>
                </c:pt>
                <c:pt idx="411">
                  <c:v>211.791153319536</c:v>
                </c:pt>
                <c:pt idx="412">
                  <c:v>211.791153319536</c:v>
                </c:pt>
                <c:pt idx="413">
                  <c:v>211.791153319536</c:v>
                </c:pt>
                <c:pt idx="414">
                  <c:v>211.791153319536</c:v>
                </c:pt>
                <c:pt idx="415">
                  <c:v>211.791153319536</c:v>
                </c:pt>
                <c:pt idx="416">
                  <c:v>211.791153319536</c:v>
                </c:pt>
                <c:pt idx="417">
                  <c:v>211.791153319536</c:v>
                </c:pt>
                <c:pt idx="418">
                  <c:v>211.791153319536</c:v>
                </c:pt>
                <c:pt idx="419">
                  <c:v>211.791153319536</c:v>
                </c:pt>
                <c:pt idx="420">
                  <c:v>211.791153319536</c:v>
                </c:pt>
                <c:pt idx="421">
                  <c:v>211.791153319536</c:v>
                </c:pt>
                <c:pt idx="422">
                  <c:v>211.791153319536</c:v>
                </c:pt>
                <c:pt idx="423">
                  <c:v>211.791153319536</c:v>
                </c:pt>
                <c:pt idx="424">
                  <c:v>211.791153319536</c:v>
                </c:pt>
                <c:pt idx="425">
                  <c:v>211.791153319536</c:v>
                </c:pt>
                <c:pt idx="426">
                  <c:v>211.791153319536</c:v>
                </c:pt>
                <c:pt idx="427">
                  <c:v>211.791153319536</c:v>
                </c:pt>
                <c:pt idx="428">
                  <c:v>211.791153319536</c:v>
                </c:pt>
                <c:pt idx="429">
                  <c:v>211.791153319536</c:v>
                </c:pt>
                <c:pt idx="430">
                  <c:v>211.791153319536</c:v>
                </c:pt>
                <c:pt idx="431">
                  <c:v>211.791153319536</c:v>
                </c:pt>
                <c:pt idx="432">
                  <c:v>211.791153319536</c:v>
                </c:pt>
                <c:pt idx="433">
                  <c:v>211.791153319536</c:v>
                </c:pt>
                <c:pt idx="434">
                  <c:v>211.791153319536</c:v>
                </c:pt>
                <c:pt idx="435">
                  <c:v>211.791153319536</c:v>
                </c:pt>
                <c:pt idx="436">
                  <c:v>211.791153319536</c:v>
                </c:pt>
                <c:pt idx="437">
                  <c:v>211.791153319536</c:v>
                </c:pt>
                <c:pt idx="438">
                  <c:v>211.791153319536</c:v>
                </c:pt>
                <c:pt idx="439">
                  <c:v>211.791153319536</c:v>
                </c:pt>
                <c:pt idx="440">
                  <c:v>211.791153319536</c:v>
                </c:pt>
                <c:pt idx="441">
                  <c:v>211.791153319536</c:v>
                </c:pt>
                <c:pt idx="442">
                  <c:v>211.791153319536</c:v>
                </c:pt>
                <c:pt idx="443">
                  <c:v>211.791153319536</c:v>
                </c:pt>
                <c:pt idx="444">
                  <c:v>211.791153319536</c:v>
                </c:pt>
                <c:pt idx="445">
                  <c:v>211.791153319536</c:v>
                </c:pt>
                <c:pt idx="446">
                  <c:v>211.791153319536</c:v>
                </c:pt>
                <c:pt idx="447">
                  <c:v>211.791153319536</c:v>
                </c:pt>
                <c:pt idx="448">
                  <c:v>211.791153319536</c:v>
                </c:pt>
                <c:pt idx="449">
                  <c:v>211.791153319536</c:v>
                </c:pt>
                <c:pt idx="450">
                  <c:v>211.791153319536</c:v>
                </c:pt>
                <c:pt idx="451">
                  <c:v>211.791153319536</c:v>
                </c:pt>
                <c:pt idx="452">
                  <c:v>211.791153319536</c:v>
                </c:pt>
                <c:pt idx="453">
                  <c:v>211.791153319536</c:v>
                </c:pt>
                <c:pt idx="454">
                  <c:v>211.791153319536</c:v>
                </c:pt>
                <c:pt idx="455">
                  <c:v>211.791153319536</c:v>
                </c:pt>
                <c:pt idx="456">
                  <c:v>211.791153319536</c:v>
                </c:pt>
                <c:pt idx="457">
                  <c:v>211.791153319536</c:v>
                </c:pt>
                <c:pt idx="458">
                  <c:v>211.791153319536</c:v>
                </c:pt>
                <c:pt idx="459">
                  <c:v>211.791153319536</c:v>
                </c:pt>
                <c:pt idx="460">
                  <c:v>211.791153319536</c:v>
                </c:pt>
                <c:pt idx="461">
                  <c:v>211.791153319536</c:v>
                </c:pt>
                <c:pt idx="462">
                  <c:v>211.791153319536</c:v>
                </c:pt>
                <c:pt idx="463">
                  <c:v>211.791153319536</c:v>
                </c:pt>
                <c:pt idx="464">
                  <c:v>211.791153319536</c:v>
                </c:pt>
                <c:pt idx="465">
                  <c:v>211.791153319536</c:v>
                </c:pt>
                <c:pt idx="466">
                  <c:v>211.791153319536</c:v>
                </c:pt>
                <c:pt idx="467">
                  <c:v>211.791153319536</c:v>
                </c:pt>
                <c:pt idx="468">
                  <c:v>211.791153319536</c:v>
                </c:pt>
                <c:pt idx="469">
                  <c:v>211.791153319536</c:v>
                </c:pt>
                <c:pt idx="470">
                  <c:v>211.791153319536</c:v>
                </c:pt>
                <c:pt idx="471">
                  <c:v>211.791153319536</c:v>
                </c:pt>
                <c:pt idx="472">
                  <c:v>211.791153319536</c:v>
                </c:pt>
                <c:pt idx="473">
                  <c:v>211.791153319536</c:v>
                </c:pt>
                <c:pt idx="474">
                  <c:v>211.791153319536</c:v>
                </c:pt>
                <c:pt idx="475">
                  <c:v>211.791153319536</c:v>
                </c:pt>
                <c:pt idx="476">
                  <c:v>211.791153319536</c:v>
                </c:pt>
                <c:pt idx="477">
                  <c:v>211.791153319536</c:v>
                </c:pt>
                <c:pt idx="478">
                  <c:v>211.791153319536</c:v>
                </c:pt>
                <c:pt idx="479">
                  <c:v>211.791153319536</c:v>
                </c:pt>
                <c:pt idx="480">
                  <c:v>211.791153319536</c:v>
                </c:pt>
                <c:pt idx="481">
                  <c:v>211.791153319536</c:v>
                </c:pt>
                <c:pt idx="482">
                  <c:v>211.791153319536</c:v>
                </c:pt>
                <c:pt idx="483">
                  <c:v>211.791153319536</c:v>
                </c:pt>
                <c:pt idx="484">
                  <c:v>211.791153319536</c:v>
                </c:pt>
                <c:pt idx="485">
                  <c:v>211.791153319536</c:v>
                </c:pt>
                <c:pt idx="486">
                  <c:v>211.791153319536</c:v>
                </c:pt>
                <c:pt idx="487">
                  <c:v>211.791153319536</c:v>
                </c:pt>
                <c:pt idx="488">
                  <c:v>211.791153319536</c:v>
                </c:pt>
                <c:pt idx="489">
                  <c:v>211.791153319536</c:v>
                </c:pt>
                <c:pt idx="490">
                  <c:v>211.791153319536</c:v>
                </c:pt>
                <c:pt idx="491">
                  <c:v>211.791153319536</c:v>
                </c:pt>
                <c:pt idx="492">
                  <c:v>211.791153319536</c:v>
                </c:pt>
                <c:pt idx="493">
                  <c:v>211.791153319536</c:v>
                </c:pt>
                <c:pt idx="494">
                  <c:v>211.791153319536</c:v>
                </c:pt>
                <c:pt idx="495">
                  <c:v>211.791153319536</c:v>
                </c:pt>
                <c:pt idx="496">
                  <c:v>211.791153319536</c:v>
                </c:pt>
                <c:pt idx="497">
                  <c:v>211.791153319536</c:v>
                </c:pt>
                <c:pt idx="498">
                  <c:v>211.791153319536</c:v>
                </c:pt>
                <c:pt idx="499">
                  <c:v>211.791153319536</c:v>
                </c:pt>
                <c:pt idx="500">
                  <c:v>211.791153319536</c:v>
                </c:pt>
                <c:pt idx="501">
                  <c:v>211.791153319536</c:v>
                </c:pt>
                <c:pt idx="502">
                  <c:v>211.791153319536</c:v>
                </c:pt>
                <c:pt idx="503">
                  <c:v>211.791153319536</c:v>
                </c:pt>
                <c:pt idx="504">
                  <c:v>211.791153319536</c:v>
                </c:pt>
                <c:pt idx="505">
                  <c:v>211.791153319536</c:v>
                </c:pt>
                <c:pt idx="506">
                  <c:v>211.791153319536</c:v>
                </c:pt>
                <c:pt idx="507">
                  <c:v>211.791153319536</c:v>
                </c:pt>
                <c:pt idx="508">
                  <c:v>211.791153319536</c:v>
                </c:pt>
                <c:pt idx="509">
                  <c:v>211.791153319536</c:v>
                </c:pt>
                <c:pt idx="510">
                  <c:v>211.791153319536</c:v>
                </c:pt>
                <c:pt idx="511">
                  <c:v>211.791153319536</c:v>
                </c:pt>
                <c:pt idx="512">
                  <c:v>211.791153319536</c:v>
                </c:pt>
                <c:pt idx="513">
                  <c:v>211.791153319536</c:v>
                </c:pt>
                <c:pt idx="514">
                  <c:v>211.791153319536</c:v>
                </c:pt>
                <c:pt idx="515">
                  <c:v>211.791153319536</c:v>
                </c:pt>
                <c:pt idx="516">
                  <c:v>211.791153319536</c:v>
                </c:pt>
                <c:pt idx="517">
                  <c:v>211.791153319536</c:v>
                </c:pt>
                <c:pt idx="518">
                  <c:v>211.791153319536</c:v>
                </c:pt>
                <c:pt idx="519">
                  <c:v>211.791153319536</c:v>
                </c:pt>
                <c:pt idx="520">
                  <c:v>211.791153319536</c:v>
                </c:pt>
                <c:pt idx="521">
                  <c:v>211.791153319536</c:v>
                </c:pt>
                <c:pt idx="522">
                  <c:v>211.791153319536</c:v>
                </c:pt>
                <c:pt idx="523">
                  <c:v>211.791153319536</c:v>
                </c:pt>
                <c:pt idx="524">
                  <c:v>211.791153319536</c:v>
                </c:pt>
                <c:pt idx="525">
                  <c:v>211.791153319536</c:v>
                </c:pt>
                <c:pt idx="526">
                  <c:v>211.791153319536</c:v>
                </c:pt>
                <c:pt idx="527">
                  <c:v>211.791153319536</c:v>
                </c:pt>
                <c:pt idx="528">
                  <c:v>211.791153319536</c:v>
                </c:pt>
                <c:pt idx="529">
                  <c:v>211.791153319536</c:v>
                </c:pt>
                <c:pt idx="530">
                  <c:v>211.791153319536</c:v>
                </c:pt>
                <c:pt idx="531">
                  <c:v>211.791153319536</c:v>
                </c:pt>
                <c:pt idx="532">
                  <c:v>211.791153319536</c:v>
                </c:pt>
                <c:pt idx="533">
                  <c:v>211.791153319536</c:v>
                </c:pt>
                <c:pt idx="534">
                  <c:v>211.791153319536</c:v>
                </c:pt>
                <c:pt idx="535">
                  <c:v>211.791153319536</c:v>
                </c:pt>
                <c:pt idx="536">
                  <c:v>211.791153319536</c:v>
                </c:pt>
                <c:pt idx="537">
                  <c:v>211.791153319536</c:v>
                </c:pt>
                <c:pt idx="538">
                  <c:v>211.791153319536</c:v>
                </c:pt>
                <c:pt idx="539">
                  <c:v>211.791153319536</c:v>
                </c:pt>
                <c:pt idx="540">
                  <c:v>211.791153319536</c:v>
                </c:pt>
                <c:pt idx="541">
                  <c:v>211.791153319536</c:v>
                </c:pt>
                <c:pt idx="542">
                  <c:v>211.791153319536</c:v>
                </c:pt>
                <c:pt idx="543">
                  <c:v>211.791153319536</c:v>
                </c:pt>
                <c:pt idx="544">
                  <c:v>211.791153319536</c:v>
                </c:pt>
                <c:pt idx="545">
                  <c:v>211.791153319536</c:v>
                </c:pt>
                <c:pt idx="546">
                  <c:v>211.791153319536</c:v>
                </c:pt>
                <c:pt idx="547">
                  <c:v>211.791153319536</c:v>
                </c:pt>
                <c:pt idx="548">
                  <c:v>211.791153319536</c:v>
                </c:pt>
                <c:pt idx="549">
                  <c:v>211.791153319536</c:v>
                </c:pt>
                <c:pt idx="550">
                  <c:v>211.791153319536</c:v>
                </c:pt>
                <c:pt idx="551">
                  <c:v>211.791153319536</c:v>
                </c:pt>
                <c:pt idx="552">
                  <c:v>211.791153319536</c:v>
                </c:pt>
                <c:pt idx="553">
                  <c:v>211.791153319536</c:v>
                </c:pt>
                <c:pt idx="554">
                  <c:v>211.791153319536</c:v>
                </c:pt>
                <c:pt idx="555">
                  <c:v>211.791153319536</c:v>
                </c:pt>
                <c:pt idx="556">
                  <c:v>211.791153319536</c:v>
                </c:pt>
                <c:pt idx="557">
                  <c:v>211.791153319536</c:v>
                </c:pt>
                <c:pt idx="558">
                  <c:v>211.791153319536</c:v>
                </c:pt>
                <c:pt idx="559">
                  <c:v>211.791153319536</c:v>
                </c:pt>
                <c:pt idx="560">
                  <c:v>211.791153319536</c:v>
                </c:pt>
                <c:pt idx="561">
                  <c:v>211.791153319536</c:v>
                </c:pt>
                <c:pt idx="562">
                  <c:v>211.791153319536</c:v>
                </c:pt>
                <c:pt idx="563">
                  <c:v>211.791153319536</c:v>
                </c:pt>
                <c:pt idx="564">
                  <c:v>211.791153319536</c:v>
                </c:pt>
                <c:pt idx="565">
                  <c:v>211.791153319536</c:v>
                </c:pt>
                <c:pt idx="566">
                  <c:v>211.791153319536</c:v>
                </c:pt>
                <c:pt idx="567">
                  <c:v>211.791153319536</c:v>
                </c:pt>
                <c:pt idx="568">
                  <c:v>211.791153319536</c:v>
                </c:pt>
                <c:pt idx="569">
                  <c:v>211.791153319536</c:v>
                </c:pt>
                <c:pt idx="570">
                  <c:v>211.791153319536</c:v>
                </c:pt>
                <c:pt idx="571">
                  <c:v>211.791153319536</c:v>
                </c:pt>
                <c:pt idx="572">
                  <c:v>211.791153319536</c:v>
                </c:pt>
                <c:pt idx="573">
                  <c:v>211.791153319536</c:v>
                </c:pt>
                <c:pt idx="574">
                  <c:v>211.791153319536</c:v>
                </c:pt>
                <c:pt idx="575">
                  <c:v>211.791153319536</c:v>
                </c:pt>
                <c:pt idx="576">
                  <c:v>211.791153319536</c:v>
                </c:pt>
                <c:pt idx="577">
                  <c:v>211.791153319536</c:v>
                </c:pt>
                <c:pt idx="578">
                  <c:v>211.791153319536</c:v>
                </c:pt>
                <c:pt idx="579">
                  <c:v>211.791153319536</c:v>
                </c:pt>
                <c:pt idx="580">
                  <c:v>211.791153319536</c:v>
                </c:pt>
                <c:pt idx="581">
                  <c:v>211.791153319536</c:v>
                </c:pt>
                <c:pt idx="582">
                  <c:v>211.791153319536</c:v>
                </c:pt>
                <c:pt idx="583">
                  <c:v>211.791153319536</c:v>
                </c:pt>
                <c:pt idx="584">
                  <c:v>211.791153319536</c:v>
                </c:pt>
                <c:pt idx="585">
                  <c:v>211.791153319536</c:v>
                </c:pt>
                <c:pt idx="586">
                  <c:v>211.791153319536</c:v>
                </c:pt>
                <c:pt idx="587">
                  <c:v>211.791153319536</c:v>
                </c:pt>
                <c:pt idx="588">
                  <c:v>211.791153319536</c:v>
                </c:pt>
                <c:pt idx="589">
                  <c:v>211.791153319536</c:v>
                </c:pt>
                <c:pt idx="590">
                  <c:v>211.791153319536</c:v>
                </c:pt>
                <c:pt idx="591">
                  <c:v>211.791153319536</c:v>
                </c:pt>
                <c:pt idx="592">
                  <c:v>211.791153319536</c:v>
                </c:pt>
                <c:pt idx="593">
                  <c:v>211.791153319536</c:v>
                </c:pt>
                <c:pt idx="594">
                  <c:v>211.791153319536</c:v>
                </c:pt>
                <c:pt idx="595">
                  <c:v>211.791153319536</c:v>
                </c:pt>
                <c:pt idx="596">
                  <c:v>211.791153319536</c:v>
                </c:pt>
                <c:pt idx="597">
                  <c:v>211.791153319536</c:v>
                </c:pt>
                <c:pt idx="598">
                  <c:v>211.791153319536</c:v>
                </c:pt>
                <c:pt idx="599">
                  <c:v>211.791153319536</c:v>
                </c:pt>
                <c:pt idx="600">
                  <c:v>211.791153319536</c:v>
                </c:pt>
                <c:pt idx="601">
                  <c:v>211.791153319536</c:v>
                </c:pt>
                <c:pt idx="602">
                  <c:v>211.791153319536</c:v>
                </c:pt>
                <c:pt idx="603">
                  <c:v>211.791153319536</c:v>
                </c:pt>
                <c:pt idx="604">
                  <c:v>211.791153319536</c:v>
                </c:pt>
                <c:pt idx="605">
                  <c:v>211.791153319536</c:v>
                </c:pt>
                <c:pt idx="606">
                  <c:v>211.791153319536</c:v>
                </c:pt>
                <c:pt idx="607">
                  <c:v>211.791153319536</c:v>
                </c:pt>
                <c:pt idx="608">
                  <c:v>211.791153319536</c:v>
                </c:pt>
                <c:pt idx="609">
                  <c:v>211.791153319536</c:v>
                </c:pt>
                <c:pt idx="610">
                  <c:v>211.791153319536</c:v>
                </c:pt>
                <c:pt idx="611">
                  <c:v>211.791153319536</c:v>
                </c:pt>
                <c:pt idx="612">
                  <c:v>211.791153319536</c:v>
                </c:pt>
                <c:pt idx="613">
                  <c:v>211.791153319536</c:v>
                </c:pt>
                <c:pt idx="614">
                  <c:v>211.791153319536</c:v>
                </c:pt>
                <c:pt idx="615">
                  <c:v>211.791153319536</c:v>
                </c:pt>
                <c:pt idx="616">
                  <c:v>211.791153319536</c:v>
                </c:pt>
                <c:pt idx="617">
                  <c:v>211.791153319536</c:v>
                </c:pt>
                <c:pt idx="618">
                  <c:v>211.791153319536</c:v>
                </c:pt>
                <c:pt idx="619">
                  <c:v>211.791153319536</c:v>
                </c:pt>
                <c:pt idx="620">
                  <c:v>211.791153319536</c:v>
                </c:pt>
                <c:pt idx="621">
                  <c:v>211.791153319536</c:v>
                </c:pt>
                <c:pt idx="622">
                  <c:v>211.791153319536</c:v>
                </c:pt>
                <c:pt idx="623">
                  <c:v>211.791153319536</c:v>
                </c:pt>
                <c:pt idx="624">
                  <c:v>211.791153319536</c:v>
                </c:pt>
                <c:pt idx="625">
                  <c:v>211.791153319536</c:v>
                </c:pt>
                <c:pt idx="626">
                  <c:v>211.791153319536</c:v>
                </c:pt>
                <c:pt idx="627">
                  <c:v>211.791153319536</c:v>
                </c:pt>
                <c:pt idx="628">
                  <c:v>211.791153319536</c:v>
                </c:pt>
                <c:pt idx="629">
                  <c:v>211.791153319536</c:v>
                </c:pt>
                <c:pt idx="630">
                  <c:v>211.791153319536</c:v>
                </c:pt>
                <c:pt idx="631">
                  <c:v>211.791153319536</c:v>
                </c:pt>
                <c:pt idx="632">
                  <c:v>211.791153319536</c:v>
                </c:pt>
                <c:pt idx="633">
                  <c:v>211.791153319536</c:v>
                </c:pt>
                <c:pt idx="634">
                  <c:v>211.791153319536</c:v>
                </c:pt>
                <c:pt idx="635">
                  <c:v>211.791153319536</c:v>
                </c:pt>
                <c:pt idx="636">
                  <c:v>211.791153319536</c:v>
                </c:pt>
                <c:pt idx="637">
                  <c:v>211.791153319536</c:v>
                </c:pt>
                <c:pt idx="638">
                  <c:v>211.791153319536</c:v>
                </c:pt>
                <c:pt idx="639">
                  <c:v>211.791153319536</c:v>
                </c:pt>
                <c:pt idx="640">
                  <c:v>211.791153319536</c:v>
                </c:pt>
                <c:pt idx="641">
                  <c:v>211.791153319536</c:v>
                </c:pt>
                <c:pt idx="642">
                  <c:v>211.791153319536</c:v>
                </c:pt>
                <c:pt idx="643">
                  <c:v>211.791153319536</c:v>
                </c:pt>
                <c:pt idx="644">
                  <c:v>211.791153319536</c:v>
                </c:pt>
                <c:pt idx="645">
                  <c:v>211.791153319536</c:v>
                </c:pt>
                <c:pt idx="646">
                  <c:v>211.791153319536</c:v>
                </c:pt>
                <c:pt idx="647">
                  <c:v>211.791153319536</c:v>
                </c:pt>
                <c:pt idx="648">
                  <c:v>211.791153319536</c:v>
                </c:pt>
                <c:pt idx="649">
                  <c:v>211.791153319536</c:v>
                </c:pt>
                <c:pt idx="650">
                  <c:v>211.791153319536</c:v>
                </c:pt>
                <c:pt idx="651">
                  <c:v>211.791153319536</c:v>
                </c:pt>
                <c:pt idx="652">
                  <c:v>211.791153319536</c:v>
                </c:pt>
                <c:pt idx="653">
                  <c:v>211.791153319536</c:v>
                </c:pt>
                <c:pt idx="654">
                  <c:v>211.791153319536</c:v>
                </c:pt>
                <c:pt idx="655">
                  <c:v>211.791153319536</c:v>
                </c:pt>
                <c:pt idx="656">
                  <c:v>211.791153319536</c:v>
                </c:pt>
                <c:pt idx="657">
                  <c:v>211.791153319536</c:v>
                </c:pt>
                <c:pt idx="658">
                  <c:v>211.791153319536</c:v>
                </c:pt>
                <c:pt idx="659">
                  <c:v>211.791153319536</c:v>
                </c:pt>
                <c:pt idx="660">
                  <c:v>211.791153319536</c:v>
                </c:pt>
                <c:pt idx="661">
                  <c:v>211.791153319536</c:v>
                </c:pt>
                <c:pt idx="662">
                  <c:v>211.791153319536</c:v>
                </c:pt>
                <c:pt idx="663">
                  <c:v>211.791153319536</c:v>
                </c:pt>
                <c:pt idx="664">
                  <c:v>211.791153319536</c:v>
                </c:pt>
                <c:pt idx="665">
                  <c:v>211.791153319536</c:v>
                </c:pt>
                <c:pt idx="666">
                  <c:v>211.791153319536</c:v>
                </c:pt>
                <c:pt idx="667">
                  <c:v>211.791153319536</c:v>
                </c:pt>
                <c:pt idx="668">
                  <c:v>211.791153319536</c:v>
                </c:pt>
                <c:pt idx="669">
                  <c:v>211.791153319536</c:v>
                </c:pt>
                <c:pt idx="670">
                  <c:v>211.791153319536</c:v>
                </c:pt>
                <c:pt idx="671">
                  <c:v>211.791153319536</c:v>
                </c:pt>
                <c:pt idx="672">
                  <c:v>211.791153319536</c:v>
                </c:pt>
                <c:pt idx="673">
                  <c:v>211.791153319536</c:v>
                </c:pt>
                <c:pt idx="674">
                  <c:v>211.791153319536</c:v>
                </c:pt>
                <c:pt idx="675">
                  <c:v>211.791153319536</c:v>
                </c:pt>
                <c:pt idx="676">
                  <c:v>211.791153319536</c:v>
                </c:pt>
                <c:pt idx="677">
                  <c:v>211.791153319536</c:v>
                </c:pt>
                <c:pt idx="678">
                  <c:v>211.791153319536</c:v>
                </c:pt>
                <c:pt idx="679">
                  <c:v>211.791153319536</c:v>
                </c:pt>
                <c:pt idx="680">
                  <c:v>211.791153319536</c:v>
                </c:pt>
                <c:pt idx="681">
                  <c:v>211.791153319536</c:v>
                </c:pt>
                <c:pt idx="682">
                  <c:v>211.791153319536</c:v>
                </c:pt>
                <c:pt idx="683">
                  <c:v>211.791153319536</c:v>
                </c:pt>
                <c:pt idx="684">
                  <c:v>211.791153319536</c:v>
                </c:pt>
                <c:pt idx="685">
                  <c:v>211.791153319536</c:v>
                </c:pt>
                <c:pt idx="686">
                  <c:v>211.791153319536</c:v>
                </c:pt>
                <c:pt idx="687">
                  <c:v>211.791153319536</c:v>
                </c:pt>
                <c:pt idx="688">
                  <c:v>211.791153319536</c:v>
                </c:pt>
                <c:pt idx="689">
                  <c:v>211.791153319536</c:v>
                </c:pt>
                <c:pt idx="690">
                  <c:v>211.791153319536</c:v>
                </c:pt>
                <c:pt idx="691">
                  <c:v>211.791153319536</c:v>
                </c:pt>
                <c:pt idx="692">
                  <c:v>211.791153319536</c:v>
                </c:pt>
                <c:pt idx="693">
                  <c:v>211.791153319536</c:v>
                </c:pt>
                <c:pt idx="694">
                  <c:v>211.791153319536</c:v>
                </c:pt>
                <c:pt idx="695">
                  <c:v>211.791153319536</c:v>
                </c:pt>
                <c:pt idx="696">
                  <c:v>211.791153319536</c:v>
                </c:pt>
                <c:pt idx="697">
                  <c:v>211.791153319536</c:v>
                </c:pt>
                <c:pt idx="698">
                  <c:v>211.791153319536</c:v>
                </c:pt>
                <c:pt idx="699">
                  <c:v>211.791153319536</c:v>
                </c:pt>
                <c:pt idx="700">
                  <c:v>211.791153319536</c:v>
                </c:pt>
                <c:pt idx="701">
                  <c:v>211.791153319536</c:v>
                </c:pt>
                <c:pt idx="702">
                  <c:v>211.791153319536</c:v>
                </c:pt>
                <c:pt idx="703">
                  <c:v>211.791153319536</c:v>
                </c:pt>
                <c:pt idx="704">
                  <c:v>211.791153319536</c:v>
                </c:pt>
                <c:pt idx="705">
                  <c:v>211.791153319536</c:v>
                </c:pt>
                <c:pt idx="706">
                  <c:v>211.791153319536</c:v>
                </c:pt>
                <c:pt idx="707">
                  <c:v>211.791153319536</c:v>
                </c:pt>
                <c:pt idx="708">
                  <c:v>211.791153319536</c:v>
                </c:pt>
                <c:pt idx="709">
                  <c:v>211.791153319536</c:v>
                </c:pt>
                <c:pt idx="710">
                  <c:v>211.791153319536</c:v>
                </c:pt>
                <c:pt idx="711">
                  <c:v>211.791153319536</c:v>
                </c:pt>
                <c:pt idx="712">
                  <c:v>211.791153319536</c:v>
                </c:pt>
                <c:pt idx="713">
                  <c:v>211.791153319536</c:v>
                </c:pt>
                <c:pt idx="714">
                  <c:v>211.791153319536</c:v>
                </c:pt>
                <c:pt idx="715">
                  <c:v>211.791153319536</c:v>
                </c:pt>
                <c:pt idx="716">
                  <c:v>211.791153319536</c:v>
                </c:pt>
                <c:pt idx="717">
                  <c:v>211.791153319536</c:v>
                </c:pt>
                <c:pt idx="718">
                  <c:v>211.791153319536</c:v>
                </c:pt>
                <c:pt idx="719">
                  <c:v>211.791153319536</c:v>
                </c:pt>
                <c:pt idx="720">
                  <c:v>211.791153319536</c:v>
                </c:pt>
                <c:pt idx="721">
                  <c:v>211.791153319536</c:v>
                </c:pt>
                <c:pt idx="722">
                  <c:v>211.791153319536</c:v>
                </c:pt>
                <c:pt idx="723">
                  <c:v>211.791153319536</c:v>
                </c:pt>
                <c:pt idx="724">
                  <c:v>211.791153319536</c:v>
                </c:pt>
                <c:pt idx="725">
                  <c:v>211.791153319536</c:v>
                </c:pt>
                <c:pt idx="726">
                  <c:v>211.791153319536</c:v>
                </c:pt>
                <c:pt idx="727">
                  <c:v>211.791153319536</c:v>
                </c:pt>
                <c:pt idx="728">
                  <c:v>211.791153319536</c:v>
                </c:pt>
                <c:pt idx="729">
                  <c:v>211.791153319536</c:v>
                </c:pt>
                <c:pt idx="730">
                  <c:v>211.791153319536</c:v>
                </c:pt>
                <c:pt idx="731">
                  <c:v>211.791153319536</c:v>
                </c:pt>
                <c:pt idx="732">
                  <c:v>211.791153319536</c:v>
                </c:pt>
                <c:pt idx="733">
                  <c:v>211.791153319536</c:v>
                </c:pt>
                <c:pt idx="734">
                  <c:v>211.791153319536</c:v>
                </c:pt>
                <c:pt idx="735">
                  <c:v>211.791153319536</c:v>
                </c:pt>
                <c:pt idx="736">
                  <c:v>211.791153319536</c:v>
                </c:pt>
                <c:pt idx="737">
                  <c:v>211.791153319536</c:v>
                </c:pt>
                <c:pt idx="738">
                  <c:v>211.791153319536</c:v>
                </c:pt>
                <c:pt idx="739">
                  <c:v>211.791153319536</c:v>
                </c:pt>
                <c:pt idx="740">
                  <c:v>211.791153319536</c:v>
                </c:pt>
                <c:pt idx="741">
                  <c:v>211.791153319536</c:v>
                </c:pt>
                <c:pt idx="742">
                  <c:v>211.791153319536</c:v>
                </c:pt>
                <c:pt idx="743">
                  <c:v>211.791153319536</c:v>
                </c:pt>
                <c:pt idx="744">
                  <c:v>211.791153319536</c:v>
                </c:pt>
                <c:pt idx="745">
                  <c:v>211.791153319536</c:v>
                </c:pt>
                <c:pt idx="746">
                  <c:v>211.791153319536</c:v>
                </c:pt>
                <c:pt idx="747">
                  <c:v>211.791153319536</c:v>
                </c:pt>
                <c:pt idx="748">
                  <c:v>211.791153319536</c:v>
                </c:pt>
                <c:pt idx="749">
                  <c:v>211.791153319536</c:v>
                </c:pt>
                <c:pt idx="750">
                  <c:v>211.791153319536</c:v>
                </c:pt>
                <c:pt idx="751">
                  <c:v>211.791153319536</c:v>
                </c:pt>
                <c:pt idx="752">
                  <c:v>211.791153319536</c:v>
                </c:pt>
                <c:pt idx="753">
                  <c:v>211.791153319536</c:v>
                </c:pt>
                <c:pt idx="754">
                  <c:v>211.791153319536</c:v>
                </c:pt>
                <c:pt idx="755">
                  <c:v>211.791153319536</c:v>
                </c:pt>
                <c:pt idx="756">
                  <c:v>211.791153319536</c:v>
                </c:pt>
                <c:pt idx="757">
                  <c:v>211.791153319536</c:v>
                </c:pt>
                <c:pt idx="758">
                  <c:v>211.791153319536</c:v>
                </c:pt>
                <c:pt idx="759">
                  <c:v>211.791153319536</c:v>
                </c:pt>
                <c:pt idx="760">
                  <c:v>211.791153319536</c:v>
                </c:pt>
                <c:pt idx="761">
                  <c:v>211.791153319536</c:v>
                </c:pt>
                <c:pt idx="762">
                  <c:v>211.791153319536</c:v>
                </c:pt>
                <c:pt idx="763">
                  <c:v>211.791153319536</c:v>
                </c:pt>
                <c:pt idx="764">
                  <c:v>211.791153319536</c:v>
                </c:pt>
                <c:pt idx="765">
                  <c:v>211.791153319536</c:v>
                </c:pt>
                <c:pt idx="766">
                  <c:v>211.791153319536</c:v>
                </c:pt>
                <c:pt idx="767">
                  <c:v>211.791153319536</c:v>
                </c:pt>
                <c:pt idx="768">
                  <c:v>211.791153319536</c:v>
                </c:pt>
                <c:pt idx="769">
                  <c:v>211.791153319536</c:v>
                </c:pt>
                <c:pt idx="770">
                  <c:v>211.791153319536</c:v>
                </c:pt>
                <c:pt idx="771">
                  <c:v>211.791153319536</c:v>
                </c:pt>
                <c:pt idx="772">
                  <c:v>211.791153319536</c:v>
                </c:pt>
                <c:pt idx="773">
                  <c:v>211.791153319536</c:v>
                </c:pt>
                <c:pt idx="774">
                  <c:v>211.791153319536</c:v>
                </c:pt>
                <c:pt idx="775">
                  <c:v>211.791153319536</c:v>
                </c:pt>
                <c:pt idx="776">
                  <c:v>211.791153319536</c:v>
                </c:pt>
                <c:pt idx="777">
                  <c:v>211.791153319536</c:v>
                </c:pt>
                <c:pt idx="778">
                  <c:v>211.791153319536</c:v>
                </c:pt>
                <c:pt idx="779">
                  <c:v>211.791153319536</c:v>
                </c:pt>
                <c:pt idx="780">
                  <c:v>211.791153319536</c:v>
                </c:pt>
                <c:pt idx="781">
                  <c:v>211.791153319536</c:v>
                </c:pt>
                <c:pt idx="782">
                  <c:v>211.791153319536</c:v>
                </c:pt>
                <c:pt idx="783">
                  <c:v>211.791153319536</c:v>
                </c:pt>
                <c:pt idx="784">
                  <c:v>211.791153319536</c:v>
                </c:pt>
                <c:pt idx="785">
                  <c:v>211.791153319536</c:v>
                </c:pt>
                <c:pt idx="786">
                  <c:v>211.791153319536</c:v>
                </c:pt>
                <c:pt idx="787">
                  <c:v>211.791153319536</c:v>
                </c:pt>
                <c:pt idx="788">
                  <c:v>211.791153319536</c:v>
                </c:pt>
                <c:pt idx="789">
                  <c:v>211.791153319536</c:v>
                </c:pt>
                <c:pt idx="790">
                  <c:v>211.791153319536</c:v>
                </c:pt>
                <c:pt idx="791">
                  <c:v>211.791153319536</c:v>
                </c:pt>
                <c:pt idx="792">
                  <c:v>211.791153319536</c:v>
                </c:pt>
                <c:pt idx="793">
                  <c:v>211.791153319536</c:v>
                </c:pt>
                <c:pt idx="794">
                  <c:v>211.791153319536</c:v>
                </c:pt>
                <c:pt idx="795">
                  <c:v>211.791153319536</c:v>
                </c:pt>
                <c:pt idx="796">
                  <c:v>211.791153319536</c:v>
                </c:pt>
                <c:pt idx="797">
                  <c:v>211.791153319536</c:v>
                </c:pt>
                <c:pt idx="798">
                  <c:v>211.791153319536</c:v>
                </c:pt>
                <c:pt idx="799">
                  <c:v>211.791153319536</c:v>
                </c:pt>
                <c:pt idx="800">
                  <c:v>211.791153319536</c:v>
                </c:pt>
                <c:pt idx="801">
                  <c:v>211.791153319536</c:v>
                </c:pt>
                <c:pt idx="802">
                  <c:v>211.791153319536</c:v>
                </c:pt>
                <c:pt idx="803">
                  <c:v>211.791153319536</c:v>
                </c:pt>
                <c:pt idx="804">
                  <c:v>211.791153319536</c:v>
                </c:pt>
                <c:pt idx="805">
                  <c:v>211.791153319536</c:v>
                </c:pt>
                <c:pt idx="806">
                  <c:v>211.791153319536</c:v>
                </c:pt>
                <c:pt idx="807">
                  <c:v>211.791153319536</c:v>
                </c:pt>
                <c:pt idx="808">
                  <c:v>211.791153319536</c:v>
                </c:pt>
                <c:pt idx="809">
                  <c:v>211.791153319536</c:v>
                </c:pt>
                <c:pt idx="810">
                  <c:v>211.791153319536</c:v>
                </c:pt>
                <c:pt idx="811">
                  <c:v>211.791153319536</c:v>
                </c:pt>
                <c:pt idx="812">
                  <c:v>211.791153319536</c:v>
                </c:pt>
                <c:pt idx="813">
                  <c:v>211.791153319536</c:v>
                </c:pt>
                <c:pt idx="814">
                  <c:v>211.791153319536</c:v>
                </c:pt>
                <c:pt idx="815">
                  <c:v>211.791153319536</c:v>
                </c:pt>
                <c:pt idx="816">
                  <c:v>211.791153319536</c:v>
                </c:pt>
                <c:pt idx="817">
                  <c:v>211.791153319536</c:v>
                </c:pt>
                <c:pt idx="818">
                  <c:v>211.791153319536</c:v>
                </c:pt>
                <c:pt idx="819">
                  <c:v>211.791153319536</c:v>
                </c:pt>
                <c:pt idx="820">
                  <c:v>211.791153319536</c:v>
                </c:pt>
                <c:pt idx="821">
                  <c:v>211.791153319536</c:v>
                </c:pt>
                <c:pt idx="822">
                  <c:v>211.791153319536</c:v>
                </c:pt>
                <c:pt idx="823">
                  <c:v>211.791153319536</c:v>
                </c:pt>
                <c:pt idx="824">
                  <c:v>211.791153319536</c:v>
                </c:pt>
                <c:pt idx="825">
                  <c:v>211.791153319536</c:v>
                </c:pt>
                <c:pt idx="826">
                  <c:v>211.791153319536</c:v>
                </c:pt>
                <c:pt idx="827">
                  <c:v>211.791153319536</c:v>
                </c:pt>
                <c:pt idx="828">
                  <c:v>211.791153319536</c:v>
                </c:pt>
                <c:pt idx="829">
                  <c:v>211.791153319536</c:v>
                </c:pt>
                <c:pt idx="830">
                  <c:v>211.791153319536</c:v>
                </c:pt>
                <c:pt idx="831">
                  <c:v>211.791153319536</c:v>
                </c:pt>
                <c:pt idx="832">
                  <c:v>211.791153319536</c:v>
                </c:pt>
                <c:pt idx="833">
                  <c:v>211.791153319536</c:v>
                </c:pt>
                <c:pt idx="834">
                  <c:v>211.791153319536</c:v>
                </c:pt>
                <c:pt idx="835">
                  <c:v>211.791153319536</c:v>
                </c:pt>
                <c:pt idx="836">
                  <c:v>211.791153319536</c:v>
                </c:pt>
                <c:pt idx="837">
                  <c:v>211.791153319536</c:v>
                </c:pt>
                <c:pt idx="838">
                  <c:v>211.791153319536</c:v>
                </c:pt>
                <c:pt idx="839">
                  <c:v>211.791153319536</c:v>
                </c:pt>
                <c:pt idx="840">
                  <c:v>211.791153319536</c:v>
                </c:pt>
                <c:pt idx="841">
                  <c:v>211.791153319536</c:v>
                </c:pt>
                <c:pt idx="842">
                  <c:v>211.791153319536</c:v>
                </c:pt>
                <c:pt idx="843">
                  <c:v>211.791153319536</c:v>
                </c:pt>
                <c:pt idx="844">
                  <c:v>211.791153319536</c:v>
                </c:pt>
                <c:pt idx="845">
                  <c:v>211.791153319536</c:v>
                </c:pt>
                <c:pt idx="846">
                  <c:v>211.791153319536</c:v>
                </c:pt>
                <c:pt idx="847">
                  <c:v>211.791153319536</c:v>
                </c:pt>
                <c:pt idx="848">
                  <c:v>211.791153319536</c:v>
                </c:pt>
                <c:pt idx="849">
                  <c:v>211.791153319536</c:v>
                </c:pt>
                <c:pt idx="850">
                  <c:v>211.791153319536</c:v>
                </c:pt>
                <c:pt idx="851">
                  <c:v>211.791153319536</c:v>
                </c:pt>
                <c:pt idx="852">
                  <c:v>211.791153319536</c:v>
                </c:pt>
                <c:pt idx="853">
                  <c:v>211.791153319536</c:v>
                </c:pt>
                <c:pt idx="854">
                  <c:v>211.791153319536</c:v>
                </c:pt>
                <c:pt idx="855">
                  <c:v>211.791153319536</c:v>
                </c:pt>
                <c:pt idx="856">
                  <c:v>211.791153319536</c:v>
                </c:pt>
                <c:pt idx="857">
                  <c:v>211.791153319536</c:v>
                </c:pt>
                <c:pt idx="858">
                  <c:v>211.791153319536</c:v>
                </c:pt>
                <c:pt idx="859">
                  <c:v>211.791153319536</c:v>
                </c:pt>
                <c:pt idx="860">
                  <c:v>211.791153319536</c:v>
                </c:pt>
                <c:pt idx="861">
                  <c:v>211.791153319536</c:v>
                </c:pt>
                <c:pt idx="862">
                  <c:v>211.791153319536</c:v>
                </c:pt>
                <c:pt idx="863">
                  <c:v>211.791153319536</c:v>
                </c:pt>
                <c:pt idx="864">
                  <c:v>211.791153319536</c:v>
                </c:pt>
                <c:pt idx="865">
                  <c:v>211.791153319536</c:v>
                </c:pt>
                <c:pt idx="866">
                  <c:v>211.791153319536</c:v>
                </c:pt>
                <c:pt idx="867">
                  <c:v>211.791153319536</c:v>
                </c:pt>
                <c:pt idx="868">
                  <c:v>211.791153319536</c:v>
                </c:pt>
                <c:pt idx="869">
                  <c:v>211.791153319536</c:v>
                </c:pt>
                <c:pt idx="870">
                  <c:v>211.791153319536</c:v>
                </c:pt>
                <c:pt idx="871">
                  <c:v>211.791153319536</c:v>
                </c:pt>
                <c:pt idx="872">
                  <c:v>211.791153319536</c:v>
                </c:pt>
                <c:pt idx="873">
                  <c:v>211.791153319536</c:v>
                </c:pt>
                <c:pt idx="874">
                  <c:v>211.791153319536</c:v>
                </c:pt>
                <c:pt idx="875">
                  <c:v>211.791153319536</c:v>
                </c:pt>
                <c:pt idx="876">
                  <c:v>211.791153319536</c:v>
                </c:pt>
                <c:pt idx="877">
                  <c:v>211.791153319536</c:v>
                </c:pt>
                <c:pt idx="878">
                  <c:v>211.791153319536</c:v>
                </c:pt>
                <c:pt idx="879">
                  <c:v>211.791153319536</c:v>
                </c:pt>
                <c:pt idx="880">
                  <c:v>211.791153319536</c:v>
                </c:pt>
                <c:pt idx="881">
                  <c:v>211.791153319536</c:v>
                </c:pt>
                <c:pt idx="882">
                  <c:v>211.791153319536</c:v>
                </c:pt>
                <c:pt idx="883">
                  <c:v>211.791153319536</c:v>
                </c:pt>
                <c:pt idx="884">
                  <c:v>211.791153319536</c:v>
                </c:pt>
                <c:pt idx="885">
                  <c:v>211.791153319536</c:v>
                </c:pt>
                <c:pt idx="886">
                  <c:v>211.791153319536</c:v>
                </c:pt>
                <c:pt idx="887">
                  <c:v>211.791153319536</c:v>
                </c:pt>
                <c:pt idx="888">
                  <c:v>211.791153319536</c:v>
                </c:pt>
                <c:pt idx="889">
                  <c:v>211.791153319536</c:v>
                </c:pt>
                <c:pt idx="890">
                  <c:v>211.791153319536</c:v>
                </c:pt>
                <c:pt idx="891">
                  <c:v>211.791153319536</c:v>
                </c:pt>
                <c:pt idx="892">
                  <c:v>211.791153319536</c:v>
                </c:pt>
                <c:pt idx="893">
                  <c:v>211.791153319536</c:v>
                </c:pt>
                <c:pt idx="894">
                  <c:v>211.791153319536</c:v>
                </c:pt>
                <c:pt idx="895">
                  <c:v>211.791153319536</c:v>
                </c:pt>
                <c:pt idx="896">
                  <c:v>211.791153319536</c:v>
                </c:pt>
                <c:pt idx="897">
                  <c:v>211.791153319536</c:v>
                </c:pt>
                <c:pt idx="898">
                  <c:v>211.791153319536</c:v>
                </c:pt>
                <c:pt idx="899">
                  <c:v>211.791153319536</c:v>
                </c:pt>
                <c:pt idx="900">
                  <c:v>211.791153319536</c:v>
                </c:pt>
                <c:pt idx="901">
                  <c:v>211.791153319536</c:v>
                </c:pt>
                <c:pt idx="902">
                  <c:v>211.791153319536</c:v>
                </c:pt>
                <c:pt idx="903">
                  <c:v>211.791153319536</c:v>
                </c:pt>
                <c:pt idx="904">
                  <c:v>211.791153319536</c:v>
                </c:pt>
                <c:pt idx="905">
                  <c:v>211.791153319536</c:v>
                </c:pt>
                <c:pt idx="906">
                  <c:v>211.791153319536</c:v>
                </c:pt>
                <c:pt idx="907">
                  <c:v>211.791153319536</c:v>
                </c:pt>
                <c:pt idx="908">
                  <c:v>211.791153319536</c:v>
                </c:pt>
                <c:pt idx="909">
                  <c:v>211.791153319536</c:v>
                </c:pt>
                <c:pt idx="910">
                  <c:v>211.791153319536</c:v>
                </c:pt>
                <c:pt idx="911">
                  <c:v>211.791153319536</c:v>
                </c:pt>
                <c:pt idx="912">
                  <c:v>211.791153319536</c:v>
                </c:pt>
                <c:pt idx="913">
                  <c:v>211.791153319536</c:v>
                </c:pt>
                <c:pt idx="914">
                  <c:v>211.791153319536</c:v>
                </c:pt>
                <c:pt idx="915">
                  <c:v>211.791153319536</c:v>
                </c:pt>
                <c:pt idx="916">
                  <c:v>211.791153319536</c:v>
                </c:pt>
                <c:pt idx="917">
                  <c:v>211.791153319536</c:v>
                </c:pt>
                <c:pt idx="918">
                  <c:v>211.791153319536</c:v>
                </c:pt>
                <c:pt idx="919">
                  <c:v>211.791153319536</c:v>
                </c:pt>
                <c:pt idx="920">
                  <c:v>211.791153319536</c:v>
                </c:pt>
                <c:pt idx="921">
                  <c:v>211.791153319536</c:v>
                </c:pt>
                <c:pt idx="922">
                  <c:v>211.791153319536</c:v>
                </c:pt>
                <c:pt idx="923">
                  <c:v>211.791153319536</c:v>
                </c:pt>
                <c:pt idx="924">
                  <c:v>211.791153319536</c:v>
                </c:pt>
                <c:pt idx="925">
                  <c:v>211.791153319536</c:v>
                </c:pt>
                <c:pt idx="926">
                  <c:v>211.791153319536</c:v>
                </c:pt>
                <c:pt idx="927">
                  <c:v>211.791153319536</c:v>
                </c:pt>
                <c:pt idx="928">
                  <c:v>211.791153319536</c:v>
                </c:pt>
                <c:pt idx="929">
                  <c:v>211.791153319536</c:v>
                </c:pt>
                <c:pt idx="930">
                  <c:v>211.791153319536</c:v>
                </c:pt>
                <c:pt idx="931">
                  <c:v>211.791153319536</c:v>
                </c:pt>
                <c:pt idx="932">
                  <c:v>211.791153319536</c:v>
                </c:pt>
                <c:pt idx="933">
                  <c:v>211.791153319536</c:v>
                </c:pt>
                <c:pt idx="934">
                  <c:v>211.791153319536</c:v>
                </c:pt>
                <c:pt idx="935">
                  <c:v>211.791153319536</c:v>
                </c:pt>
                <c:pt idx="936">
                  <c:v>211.791153319536</c:v>
                </c:pt>
                <c:pt idx="937">
                  <c:v>211.791153319536</c:v>
                </c:pt>
                <c:pt idx="938">
                  <c:v>211.791153319536</c:v>
                </c:pt>
                <c:pt idx="939">
                  <c:v>211.791153319536</c:v>
                </c:pt>
                <c:pt idx="940">
                  <c:v>211.791153319536</c:v>
                </c:pt>
                <c:pt idx="941">
                  <c:v>211.791153319536</c:v>
                </c:pt>
                <c:pt idx="942">
                  <c:v>211.791153319536</c:v>
                </c:pt>
                <c:pt idx="943">
                  <c:v>211.791153319536</c:v>
                </c:pt>
                <c:pt idx="944">
                  <c:v>211.791153319536</c:v>
                </c:pt>
                <c:pt idx="945">
                  <c:v>211.791153319536</c:v>
                </c:pt>
                <c:pt idx="946">
                  <c:v>211.791153319536</c:v>
                </c:pt>
                <c:pt idx="947">
                  <c:v>211.791153319536</c:v>
                </c:pt>
                <c:pt idx="948">
                  <c:v>211.791153319536</c:v>
                </c:pt>
                <c:pt idx="949">
                  <c:v>211.791153319536</c:v>
                </c:pt>
                <c:pt idx="950">
                  <c:v>211.791153319536</c:v>
                </c:pt>
                <c:pt idx="951">
                  <c:v>211.791153319536</c:v>
                </c:pt>
                <c:pt idx="952">
                  <c:v>211.791153319536</c:v>
                </c:pt>
                <c:pt idx="953">
                  <c:v>211.791153319536</c:v>
                </c:pt>
                <c:pt idx="954">
                  <c:v>211.791153319536</c:v>
                </c:pt>
                <c:pt idx="955">
                  <c:v>211.791153319536</c:v>
                </c:pt>
                <c:pt idx="956">
                  <c:v>211.791153319536</c:v>
                </c:pt>
                <c:pt idx="957">
                  <c:v>211.791153319536</c:v>
                </c:pt>
                <c:pt idx="958">
                  <c:v>211.791153319536</c:v>
                </c:pt>
                <c:pt idx="959">
                  <c:v>211.791153319536</c:v>
                </c:pt>
                <c:pt idx="960">
                  <c:v>211.791153319536</c:v>
                </c:pt>
                <c:pt idx="961">
                  <c:v>211.791153319536</c:v>
                </c:pt>
                <c:pt idx="962">
                  <c:v>211.791153319536</c:v>
                </c:pt>
                <c:pt idx="963">
                  <c:v>211.791153319536</c:v>
                </c:pt>
                <c:pt idx="964">
                  <c:v>211.791153319536</c:v>
                </c:pt>
                <c:pt idx="965">
                  <c:v>211.791153319536</c:v>
                </c:pt>
                <c:pt idx="966">
                  <c:v>211.791153319536</c:v>
                </c:pt>
                <c:pt idx="967">
                  <c:v>211.791153319536</c:v>
                </c:pt>
                <c:pt idx="968">
                  <c:v>211.791153319536</c:v>
                </c:pt>
                <c:pt idx="969">
                  <c:v>211.791153319536</c:v>
                </c:pt>
                <c:pt idx="970">
                  <c:v>211.791153319536</c:v>
                </c:pt>
                <c:pt idx="971">
                  <c:v>211.791153319536</c:v>
                </c:pt>
                <c:pt idx="972">
                  <c:v>211.791153319536</c:v>
                </c:pt>
                <c:pt idx="973">
                  <c:v>211.791153319536</c:v>
                </c:pt>
                <c:pt idx="974">
                  <c:v>211.791153319536</c:v>
                </c:pt>
                <c:pt idx="975">
                  <c:v>211.791153319536</c:v>
                </c:pt>
                <c:pt idx="976">
                  <c:v>211.791153319536</c:v>
                </c:pt>
                <c:pt idx="977">
                  <c:v>211.791153319536</c:v>
                </c:pt>
                <c:pt idx="978">
                  <c:v>211.791153319536</c:v>
                </c:pt>
                <c:pt idx="979">
                  <c:v>211.791153319536</c:v>
                </c:pt>
                <c:pt idx="980">
                  <c:v>211.791153319536</c:v>
                </c:pt>
                <c:pt idx="981">
                  <c:v>211.791153319536</c:v>
                </c:pt>
                <c:pt idx="982">
                  <c:v>211.791153319536</c:v>
                </c:pt>
                <c:pt idx="983">
                  <c:v>211.791153319536</c:v>
                </c:pt>
                <c:pt idx="984">
                  <c:v>211.791153319536</c:v>
                </c:pt>
                <c:pt idx="985">
                  <c:v>211.791153319536</c:v>
                </c:pt>
                <c:pt idx="986">
                  <c:v>211.791153319536</c:v>
                </c:pt>
                <c:pt idx="987">
                  <c:v>211.791153319536</c:v>
                </c:pt>
                <c:pt idx="988">
                  <c:v>211.791153319536</c:v>
                </c:pt>
                <c:pt idx="989">
                  <c:v>211.791153319536</c:v>
                </c:pt>
                <c:pt idx="990">
                  <c:v>211.791153319536</c:v>
                </c:pt>
                <c:pt idx="991">
                  <c:v>211.791153319536</c:v>
                </c:pt>
                <c:pt idx="992">
                  <c:v>211.791153319536</c:v>
                </c:pt>
                <c:pt idx="993">
                  <c:v>211.791153319536</c:v>
                </c:pt>
                <c:pt idx="994">
                  <c:v>211.791153319536</c:v>
                </c:pt>
                <c:pt idx="995">
                  <c:v>211.791153319536</c:v>
                </c:pt>
                <c:pt idx="996">
                  <c:v>211.791153319536</c:v>
                </c:pt>
                <c:pt idx="997">
                  <c:v>211.791153319536</c:v>
                </c:pt>
                <c:pt idx="998">
                  <c:v>211.791153319536</c:v>
                </c:pt>
                <c:pt idx="999">
                  <c:v>211.791153319536</c:v>
                </c:pt>
                <c:pt idx="1000">
                  <c:v>211.791153319536</c:v>
                </c:pt>
              </c:numCache>
            </c:numRef>
          </c:xVal>
          <c:yVal>
            <c:numRef>
              <c:f>Calculs!$AE$4:$AE$1004</c:f>
              <c:numCache>
                <c:formatCode>General</c:formatCode>
                <c:ptCount val="1001"/>
                <c:pt idx="0">
                  <c:v>0</c:v>
                </c:pt>
                <c:pt idx="1">
                  <c:v>0.00149761157315366</c:v>
                </c:pt>
                <c:pt idx="2">
                  <c:v>0.00994086543666655</c:v>
                </c:pt>
                <c:pt idx="3">
                  <c:v>0.0309449661824849</c:v>
                </c:pt>
                <c:pt idx="4">
                  <c:v>0.0655473254807626</c:v>
                </c:pt>
                <c:pt idx="5">
                  <c:v>0.112794928389273</c:v>
                </c:pt>
                <c:pt idx="6">
                  <c:v>0.172339135868416</c:v>
                </c:pt>
                <c:pt idx="7">
                  <c:v>0.244133794910506</c:v>
                </c:pt>
                <c:pt idx="8">
                  <c:v>0.328132439080203</c:v>
                </c:pt>
                <c:pt idx="9">
                  <c:v>0.424288290701774</c:v>
                </c:pt>
                <c:pt idx="10">
                  <c:v>0.532554263071725</c:v>
                </c:pt>
                <c:pt idx="11">
                  <c:v>0.652882962696385</c:v>
                </c:pt>
                <c:pt idx="12">
                  <c:v>0.785226691554009</c:v>
                </c:pt>
                <c:pt idx="13">
                  <c:v>0.92953744938099</c:v>
                </c:pt>
                <c:pt idx="14">
                  <c:v>1.08576693598176</c:v>
                </c:pt>
                <c:pt idx="15">
                  <c:v>1.2538665535619</c:v>
                </c:pt>
                <c:pt idx="16">
                  <c:v>1.43378740908412</c:v>
                </c:pt>
                <c:pt idx="17">
                  <c:v>1.62548031664655</c:v>
                </c:pt>
                <c:pt idx="18">
                  <c:v>1.82889579988301</c:v>
                </c:pt>
                <c:pt idx="19">
                  <c:v>2.04398409438469</c:v>
                </c:pt>
                <c:pt idx="20">
                  <c:v>2.27069515014293</c:v>
                </c:pt>
                <c:pt idx="21">
                  <c:v>2.50897863401254</c:v>
                </c:pt>
                <c:pt idx="22">
                  <c:v>2.75876913185433</c:v>
                </c:pt>
                <c:pt idx="23">
                  <c:v>3.02000024285186</c:v>
                </c:pt>
                <c:pt idx="24">
                  <c:v>3.29261940370578</c:v>
                </c:pt>
                <c:pt idx="25">
                  <c:v>3.57657382859159</c:v>
                </c:pt>
                <c:pt idx="26">
                  <c:v>3.87181051756387</c:v>
                </c:pt>
                <c:pt idx="27">
                  <c:v>4.17827625525355</c:v>
                </c:pt>
                <c:pt idx="28">
                  <c:v>4.4959176100076</c:v>
                </c:pt>
                <c:pt idx="29">
                  <c:v>4.8246809334096</c:v>
                </c:pt>
                <c:pt idx="30">
                  <c:v>5.16451236013052</c:v>
                </c:pt>
                <c:pt idx="31">
                  <c:v>5.51535780806741</c:v>
                </c:pt>
                <c:pt idx="32">
                  <c:v>5.87716297873451</c:v>
                </c:pt>
                <c:pt idx="33">
                  <c:v>6.24987335787673</c:v>
                </c:pt>
                <c:pt idx="34">
                  <c:v>6.63343421628008</c:v>
                </c:pt>
                <c:pt idx="35">
                  <c:v>7.02779061075713</c:v>
                </c:pt>
                <c:pt idx="36">
                  <c:v>7.43288738528883</c:v>
                </c:pt>
                <c:pt idx="37">
                  <c:v>7.84866917230639</c:v>
                </c:pt>
                <c:pt idx="38">
                  <c:v>8.27508039409912</c:v>
                </c:pt>
                <c:pt idx="39">
                  <c:v>8.71206526433602</c:v>
                </c:pt>
                <c:pt idx="40">
                  <c:v>9.15956778969014</c:v>
                </c:pt>
                <c:pt idx="41">
                  <c:v>9.61753177155636</c:v>
                </c:pt>
                <c:pt idx="42">
                  <c:v>10.085900807854</c:v>
                </c:pt>
                <c:pt idx="43">
                  <c:v>10.5646182949072</c:v>
                </c:pt>
                <c:pt idx="44">
                  <c:v>11.0536274293952</c:v>
                </c:pt>
                <c:pt idx="45">
                  <c:v>11.552871210369</c:v>
                </c:pt>
                <c:pt idx="46">
                  <c:v>12.0622924413253</c:v>
                </c:pt>
                <c:pt idx="47">
                  <c:v>12.5818337323372</c:v>
                </c:pt>
                <c:pt idx="48">
                  <c:v>13.1114375022334</c:v>
                </c:pt>
                <c:pt idx="49">
                  <c:v>13.6510459808248</c:v>
                </c:pt>
                <c:pt idx="50">
                  <c:v>14.2006012111725</c:v>
                </c:pt>
                <c:pt idx="51">
                  <c:v>14.7600450518965</c:v>
                </c:pt>
                <c:pt idx="52">
                  <c:v>15.3293191795192</c:v>
                </c:pt>
                <c:pt idx="53">
                  <c:v>15.9083650908437</c:v>
                </c:pt>
                <c:pt idx="54">
                  <c:v>16.4971241053613</c:v>
                </c:pt>
                <c:pt idx="55">
                  <c:v>17.0955373676895</c:v>
                </c:pt>
                <c:pt idx="56">
                  <c:v>17.7035458500344</c:v>
                </c:pt>
                <c:pt idx="57">
                  <c:v>18.3210903546783</c:v>
                </c:pt>
                <c:pt idx="58">
                  <c:v>18.9481115164897</c:v>
                </c:pt>
                <c:pt idx="59">
                  <c:v>19.5845498054528</c:v>
                </c:pt>
                <c:pt idx="60">
                  <c:v>20.2303455292171</c:v>
                </c:pt>
                <c:pt idx="61">
                  <c:v>20.8854388356633</c:v>
                </c:pt>
                <c:pt idx="62">
                  <c:v>21.5497697154852</c:v>
                </c:pt>
                <c:pt idx="63">
                  <c:v>22.2232511580769</c:v>
                </c:pt>
                <c:pt idx="64">
                  <c:v>22.9057422793436</c:v>
                </c:pt>
                <c:pt idx="65">
                  <c:v>23.5970751444598</c:v>
                </c:pt>
                <c:pt idx="66">
                  <c:v>24.297081622634</c:v>
                </c:pt>
                <c:pt idx="67">
                  <c:v>25.005568764452</c:v>
                </c:pt>
                <c:pt idx="68">
                  <c:v>25.7222941592072</c:v>
                </c:pt>
                <c:pt idx="69">
                  <c:v>26.4469467340393</c:v>
                </c:pt>
                <c:pt idx="70">
                  <c:v>27.1791275513389</c:v>
                </c:pt>
                <c:pt idx="71">
                  <c:v>27.9183936510392</c:v>
                </c:pt>
                <c:pt idx="72">
                  <c:v>28.6643019319154</c:v>
                </c:pt>
                <c:pt idx="73">
                  <c:v>29.4164091961913</c:v>
                </c:pt>
                <c:pt idx="74">
                  <c:v>30.1742721933886</c:v>
                </c:pt>
                <c:pt idx="75">
                  <c:v>30.9374476634028</c:v>
                </c:pt>
                <c:pt idx="76">
                  <c:v>31.7054923787871</c:v>
                </c:pt>
                <c:pt idx="77">
                  <c:v>32.4779631862312</c:v>
                </c:pt>
                <c:pt idx="78">
                  <c:v>33.2544170472194</c:v>
                </c:pt>
                <c:pt idx="79">
                  <c:v>34.0344110778551</c:v>
                </c:pt>
                <c:pt idx="80">
                  <c:v>34.8175025878409</c:v>
                </c:pt>
                <c:pt idx="81">
                  <c:v>35.6033013345865</c:v>
                </c:pt>
                <c:pt idx="82">
                  <c:v>36.3915217448462</c:v>
                </c:pt>
                <c:pt idx="83">
                  <c:v>37.1819306492936</c:v>
                </c:pt>
                <c:pt idx="84">
                  <c:v>37.9742950357498</c:v>
                </c:pt>
                <c:pt idx="85">
                  <c:v>38.7683820599819</c:v>
                </c:pt>
                <c:pt idx="86">
                  <c:v>39.563959056254</c:v>
                </c:pt>
                <c:pt idx="87">
                  <c:v>40.3607935476303</c:v>
                </c:pt>
                <c:pt idx="88">
                  <c:v>41.1586532560274</c:v>
                </c:pt>
                <c:pt idx="89">
                  <c:v>41.9573226144923</c:v>
                </c:pt>
                <c:pt idx="90">
                  <c:v>42.7566192634275</c:v>
                </c:pt>
                <c:pt idx="91">
                  <c:v>43.5563775226215</c:v>
                </c:pt>
                <c:pt idx="92">
                  <c:v>44.3564318767097</c:v>
                </c:pt>
                <c:pt idx="93">
                  <c:v>45.1566211060552</c:v>
                </c:pt>
                <c:pt idx="94">
                  <c:v>45.9567924130316</c:v>
                </c:pt>
                <c:pt idx="95">
                  <c:v>46.7567972907362</c:v>
                </c:pt>
                <c:pt idx="96">
                  <c:v>47.5564873956476</c:v>
                </c:pt>
                <c:pt idx="97">
                  <c:v>48.3557310564116</c:v>
                </c:pt>
                <c:pt idx="98">
                  <c:v>49.1544297628562</c:v>
                </c:pt>
                <c:pt idx="99">
                  <c:v>49.9525016237902</c:v>
                </c:pt>
                <c:pt idx="100">
                  <c:v>50.749864843289</c:v>
                </c:pt>
                <c:pt idx="101">
                  <c:v>51.5464377214809</c:v>
                </c:pt>
                <c:pt idx="102">
                  <c:v>52.3421386553031</c:v>
                </c:pt>
                <c:pt idx="103">
                  <c:v>53.136886139228</c:v>
                </c:pt>
                <c:pt idx="104">
                  <c:v>53.930598765958</c:v>
                </c:pt>
                <c:pt idx="105">
                  <c:v>54.7231952270908</c:v>
                </c:pt>
                <c:pt idx="106">
                  <c:v>55.5145943137544</c:v>
                </c:pt>
                <c:pt idx="107">
                  <c:v>56.3047149172125</c:v>
                </c:pt>
                <c:pt idx="108">
                  <c:v>57.0934760294402</c:v>
                </c:pt>
                <c:pt idx="109">
                  <c:v>57.8808173678719</c:v>
                </c:pt>
                <c:pt idx="110">
                  <c:v>58.6667199721302</c:v>
                </c:pt>
                <c:pt idx="111">
                  <c:v>59.4511855264254</c:v>
                </c:pt>
                <c:pt idx="112">
                  <c:v>60.2342157097029</c:v>
                </c:pt>
                <c:pt idx="113">
                  <c:v>61.0158121956622</c:v>
                </c:pt>
                <c:pt idx="114">
                  <c:v>61.7959766527747</c:v>
                </c:pt>
                <c:pt idx="115">
                  <c:v>62.5747107443026</c:v>
                </c:pt>
                <c:pt idx="116">
                  <c:v>63.352016128317</c:v>
                </c:pt>
                <c:pt idx="117">
                  <c:v>64.1278944577163</c:v>
                </c:pt>
                <c:pt idx="118">
                  <c:v>64.9023473802442</c:v>
                </c:pt>
                <c:pt idx="119">
                  <c:v>65.6753765385076</c:v>
                </c:pt>
                <c:pt idx="120">
                  <c:v>66.4469835699949</c:v>
                </c:pt>
                <c:pt idx="121">
                  <c:v>67.2171701070938</c:v>
                </c:pt>
                <c:pt idx="122">
                  <c:v>67.9859377771088</c:v>
                </c:pt>
                <c:pt idx="123">
                  <c:v>68.7532882022793</c:v>
                </c:pt>
                <c:pt idx="124">
                  <c:v>69.519222999797</c:v>
                </c:pt>
                <c:pt idx="125">
                  <c:v>70.2837437818233</c:v>
                </c:pt>
                <c:pt idx="126">
                  <c:v>71.0468521555073</c:v>
                </c:pt>
                <c:pt idx="127">
                  <c:v>71.8085497230025</c:v>
                </c:pt>
                <c:pt idx="128">
                  <c:v>72.5688380814847</c:v>
                </c:pt>
                <c:pt idx="129">
                  <c:v>73.3277188231688</c:v>
                </c:pt>
                <c:pt idx="130">
                  <c:v>74.085193535326</c:v>
                </c:pt>
                <c:pt idx="131">
                  <c:v>74.8412638003011</c:v>
                </c:pt>
                <c:pt idx="132">
                  <c:v>75.5959311955291</c:v>
                </c:pt>
                <c:pt idx="133">
                  <c:v>76.3491972935525</c:v>
                </c:pt>
                <c:pt idx="134">
                  <c:v>77.1010636620376</c:v>
                </c:pt>
                <c:pt idx="135">
                  <c:v>77.8515318637919</c:v>
                </c:pt>
                <c:pt idx="136">
                  <c:v>78.6006034567801</c:v>
                </c:pt>
                <c:pt idx="137">
                  <c:v>79.348279994141</c:v>
                </c:pt>
                <c:pt idx="138">
                  <c:v>80.0945630242041</c:v>
                </c:pt>
                <c:pt idx="139">
                  <c:v>80.8394540905058</c:v>
                </c:pt>
                <c:pt idx="140">
                  <c:v>81.5829547318057</c:v>
                </c:pt>
                <c:pt idx="141">
                  <c:v>82.3250664821031</c:v>
                </c:pt>
                <c:pt idx="142">
                  <c:v>83.0657908706532</c:v>
                </c:pt>
                <c:pt idx="143">
                  <c:v>83.805129421983</c:v>
                </c:pt>
                <c:pt idx="144">
                  <c:v>84.5430836559073</c:v>
                </c:pt>
                <c:pt idx="145">
                  <c:v>85.279655087545</c:v>
                </c:pt>
                <c:pt idx="146">
                  <c:v>86.0148452273348</c:v>
                </c:pt>
                <c:pt idx="147">
                  <c:v>86.7486555810509</c:v>
                </c:pt>
                <c:pt idx="148">
                  <c:v>87.4810876498189</c:v>
                </c:pt>
                <c:pt idx="149">
                  <c:v>88.2121429301315</c:v>
                </c:pt>
                <c:pt idx="150">
                  <c:v>88.9418229138639</c:v>
                </c:pt>
                <c:pt idx="151">
                  <c:v>89.6701290882897</c:v>
                </c:pt>
                <c:pt idx="152">
                  <c:v>90.3970629360958</c:v>
                </c:pt>
                <c:pt idx="153">
                  <c:v>91.1226259353983</c:v>
                </c:pt>
                <c:pt idx="154">
                  <c:v>91.8468195597576</c:v>
                </c:pt>
                <c:pt idx="155">
                  <c:v>92.5696452781936</c:v>
                </c:pt>
                <c:pt idx="156">
                  <c:v>93.2911045552008</c:v>
                </c:pt>
                <c:pt idx="157">
                  <c:v>94.0111988507638</c:v>
                </c:pt>
                <c:pt idx="158">
                  <c:v>94.7299296203718</c:v>
                </c:pt>
                <c:pt idx="159">
                  <c:v>95.4472983150339</c:v>
                </c:pt>
                <c:pt idx="160">
                  <c:v>96.1633063812938</c:v>
                </c:pt>
                <c:pt idx="161">
                  <c:v>96.8779552612449</c:v>
                </c:pt>
                <c:pt idx="162">
                  <c:v>97.5912463925448</c:v>
                </c:pt>
                <c:pt idx="163">
                  <c:v>98.3031812084299</c:v>
                </c:pt>
                <c:pt idx="164">
                  <c:v>99.0137611377304</c:v>
                </c:pt>
                <c:pt idx="165">
                  <c:v>99.7229876048845</c:v>
                </c:pt>
                <c:pt idx="166">
                  <c:v>100.430862029953</c:v>
                </c:pt>
                <c:pt idx="167">
                  <c:v>101.137385828634</c:v>
                </c:pt>
                <c:pt idx="168">
                  <c:v>101.842560412277</c:v>
                </c:pt>
                <c:pt idx="169">
                  <c:v>102.546387187896</c:v>
                </c:pt>
                <c:pt idx="170">
                  <c:v>103.248867558187</c:v>
                </c:pt>
                <c:pt idx="171">
                  <c:v>103.950002921538</c:v>
                </c:pt>
                <c:pt idx="172">
                  <c:v>104.649794672047</c:v>
                </c:pt>
                <c:pt idx="173">
                  <c:v>105.348244199532</c:v>
                </c:pt>
                <c:pt idx="174">
                  <c:v>106.04535288955</c:v>
                </c:pt>
                <c:pt idx="175">
                  <c:v>106.741122123405</c:v>
                </c:pt>
                <c:pt idx="176">
                  <c:v>107.435553278166</c:v>
                </c:pt>
                <c:pt idx="177">
                  <c:v>108.128647726681</c:v>
                </c:pt>
                <c:pt idx="178">
                  <c:v>108.820406837588</c:v>
                </c:pt>
                <c:pt idx="179">
                  <c:v>109.51083197533</c:v>
                </c:pt>
                <c:pt idx="180">
                  <c:v>110.199924500169</c:v>
                </c:pt>
                <c:pt idx="181">
                  <c:v>110.887685768199</c:v>
                </c:pt>
                <c:pt idx="182">
                  <c:v>111.574117131359</c:v>
                </c:pt>
                <c:pt idx="183">
                  <c:v>112.259219937448</c:v>
                </c:pt>
                <c:pt idx="184">
                  <c:v>112.942995530137</c:v>
                </c:pt>
                <c:pt idx="185">
                  <c:v>113.625445248982</c:v>
                </c:pt>
                <c:pt idx="186">
                  <c:v>114.306570429438</c:v>
                </c:pt>
                <c:pt idx="187">
                  <c:v>114.986372402872</c:v>
                </c:pt>
                <c:pt idx="188">
                  <c:v>115.664852496577</c:v>
                </c:pt>
                <c:pt idx="189">
                  <c:v>116.342012033783</c:v>
                </c:pt>
                <c:pt idx="190">
                  <c:v>117.017852333672</c:v>
                </c:pt>
                <c:pt idx="191">
                  <c:v>117.692374711388</c:v>
                </c:pt>
                <c:pt idx="192">
                  <c:v>118.365580478055</c:v>
                </c:pt>
                <c:pt idx="193">
                  <c:v>119.037470940784</c:v>
                </c:pt>
                <c:pt idx="194">
                  <c:v>119.70804740269</c:v>
                </c:pt>
                <c:pt idx="195">
                  <c:v>120.377311162903</c:v>
                </c:pt>
                <c:pt idx="196">
                  <c:v>121.045263516579</c:v>
                </c:pt>
                <c:pt idx="197">
                  <c:v>121.711905754917</c:v>
                </c:pt>
                <c:pt idx="198">
                  <c:v>122.377239165167</c:v>
                </c:pt>
                <c:pt idx="199">
                  <c:v>123.041265030645</c:v>
                </c:pt>
                <c:pt idx="200">
                  <c:v>123.703984630745</c:v>
                </c:pt>
                <c:pt idx="201">
                  <c:v>130.259434842014</c:v>
                </c:pt>
                <c:pt idx="202">
                  <c:v>136.685078590675</c:v>
                </c:pt>
                <c:pt idx="203">
                  <c:v>142.982154502811</c:v>
                </c:pt>
                <c:pt idx="204">
                  <c:v>149.151863640917</c:v>
                </c:pt>
                <c:pt idx="205">
                  <c:v>155.195370648685</c:v>
                </c:pt>
                <c:pt idx="206">
                  <c:v>161.11380484575</c:v>
                </c:pt>
                <c:pt idx="207">
                  <c:v>166.908261274865</c:v>
                </c:pt>
                <c:pt idx="208">
                  <c:v>172.579801703789</c:v>
                </c:pt>
                <c:pt idx="209">
                  <c:v>178.129455584094</c:v>
                </c:pt>
                <c:pt idx="210">
                  <c:v>183.558220968917</c:v>
                </c:pt>
                <c:pt idx="211">
                  <c:v>188.867065391609</c:v>
                </c:pt>
                <c:pt idx="212">
                  <c:v>194.056926707098</c:v>
                </c:pt>
                <c:pt idx="213">
                  <c:v>199.128713897703</c:v>
                </c:pt>
                <c:pt idx="214">
                  <c:v>204.083307845015</c:v>
                </c:pt>
                <c:pt idx="215">
                  <c:v>208.92156206941</c:v>
                </c:pt>
                <c:pt idx="216">
                  <c:v>213.644303438631</c:v>
                </c:pt>
                <c:pt idx="217">
                  <c:v>218.252332846838</c:v>
                </c:pt>
                <c:pt idx="218">
                  <c:v>222.746425865443</c:v>
                </c:pt>
                <c:pt idx="219">
                  <c:v>227.127333366955</c:v>
                </c:pt>
                <c:pt idx="220">
                  <c:v>231.395782123044</c:v>
                </c:pt>
                <c:pt idx="221">
                  <c:v>235.552475377935</c:v>
                </c:pt>
                <c:pt idx="222">
                  <c:v>239.598093398214</c:v>
                </c:pt>
                <c:pt idx="223">
                  <c:v>243.533294000073</c:v>
                </c:pt>
                <c:pt idx="224">
                  <c:v>247.358713054975</c:v>
                </c:pt>
                <c:pt idx="225">
                  <c:v>251.074964974691</c:v>
                </c:pt>
                <c:pt idx="226">
                  <c:v>254.682643176604</c:v>
                </c:pt>
                <c:pt idx="227">
                  <c:v>258.182320530185</c:v>
                </c:pt>
                <c:pt idx="228">
                  <c:v>261.574549785476</c:v>
                </c:pt>
                <c:pt idx="229">
                  <c:v>264.859863984431</c:v>
                </c:pt>
                <c:pt idx="230">
                  <c:v>268.038776855943</c:v>
                </c:pt>
                <c:pt idx="231">
                  <c:v>271.111783195368</c:v>
                </c:pt>
                <c:pt idx="232">
                  <c:v>274.079359229376</c:v>
                </c:pt>
                <c:pt idx="233">
                  <c:v>276.941962966974</c:v>
                </c:pt>
                <c:pt idx="234">
                  <c:v>279.700034537537</c:v>
                </c:pt>
                <c:pt idx="235">
                  <c:v>282.353996516769</c:v>
                </c:pt>
                <c:pt idx="236">
                  <c:v>284.904254241518</c:v>
                </c:pt>
                <c:pt idx="237">
                  <c:v>287.351196114468</c:v>
                </c:pt>
                <c:pt idx="238">
                  <c:v>289.695193899829</c:v>
                </c:pt>
                <c:pt idx="239">
                  <c:v>291.936603011229</c:v>
                </c:pt>
                <c:pt idx="240">
                  <c:v>294.075762793215</c:v>
                </c:pt>
                <c:pt idx="241">
                  <c:v>296.11299679793</c:v>
                </c:pt>
                <c:pt idx="242">
                  <c:v>298.048613058807</c:v>
                </c:pt>
                <c:pt idx="243">
                  <c:v>299.882904363398</c:v>
                </c:pt>
                <c:pt idx="244">
                  <c:v>301.61614852789</c:v>
                </c:pt>
                <c:pt idx="245">
                  <c:v>303.24860867629</c:v>
                </c:pt>
                <c:pt idx="246">
                  <c:v>304.780533527887</c:v>
                </c:pt>
                <c:pt idx="247">
                  <c:v>306.212157697298</c:v>
                </c:pt>
                <c:pt idx="248">
                  <c:v>307.543702012255</c:v>
                </c:pt>
                <c:pt idx="249">
                  <c:v>308.775373855343</c:v>
                </c:pt>
                <c:pt idx="250">
                  <c:v>309.907367537041</c:v>
                </c:pt>
                <c:pt idx="251">
                  <c:v>310.939864708734</c:v>
                </c:pt>
                <c:pt idx="252">
                  <c:v>311.873034825793</c:v>
                </c:pt>
                <c:pt idx="253">
                  <c:v>312.707035672151</c:v>
                </c:pt>
                <c:pt idx="254">
                  <c:v>313.442013959001</c:v>
                </c:pt>
                <c:pt idx="255">
                  <c:v>314.078106010923</c:v>
                </c:pt>
                <c:pt idx="256">
                  <c:v>314.615438552569</c:v>
                </c:pt>
                <c:pt idx="257">
                  <c:v>315.054129607607</c:v>
                </c:pt>
                <c:pt idx="258">
                  <c:v>315.394289518347</c:v>
                </c:pt>
                <c:pt idx="259">
                  <c:v>315.636022089161</c:v>
                </c:pt>
                <c:pt idx="260">
                  <c:v>315.77942584937</c:v>
                </c:pt>
                <c:pt idx="261">
                  <c:v>315.824595422082</c:v>
                </c:pt>
                <c:pt idx="262">
                  <c:v>315.771622975766</c:v>
                </c:pt>
                <c:pt idx="263">
                  <c:v>315.620599726499</c:v>
                </c:pt>
                <c:pt idx="264">
                  <c:v>315.37161745262</c:v>
                </c:pt>
                <c:pt idx="265">
                  <c:v>315.024769981269</c:v>
                </c:pt>
                <c:pt idx="266">
                  <c:v>314.58015460848</c:v>
                </c:pt>
                <c:pt idx="267">
                  <c:v>314.037873420721</c:v>
                </c:pt>
                <c:pt idx="268">
                  <c:v>313.398034494531</c:v>
                </c:pt>
                <c:pt idx="269">
                  <c:v>312.660752960771</c:v>
                </c:pt>
                <c:pt idx="270">
                  <c:v>311.826151929127</c:v>
                </c:pt>
                <c:pt idx="271">
                  <c:v>310.894363276055</c:v>
                </c:pt>
                <c:pt idx="272">
                  <c:v>309.865528304702</c:v>
                </c:pt>
                <c:pt idx="273">
                  <c:v>308.739798288604</c:v>
                </c:pt>
                <c:pt idx="274">
                  <c:v>307.517334912389</c:v>
                </c:pt>
                <c:pt idx="275">
                  <c:v>306.198310622879</c:v>
                </c:pt>
                <c:pt idx="276">
                  <c:v>304.782908903259</c:v>
                </c:pt>
                <c:pt idx="277">
                  <c:v>303.271324481749</c:v>
                </c:pt>
                <c:pt idx="278">
                  <c:v>301.663763484855</c:v>
                </c:pt>
                <c:pt idx="279">
                  <c:v>299.960443543796</c:v>
                </c:pt>
                <c:pt idx="280">
                  <c:v>298.1615938614</c:v>
                </c:pt>
                <c:pt idx="281">
                  <c:v>296.267455245539</c:v>
                </c:pt>
                <c:pt idx="282">
                  <c:v>294.278280114138</c:v>
                </c:pt>
                <c:pt idx="283">
                  <c:v>292.194332475928</c:v>
                </c:pt>
                <c:pt idx="284">
                  <c:v>290.015887890361</c:v>
                </c:pt>
                <c:pt idx="285">
                  <c:v>287.743233409507</c:v>
                </c:pt>
                <c:pt idx="286">
                  <c:v>285.376667504276</c:v>
                </c:pt>
                <c:pt idx="287">
                  <c:v>282.916499976872</c:v>
                </c:pt>
                <c:pt idx="288">
                  <c:v>280.363051861099</c:v>
                </c:pt>
                <c:pt idx="289">
                  <c:v>277.716655311842</c:v>
                </c:pt>
                <c:pt idx="290">
                  <c:v>274.977653484862</c:v>
                </c:pt>
                <c:pt idx="291">
                  <c:v>272.146400407841</c:v>
                </c:pt>
                <c:pt idx="292">
                  <c:v>269.223260843513</c:v>
                </c:pt>
                <c:pt idx="293">
                  <c:v>266.208610145553</c:v>
                </c:pt>
                <c:pt idx="294">
                  <c:v>263.102834107855</c:v>
                </c:pt>
                <c:pt idx="295">
                  <c:v>259.906328807727</c:v>
                </c:pt>
                <c:pt idx="296">
                  <c:v>256.619500443462</c:v>
                </c:pt>
                <c:pt idx="297">
                  <c:v>253.242765166734</c:v>
                </c:pt>
                <c:pt idx="298">
                  <c:v>249.776548910171</c:v>
                </c:pt>
                <c:pt idx="299">
                  <c:v>246.221287210483</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40.1446968483814</c:v>
                </c:pt>
              </c:numCache>
            </c:numRef>
          </c:xVal>
          <c:yVal>
            <c:numRef>
              <c:f>Trajecto!$C$155</c:f>
              <c:numCache>
                <c:formatCode>General</c:formatCode>
                <c:ptCount val="1"/>
                <c:pt idx="0">
                  <c:v>121.288712513719</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177.624739500227</c:v>
                </c:pt>
              </c:numCache>
            </c:numRef>
          </c:xVal>
          <c:yVal>
            <c:numRef>
              <c:f>Trajecto!$C$156</c:f>
              <c:numCache>
                <c:formatCode>General</c:formatCode>
                <c:ptCount val="1"/>
                <c:pt idx="0">
                  <c:v>157.889712924685</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109.29191186161</c:v>
                </c:pt>
                <c:pt idx="1">
                  <c:v>132.29191186161</c:v>
                </c:pt>
                <c:pt idx="2">
                  <c:v>132.29191186161</c:v>
                </c:pt>
                <c:pt idx="3">
                  <c:v>109.29191186161</c:v>
                </c:pt>
                <c:pt idx="4">
                  <c:v>132.29191186161</c:v>
                </c:pt>
                <c:pt idx="5">
                  <c:v>132.29191186161</c:v>
                </c:pt>
                <c:pt idx="6">
                  <c:v>117.29191186161</c:v>
                </c:pt>
                <c:pt idx="7">
                  <c:v>117.29191186161</c:v>
                </c:pt>
                <c:pt idx="8">
                  <c:v>132.29191186161</c:v>
                </c:pt>
                <c:pt idx="9">
                  <c:v>117.29191186161</c:v>
                </c:pt>
                <c:pt idx="10">
                  <c:v>116.89191186161</c:v>
                </c:pt>
                <c:pt idx="11">
                  <c:v>116.09191186161</c:v>
                </c:pt>
                <c:pt idx="12">
                  <c:v>115.29191186161</c:v>
                </c:pt>
                <c:pt idx="13">
                  <c:v>114.29191186161</c:v>
                </c:pt>
                <c:pt idx="14">
                  <c:v>113.09191186161</c:v>
                </c:pt>
                <c:pt idx="15">
                  <c:v>109.29191186161</c:v>
                </c:pt>
              </c:numCache>
            </c:numRef>
          </c:xVal>
          <c:yVal>
            <c:numRef>
              <c:f>Trajecto!$B$161:$B$176</c:f>
              <c:numCache>
                <c:formatCode>General</c:formatCode>
                <c:ptCount val="16"/>
                <c:pt idx="0">
                  <c:v>49</c:v>
                </c:pt>
                <c:pt idx="1">
                  <c:v>49</c:v>
                </c:pt>
                <c:pt idx="2">
                  <c:v>43</c:v>
                </c:pt>
                <c:pt idx="3">
                  <c:v>43</c:v>
                </c:pt>
                <c:pt idx="4">
                  <c:v>43</c:v>
                </c:pt>
                <c:pt idx="5">
                  <c:v>0.5</c:v>
                </c:pt>
                <c:pt idx="6">
                  <c:v>0.5</c:v>
                </c:pt>
                <c:pt idx="7">
                  <c:v>27</c:v>
                </c:pt>
                <c:pt idx="8">
                  <c:v>27</c:v>
                </c:pt>
                <c:pt idx="9">
                  <c:v>27</c:v>
                </c:pt>
                <c:pt idx="10">
                  <c:v>29</c:v>
                </c:pt>
                <c:pt idx="11">
                  <c:v>31</c:v>
                </c:pt>
                <c:pt idx="12">
                  <c:v>32</c:v>
                </c:pt>
                <c:pt idx="13">
                  <c:v>33</c:v>
                </c:pt>
                <c:pt idx="14">
                  <c:v>34</c:v>
                </c:pt>
                <c:pt idx="15">
                  <c:v>35</c:v>
                </c:pt>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109.29191186161</c:v>
                </c:pt>
                <c:pt idx="1">
                  <c:v>86.2919118616096</c:v>
                </c:pt>
                <c:pt idx="2">
                  <c:v>86.2919118616096</c:v>
                </c:pt>
                <c:pt idx="3">
                  <c:v>109.29191186161</c:v>
                </c:pt>
                <c:pt idx="4">
                  <c:v>86.2919118616096</c:v>
                </c:pt>
                <c:pt idx="5">
                  <c:v>86.2919118616096</c:v>
                </c:pt>
                <c:pt idx="6">
                  <c:v>101.29191186161</c:v>
                </c:pt>
                <c:pt idx="7">
                  <c:v>101.29191186161</c:v>
                </c:pt>
                <c:pt idx="8">
                  <c:v>86.2919118616096</c:v>
                </c:pt>
                <c:pt idx="9">
                  <c:v>101.29191186161</c:v>
                </c:pt>
                <c:pt idx="10">
                  <c:v>101.69191186161</c:v>
                </c:pt>
                <c:pt idx="11">
                  <c:v>102.49191186161</c:v>
                </c:pt>
                <c:pt idx="12">
                  <c:v>103.29191186161</c:v>
                </c:pt>
                <c:pt idx="13">
                  <c:v>104.29191186161</c:v>
                </c:pt>
                <c:pt idx="14">
                  <c:v>105.49191186161</c:v>
                </c:pt>
                <c:pt idx="15">
                  <c:v>109.29191186161</c:v>
                </c:pt>
              </c:numCache>
            </c:numRef>
          </c:xVal>
          <c:yVal>
            <c:numRef>
              <c:f>Trajecto!$B$161:$B$176</c:f>
              <c:numCache>
                <c:formatCode>General</c:formatCode>
                <c:ptCount val="16"/>
                <c:pt idx="0">
                  <c:v>49</c:v>
                </c:pt>
                <c:pt idx="1">
                  <c:v>49</c:v>
                </c:pt>
                <c:pt idx="2">
                  <c:v>43</c:v>
                </c:pt>
                <c:pt idx="3">
                  <c:v>43</c:v>
                </c:pt>
                <c:pt idx="4">
                  <c:v>43</c:v>
                </c:pt>
                <c:pt idx="5">
                  <c:v>0.5</c:v>
                </c:pt>
                <c:pt idx="6">
                  <c:v>0.5</c:v>
                </c:pt>
                <c:pt idx="7">
                  <c:v>27</c:v>
                </c:pt>
                <c:pt idx="8">
                  <c:v>27</c:v>
                </c:pt>
                <c:pt idx="9">
                  <c:v>27</c:v>
                </c:pt>
                <c:pt idx="10">
                  <c:v>29</c:v>
                </c:pt>
                <c:pt idx="11">
                  <c:v>31</c:v>
                </c:pt>
                <c:pt idx="12">
                  <c:v>32</c:v>
                </c:pt>
                <c:pt idx="13">
                  <c:v>33</c:v>
                </c:pt>
                <c:pt idx="14">
                  <c:v>34</c:v>
                </c:pt>
                <c:pt idx="15">
                  <c:v>35</c:v>
                </c:pt>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109.29191186161</c:v>
                </c:pt>
                <c:pt idx="1">
                  <c:v>109.29191186161</c:v>
                </c:pt>
                <c:pt idx="2">
                  <c:v>119.29191186161</c:v>
                </c:pt>
                <c:pt idx="3">
                  <c:v>109.29191186161</c:v>
                </c:pt>
                <c:pt idx="4">
                  <c:v>119.29191186161</c:v>
                </c:pt>
                <c:pt idx="5">
                  <c:v>122.29191186161</c:v>
                </c:pt>
                <c:pt idx="6">
                  <c:v>126.29191186161</c:v>
                </c:pt>
                <c:pt idx="7">
                  <c:v>129.29191186161</c:v>
                </c:pt>
                <c:pt idx="8">
                  <c:v>134.29191186161</c:v>
                </c:pt>
                <c:pt idx="9">
                  <c:v>139.29191186161</c:v>
                </c:pt>
                <c:pt idx="10">
                  <c:v>145.29191186161</c:v>
                </c:pt>
                <c:pt idx="11">
                  <c:v>157.29191186161</c:v>
                </c:pt>
                <c:pt idx="12">
                  <c:v>171.29191186161</c:v>
                </c:pt>
                <c:pt idx="13">
                  <c:v>146.29191186161</c:v>
                </c:pt>
                <c:pt idx="14">
                  <c:v>139.29191186161</c:v>
                </c:pt>
                <c:pt idx="15">
                  <c:v>124.29191186161</c:v>
                </c:pt>
                <c:pt idx="16">
                  <c:v>109.29191186161</c:v>
                </c:pt>
              </c:numCache>
            </c:numRef>
          </c:xVal>
          <c:yVal>
            <c:numRef>
              <c:f>Trajecto!$B$179:$B$195</c:f>
              <c:numCache>
                <c:formatCode>General</c:formatCode>
                <c:ptCount val="17"/>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109.29191186161</c:v>
                </c:pt>
                <c:pt idx="1">
                  <c:v>109.29191186161</c:v>
                </c:pt>
                <c:pt idx="2">
                  <c:v>99.2919118616096</c:v>
                </c:pt>
                <c:pt idx="3">
                  <c:v>109.29191186161</c:v>
                </c:pt>
                <c:pt idx="4">
                  <c:v>99.2919118616096</c:v>
                </c:pt>
                <c:pt idx="5">
                  <c:v>96.2919118616096</c:v>
                </c:pt>
                <c:pt idx="6">
                  <c:v>92.2919118616096</c:v>
                </c:pt>
                <c:pt idx="7">
                  <c:v>89.2919118616096</c:v>
                </c:pt>
                <c:pt idx="8">
                  <c:v>84.2919118616096</c:v>
                </c:pt>
                <c:pt idx="9">
                  <c:v>79.2919118616096</c:v>
                </c:pt>
                <c:pt idx="10">
                  <c:v>73.2919118616096</c:v>
                </c:pt>
                <c:pt idx="11">
                  <c:v>61.2919118616096</c:v>
                </c:pt>
                <c:pt idx="12">
                  <c:v>47.2919118616096</c:v>
                </c:pt>
                <c:pt idx="13">
                  <c:v>72.2919118616096</c:v>
                </c:pt>
                <c:pt idx="14">
                  <c:v>79.2919118616096</c:v>
                </c:pt>
                <c:pt idx="15">
                  <c:v>94.2919118616096</c:v>
                </c:pt>
                <c:pt idx="16">
                  <c:v>109.29191186161</c:v>
                </c:pt>
              </c:numCache>
            </c:numRef>
          </c:xVal>
          <c:yVal>
            <c:numRef>
              <c:f>Trajecto!$B$179:$B$195</c:f>
              <c:numCache>
                <c:formatCode>General</c:formatCode>
                <c:ptCount val="17"/>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109.29191186161</c:v>
                </c:pt>
                <c:pt idx="1">
                  <c:v>126.29191186161</c:v>
                </c:pt>
                <c:pt idx="2">
                  <c:v>120.29191186161</c:v>
                </c:pt>
                <c:pt idx="3">
                  <c:v>109.29191186161</c:v>
                </c:pt>
              </c:numCache>
            </c:numRef>
          </c:xVal>
          <c:yVal>
            <c:numRef>
              <c:f>Trajecto!$B$196:$B$199</c:f>
              <c:numCache>
                <c:formatCode>General</c:formatCode>
                <c:ptCount val="4"/>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109.29191186161</c:v>
                </c:pt>
                <c:pt idx="1">
                  <c:v>92.2919118616096</c:v>
                </c:pt>
                <c:pt idx="2">
                  <c:v>98.2919118616096</c:v>
                </c:pt>
                <c:pt idx="3">
                  <c:v>109.29191186161</c:v>
                </c:pt>
              </c:numCache>
            </c:numRef>
          </c:xVal>
          <c:yVal>
            <c:numRef>
              <c:f>Trajecto!$B$196:$B$199</c:f>
              <c:numCache>
                <c:formatCode>General</c:formatCode>
                <c:ptCount val="4"/>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r"/>
              <c:showLegendKey val="0"/>
              <c:showVal val="0"/>
              <c:showCatName val="0"/>
              <c:showSerName val="0"/>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160.578787393525</c:v>
                </c:pt>
                <c:pt idx="1">
                  <c:v>160.578787393525</c:v>
                </c:pt>
                <c:pt idx="2">
                  <c:v>160.578787393525</c:v>
                </c:pt>
                <c:pt idx="3">
                  <c:v>166.643223019211</c:v>
                </c:pt>
                <c:pt idx="4">
                  <c:v>160.578787393525</c:v>
                </c:pt>
                <c:pt idx="5">
                  <c:v>154.514351767839</c:v>
                </c:pt>
                <c:pt idx="6">
                  <c:v>160.578787393525</c:v>
                </c:pt>
              </c:numCache>
            </c:numRef>
          </c:xVal>
          <c:yVal>
            <c:numRef>
              <c:f>Trajecto!$C$121:$C$127</c:f>
              <c:numCache>
                <c:formatCode>General</c:formatCode>
                <c:ptCount val="7"/>
                <c:pt idx="0">
                  <c:v>242.577425027439</c:v>
                </c:pt>
                <c:pt idx="1">
                  <c:v>121.288712513719</c:v>
                </c:pt>
                <c:pt idx="2">
                  <c:v>0</c:v>
                </c:pt>
                <c:pt idx="3">
                  <c:v>12.128871251372</c:v>
                </c:pt>
                <c:pt idx="4">
                  <c:v>0</c:v>
                </c:pt>
                <c:pt idx="5">
                  <c:v>12.128871251372</c:v>
                </c:pt>
                <c:pt idx="6">
                  <c:v>0</c:v>
                </c:pt>
              </c:numCache>
            </c:numRef>
          </c:yVal>
          <c:smooth val="1"/>
        </c:ser>
        <c:axId val="92583426"/>
        <c:axId val="49329544"/>
      </c:scatterChart>
      <c:valAx>
        <c:axId val="92583426"/>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580848064201"/>
              <c:y val="0.84809830310122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9329544"/>
        <c:crosses val="autoZero"/>
        <c:crossBetween val="midCat"/>
      </c:valAx>
      <c:valAx>
        <c:axId val="49329544"/>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6614250081336"/>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92583426"/>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29397762438"/>
          <c:y val="0.0370977179637215"/>
        </c:manualLayout>
      </c:layout>
      <c:overlay val="0"/>
      <c:spPr>
        <a:noFill/>
        <a:ln w="25560">
          <a:noFill/>
        </a:ln>
      </c:spPr>
    </c:title>
    <c:autoTitleDeleted val="0"/>
    <c:plotArea>
      <c:layout>
        <c:manualLayout>
          <c:layoutTarget val="inner"/>
          <c:xMode val="edge"/>
          <c:yMode val="edge"/>
          <c:x val="0.0766484170435611"/>
          <c:y val="0.0355763604447045"/>
          <c:w val="0.893120685551059"/>
          <c:h val="0.895962551199532"/>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315.77942584937</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210">
                  <c:v>3</c:v>
                </c:pt>
                <c:pt idx="220">
                  <c:v>4</c:v>
                </c:pt>
                <c:pt idx="230">
                  <c:v>5</c:v>
                </c:pt>
                <c:pt idx="240">
                  <c:v>6</c:v>
                </c:pt>
                <c:pt idx="250">
                  <c:v>6.99999999999999</c:v>
                </c:pt>
                <c:pt idx="260">
                  <c:v>7.99999999999999</c:v>
                </c:pt>
                <c:pt idx="270">
                  <c:v>8.99999999999999</c:v>
                </c:pt>
                <c:pt idx="280">
                  <c:v>9.99999999999998</c:v>
                </c:pt>
                <c:pt idx="290">
                  <c:v>11</c:v>
                </c:pt>
                <c:pt idx="300">
                  <c:v>12</c:v>
                </c:pt>
                <c:pt idx="310">
                  <c:v>13</c:v>
                </c:pt>
                <c:pt idx="320">
                  <c:v>14</c:v>
                </c:pt>
                <c:pt idx="330">
                  <c:v>15</c:v>
                </c:pt>
                <c:pt idx="340">
                  <c:v>16</c:v>
                </c:pt>
              </c:numCache>
            </c:numRef>
          </c:xVal>
          <c:yVal>
            <c:numRef>
              <c:f>Calculs!$K$4:$K$1004</c:f>
              <c:numCache>
                <c:formatCode>General</c:formatCode>
                <c:ptCount val="1001"/>
                <c:pt idx="0">
                  <c:v>0</c:v>
                </c:pt>
                <c:pt idx="1">
                  <c:v>0.00149761157315366</c:v>
                </c:pt>
                <c:pt idx="2">
                  <c:v>0.00994086543666655</c:v>
                </c:pt>
                <c:pt idx="3">
                  <c:v>0.0309449661824849</c:v>
                </c:pt>
                <c:pt idx="4">
                  <c:v>0.0655473254807626</c:v>
                </c:pt>
                <c:pt idx="5">
                  <c:v>0.112794928389273</c:v>
                </c:pt>
                <c:pt idx="6">
                  <c:v>0.172339135868416</c:v>
                </c:pt>
                <c:pt idx="7">
                  <c:v>0.244133794910506</c:v>
                </c:pt>
                <c:pt idx="8">
                  <c:v>0.328132439080203</c:v>
                </c:pt>
                <c:pt idx="9">
                  <c:v>0.424288290701774</c:v>
                </c:pt>
                <c:pt idx="10">
                  <c:v>0.532554263071725</c:v>
                </c:pt>
                <c:pt idx="11">
                  <c:v>0.652882962696385</c:v>
                </c:pt>
                <c:pt idx="12">
                  <c:v>0.785226691554009</c:v>
                </c:pt>
                <c:pt idx="13">
                  <c:v>0.92953744938099</c:v>
                </c:pt>
                <c:pt idx="14">
                  <c:v>1.08576693598176</c:v>
                </c:pt>
                <c:pt idx="15">
                  <c:v>1.2538665535619</c:v>
                </c:pt>
                <c:pt idx="16">
                  <c:v>1.43378740908412</c:v>
                </c:pt>
                <c:pt idx="17">
                  <c:v>1.62548031664655</c:v>
                </c:pt>
                <c:pt idx="18">
                  <c:v>1.82889579988301</c:v>
                </c:pt>
                <c:pt idx="19">
                  <c:v>2.04398409438469</c:v>
                </c:pt>
                <c:pt idx="20">
                  <c:v>2.27069515014293</c:v>
                </c:pt>
                <c:pt idx="21">
                  <c:v>2.50897863401254</c:v>
                </c:pt>
                <c:pt idx="22">
                  <c:v>2.75876913185433</c:v>
                </c:pt>
                <c:pt idx="23">
                  <c:v>3.02000024285186</c:v>
                </c:pt>
                <c:pt idx="24">
                  <c:v>3.29261940370578</c:v>
                </c:pt>
                <c:pt idx="25">
                  <c:v>3.57657382859159</c:v>
                </c:pt>
                <c:pt idx="26">
                  <c:v>3.87181051756387</c:v>
                </c:pt>
                <c:pt idx="27">
                  <c:v>4.17827625525355</c:v>
                </c:pt>
                <c:pt idx="28">
                  <c:v>4.4959176100076</c:v>
                </c:pt>
                <c:pt idx="29">
                  <c:v>4.8246809334096</c:v>
                </c:pt>
                <c:pt idx="30">
                  <c:v>5.16451236013052</c:v>
                </c:pt>
                <c:pt idx="31">
                  <c:v>5.51535780806741</c:v>
                </c:pt>
                <c:pt idx="32">
                  <c:v>5.87716297873451</c:v>
                </c:pt>
                <c:pt idx="33">
                  <c:v>6.24987335787673</c:v>
                </c:pt>
                <c:pt idx="34">
                  <c:v>6.63343421628008</c:v>
                </c:pt>
                <c:pt idx="35">
                  <c:v>7.02779061075713</c:v>
                </c:pt>
                <c:pt idx="36">
                  <c:v>7.43288738528883</c:v>
                </c:pt>
                <c:pt idx="37">
                  <c:v>7.84866917230639</c:v>
                </c:pt>
                <c:pt idx="38">
                  <c:v>8.27508039409912</c:v>
                </c:pt>
                <c:pt idx="39">
                  <c:v>8.71206526433602</c:v>
                </c:pt>
                <c:pt idx="40">
                  <c:v>9.15956778969014</c:v>
                </c:pt>
                <c:pt idx="41">
                  <c:v>9.61753177155636</c:v>
                </c:pt>
                <c:pt idx="42">
                  <c:v>10.085900807854</c:v>
                </c:pt>
                <c:pt idx="43">
                  <c:v>10.5646182949072</c:v>
                </c:pt>
                <c:pt idx="44">
                  <c:v>11.0536274293952</c:v>
                </c:pt>
                <c:pt idx="45">
                  <c:v>11.552871210369</c:v>
                </c:pt>
                <c:pt idx="46">
                  <c:v>12.0622924413253</c:v>
                </c:pt>
                <c:pt idx="47">
                  <c:v>12.5818337323372</c:v>
                </c:pt>
                <c:pt idx="48">
                  <c:v>13.1114375022334</c:v>
                </c:pt>
                <c:pt idx="49">
                  <c:v>13.6510459808248</c:v>
                </c:pt>
                <c:pt idx="50">
                  <c:v>14.2006012111725</c:v>
                </c:pt>
                <c:pt idx="51">
                  <c:v>14.7600450518965</c:v>
                </c:pt>
                <c:pt idx="52">
                  <c:v>15.3293191795192</c:v>
                </c:pt>
                <c:pt idx="53">
                  <c:v>15.9083650908437</c:v>
                </c:pt>
                <c:pt idx="54">
                  <c:v>16.4971241053613</c:v>
                </c:pt>
                <c:pt idx="55">
                  <c:v>17.0955373676895</c:v>
                </c:pt>
                <c:pt idx="56">
                  <c:v>17.7035458500344</c:v>
                </c:pt>
                <c:pt idx="57">
                  <c:v>18.3210903546783</c:v>
                </c:pt>
                <c:pt idx="58">
                  <c:v>18.9481115164897</c:v>
                </c:pt>
                <c:pt idx="59">
                  <c:v>19.5845498054528</c:v>
                </c:pt>
                <c:pt idx="60">
                  <c:v>20.2303455292171</c:v>
                </c:pt>
                <c:pt idx="61">
                  <c:v>20.8854388356633</c:v>
                </c:pt>
                <c:pt idx="62">
                  <c:v>21.5497697154852</c:v>
                </c:pt>
                <c:pt idx="63">
                  <c:v>22.2232511580769</c:v>
                </c:pt>
                <c:pt idx="64">
                  <c:v>22.9057422793436</c:v>
                </c:pt>
                <c:pt idx="65">
                  <c:v>23.5970751444598</c:v>
                </c:pt>
                <c:pt idx="66">
                  <c:v>24.297081622634</c:v>
                </c:pt>
                <c:pt idx="67">
                  <c:v>25.005568764452</c:v>
                </c:pt>
                <c:pt idx="68">
                  <c:v>25.7222941592072</c:v>
                </c:pt>
                <c:pt idx="69">
                  <c:v>26.4469467340393</c:v>
                </c:pt>
                <c:pt idx="70">
                  <c:v>27.1791275513389</c:v>
                </c:pt>
                <c:pt idx="71">
                  <c:v>27.9183936510392</c:v>
                </c:pt>
                <c:pt idx="72">
                  <c:v>28.6643019319154</c:v>
                </c:pt>
                <c:pt idx="73">
                  <c:v>29.4164091961913</c:v>
                </c:pt>
                <c:pt idx="74">
                  <c:v>30.1742721933886</c:v>
                </c:pt>
                <c:pt idx="75">
                  <c:v>30.9374476634028</c:v>
                </c:pt>
                <c:pt idx="76">
                  <c:v>31.7054923787871</c:v>
                </c:pt>
                <c:pt idx="77">
                  <c:v>32.4779631862312</c:v>
                </c:pt>
                <c:pt idx="78">
                  <c:v>33.2544170472194</c:v>
                </c:pt>
                <c:pt idx="79">
                  <c:v>34.0344110778551</c:v>
                </c:pt>
                <c:pt idx="80">
                  <c:v>34.8175025878409</c:v>
                </c:pt>
                <c:pt idx="81">
                  <c:v>35.6033013345865</c:v>
                </c:pt>
                <c:pt idx="82">
                  <c:v>36.3915217448462</c:v>
                </c:pt>
                <c:pt idx="83">
                  <c:v>37.1819306492936</c:v>
                </c:pt>
                <c:pt idx="84">
                  <c:v>37.9742950357498</c:v>
                </c:pt>
                <c:pt idx="85">
                  <c:v>38.7683820599819</c:v>
                </c:pt>
                <c:pt idx="86">
                  <c:v>39.563959056254</c:v>
                </c:pt>
                <c:pt idx="87">
                  <c:v>40.3607935476303</c:v>
                </c:pt>
                <c:pt idx="88">
                  <c:v>41.1586532560274</c:v>
                </c:pt>
                <c:pt idx="89">
                  <c:v>41.9573226144923</c:v>
                </c:pt>
                <c:pt idx="90">
                  <c:v>42.7566192634275</c:v>
                </c:pt>
                <c:pt idx="91">
                  <c:v>43.5563775226215</c:v>
                </c:pt>
                <c:pt idx="92">
                  <c:v>44.3564318767097</c:v>
                </c:pt>
                <c:pt idx="93">
                  <c:v>45.1566211060552</c:v>
                </c:pt>
                <c:pt idx="94">
                  <c:v>45.9567924130316</c:v>
                </c:pt>
                <c:pt idx="95">
                  <c:v>46.7567972907362</c:v>
                </c:pt>
                <c:pt idx="96">
                  <c:v>47.5564873956476</c:v>
                </c:pt>
                <c:pt idx="97">
                  <c:v>48.3557310564116</c:v>
                </c:pt>
                <c:pt idx="98">
                  <c:v>49.1544297628562</c:v>
                </c:pt>
                <c:pt idx="99">
                  <c:v>49.9525016237902</c:v>
                </c:pt>
                <c:pt idx="100">
                  <c:v>50.749864843289</c:v>
                </c:pt>
                <c:pt idx="101">
                  <c:v>51.5464377214809</c:v>
                </c:pt>
                <c:pt idx="102">
                  <c:v>52.3421386553031</c:v>
                </c:pt>
                <c:pt idx="103">
                  <c:v>53.136886139228</c:v>
                </c:pt>
                <c:pt idx="104">
                  <c:v>53.930598765958</c:v>
                </c:pt>
                <c:pt idx="105">
                  <c:v>54.7231952270908</c:v>
                </c:pt>
                <c:pt idx="106">
                  <c:v>55.5145943137544</c:v>
                </c:pt>
                <c:pt idx="107">
                  <c:v>56.3047149172125</c:v>
                </c:pt>
                <c:pt idx="108">
                  <c:v>57.0934760294402</c:v>
                </c:pt>
                <c:pt idx="109">
                  <c:v>57.8808173678719</c:v>
                </c:pt>
                <c:pt idx="110">
                  <c:v>58.6667199721302</c:v>
                </c:pt>
                <c:pt idx="111">
                  <c:v>59.4511855264254</c:v>
                </c:pt>
                <c:pt idx="112">
                  <c:v>60.2342157097029</c:v>
                </c:pt>
                <c:pt idx="113">
                  <c:v>61.0158121956622</c:v>
                </c:pt>
                <c:pt idx="114">
                  <c:v>61.7959766527747</c:v>
                </c:pt>
                <c:pt idx="115">
                  <c:v>62.5747107443026</c:v>
                </c:pt>
                <c:pt idx="116">
                  <c:v>63.352016128317</c:v>
                </c:pt>
                <c:pt idx="117">
                  <c:v>64.1278944577163</c:v>
                </c:pt>
                <c:pt idx="118">
                  <c:v>64.9023473802442</c:v>
                </c:pt>
                <c:pt idx="119">
                  <c:v>65.6753765385076</c:v>
                </c:pt>
                <c:pt idx="120">
                  <c:v>66.4469835699949</c:v>
                </c:pt>
                <c:pt idx="121">
                  <c:v>67.2171701070938</c:v>
                </c:pt>
                <c:pt idx="122">
                  <c:v>67.9859377771088</c:v>
                </c:pt>
                <c:pt idx="123">
                  <c:v>68.7532882022793</c:v>
                </c:pt>
                <c:pt idx="124">
                  <c:v>69.519222999797</c:v>
                </c:pt>
                <c:pt idx="125">
                  <c:v>70.2837437818233</c:v>
                </c:pt>
                <c:pt idx="126">
                  <c:v>71.0468521555073</c:v>
                </c:pt>
                <c:pt idx="127">
                  <c:v>71.8085497230025</c:v>
                </c:pt>
                <c:pt idx="128">
                  <c:v>72.5688380814847</c:v>
                </c:pt>
                <c:pt idx="129">
                  <c:v>73.3277188231688</c:v>
                </c:pt>
                <c:pt idx="130">
                  <c:v>74.085193535326</c:v>
                </c:pt>
                <c:pt idx="131">
                  <c:v>74.8412638003011</c:v>
                </c:pt>
                <c:pt idx="132">
                  <c:v>75.5959311955291</c:v>
                </c:pt>
                <c:pt idx="133">
                  <c:v>76.3491972935525</c:v>
                </c:pt>
                <c:pt idx="134">
                  <c:v>77.1010636620376</c:v>
                </c:pt>
                <c:pt idx="135">
                  <c:v>77.8515318637919</c:v>
                </c:pt>
                <c:pt idx="136">
                  <c:v>78.6006034567801</c:v>
                </c:pt>
                <c:pt idx="137">
                  <c:v>79.348279994141</c:v>
                </c:pt>
                <c:pt idx="138">
                  <c:v>80.0945630242041</c:v>
                </c:pt>
                <c:pt idx="139">
                  <c:v>80.8394540905058</c:v>
                </c:pt>
                <c:pt idx="140">
                  <c:v>81.5829547318057</c:v>
                </c:pt>
                <c:pt idx="141">
                  <c:v>82.3250664821031</c:v>
                </c:pt>
                <c:pt idx="142">
                  <c:v>83.0657908706532</c:v>
                </c:pt>
                <c:pt idx="143">
                  <c:v>83.805129421983</c:v>
                </c:pt>
                <c:pt idx="144">
                  <c:v>84.5430836559073</c:v>
                </c:pt>
                <c:pt idx="145">
                  <c:v>85.279655087545</c:v>
                </c:pt>
                <c:pt idx="146">
                  <c:v>86.0148452273348</c:v>
                </c:pt>
                <c:pt idx="147">
                  <c:v>86.7486555810509</c:v>
                </c:pt>
                <c:pt idx="148">
                  <c:v>87.4810876498189</c:v>
                </c:pt>
                <c:pt idx="149">
                  <c:v>88.2121429301315</c:v>
                </c:pt>
                <c:pt idx="150">
                  <c:v>88.9418229138639</c:v>
                </c:pt>
                <c:pt idx="151">
                  <c:v>89.6701290882897</c:v>
                </c:pt>
                <c:pt idx="152">
                  <c:v>90.3970629360958</c:v>
                </c:pt>
                <c:pt idx="153">
                  <c:v>91.1226259353983</c:v>
                </c:pt>
                <c:pt idx="154">
                  <c:v>91.8468195597576</c:v>
                </c:pt>
                <c:pt idx="155">
                  <c:v>92.5696452781936</c:v>
                </c:pt>
                <c:pt idx="156">
                  <c:v>93.2911045552008</c:v>
                </c:pt>
                <c:pt idx="157">
                  <c:v>94.0111988507638</c:v>
                </c:pt>
                <c:pt idx="158">
                  <c:v>94.7299296203718</c:v>
                </c:pt>
                <c:pt idx="159">
                  <c:v>95.4472983150339</c:v>
                </c:pt>
                <c:pt idx="160">
                  <c:v>96.1633063812938</c:v>
                </c:pt>
                <c:pt idx="161">
                  <c:v>96.8779552612449</c:v>
                </c:pt>
                <c:pt idx="162">
                  <c:v>97.5912463925448</c:v>
                </c:pt>
                <c:pt idx="163">
                  <c:v>98.3031812084299</c:v>
                </c:pt>
                <c:pt idx="164">
                  <c:v>99.0137611377304</c:v>
                </c:pt>
                <c:pt idx="165">
                  <c:v>99.7229876048845</c:v>
                </c:pt>
                <c:pt idx="166">
                  <c:v>100.430862029953</c:v>
                </c:pt>
                <c:pt idx="167">
                  <c:v>101.137385828634</c:v>
                </c:pt>
                <c:pt idx="168">
                  <c:v>101.842560412277</c:v>
                </c:pt>
                <c:pt idx="169">
                  <c:v>102.546387187896</c:v>
                </c:pt>
                <c:pt idx="170">
                  <c:v>103.248867558187</c:v>
                </c:pt>
                <c:pt idx="171">
                  <c:v>103.950002921538</c:v>
                </c:pt>
                <c:pt idx="172">
                  <c:v>104.649794672047</c:v>
                </c:pt>
                <c:pt idx="173">
                  <c:v>105.348244199532</c:v>
                </c:pt>
                <c:pt idx="174">
                  <c:v>106.04535288955</c:v>
                </c:pt>
                <c:pt idx="175">
                  <c:v>106.741122123405</c:v>
                </c:pt>
                <c:pt idx="176">
                  <c:v>107.435553278166</c:v>
                </c:pt>
                <c:pt idx="177">
                  <c:v>108.128647726681</c:v>
                </c:pt>
                <c:pt idx="178">
                  <c:v>108.820406837588</c:v>
                </c:pt>
                <c:pt idx="179">
                  <c:v>109.51083197533</c:v>
                </c:pt>
                <c:pt idx="180">
                  <c:v>110.199924500169</c:v>
                </c:pt>
                <c:pt idx="181">
                  <c:v>110.887685768199</c:v>
                </c:pt>
                <c:pt idx="182">
                  <c:v>111.574117131359</c:v>
                </c:pt>
                <c:pt idx="183">
                  <c:v>112.259219937448</c:v>
                </c:pt>
                <c:pt idx="184">
                  <c:v>112.942995530137</c:v>
                </c:pt>
                <c:pt idx="185">
                  <c:v>113.625445248982</c:v>
                </c:pt>
                <c:pt idx="186">
                  <c:v>114.306570429438</c:v>
                </c:pt>
                <c:pt idx="187">
                  <c:v>114.986372402872</c:v>
                </c:pt>
                <c:pt idx="188">
                  <c:v>115.664852496577</c:v>
                </c:pt>
                <c:pt idx="189">
                  <c:v>116.342012033783</c:v>
                </c:pt>
                <c:pt idx="190">
                  <c:v>117.017852333672</c:v>
                </c:pt>
                <c:pt idx="191">
                  <c:v>117.692374711388</c:v>
                </c:pt>
                <c:pt idx="192">
                  <c:v>118.365580478055</c:v>
                </c:pt>
                <c:pt idx="193">
                  <c:v>119.037470940784</c:v>
                </c:pt>
                <c:pt idx="194">
                  <c:v>119.70804740269</c:v>
                </c:pt>
                <c:pt idx="195">
                  <c:v>120.377311162903</c:v>
                </c:pt>
                <c:pt idx="196">
                  <c:v>121.045263516579</c:v>
                </c:pt>
                <c:pt idx="197">
                  <c:v>121.711905754917</c:v>
                </c:pt>
                <c:pt idx="198">
                  <c:v>122.377239165167</c:v>
                </c:pt>
                <c:pt idx="199">
                  <c:v>123.041265030645</c:v>
                </c:pt>
                <c:pt idx="200">
                  <c:v>123.703984630745</c:v>
                </c:pt>
                <c:pt idx="201">
                  <c:v>130.259434842014</c:v>
                </c:pt>
                <c:pt idx="202">
                  <c:v>136.685078590675</c:v>
                </c:pt>
                <c:pt idx="203">
                  <c:v>142.982154502811</c:v>
                </c:pt>
                <c:pt idx="204">
                  <c:v>149.151863640917</c:v>
                </c:pt>
                <c:pt idx="205">
                  <c:v>155.195370648685</c:v>
                </c:pt>
                <c:pt idx="206">
                  <c:v>161.11380484575</c:v>
                </c:pt>
                <c:pt idx="207">
                  <c:v>166.908261274865</c:v>
                </c:pt>
                <c:pt idx="208">
                  <c:v>172.579801703789</c:v>
                </c:pt>
                <c:pt idx="209">
                  <c:v>178.129455584094</c:v>
                </c:pt>
                <c:pt idx="210">
                  <c:v>183.558220968917</c:v>
                </c:pt>
                <c:pt idx="211">
                  <c:v>188.867065391609</c:v>
                </c:pt>
                <c:pt idx="212">
                  <c:v>194.056926707098</c:v>
                </c:pt>
                <c:pt idx="213">
                  <c:v>199.128713897703</c:v>
                </c:pt>
                <c:pt idx="214">
                  <c:v>204.083307845015</c:v>
                </c:pt>
                <c:pt idx="215">
                  <c:v>208.92156206941</c:v>
                </c:pt>
                <c:pt idx="216">
                  <c:v>213.644303438631</c:v>
                </c:pt>
                <c:pt idx="217">
                  <c:v>218.252332846838</c:v>
                </c:pt>
                <c:pt idx="218">
                  <c:v>222.746425865443</c:v>
                </c:pt>
                <c:pt idx="219">
                  <c:v>227.127333366955</c:v>
                </c:pt>
                <c:pt idx="220">
                  <c:v>231.395782123044</c:v>
                </c:pt>
                <c:pt idx="221">
                  <c:v>235.552475377935</c:v>
                </c:pt>
                <c:pt idx="222">
                  <c:v>239.598093398214</c:v>
                </c:pt>
                <c:pt idx="223">
                  <c:v>243.533294000073</c:v>
                </c:pt>
                <c:pt idx="224">
                  <c:v>247.358713054975</c:v>
                </c:pt>
                <c:pt idx="225">
                  <c:v>251.074964974691</c:v>
                </c:pt>
                <c:pt idx="226">
                  <c:v>254.682643176604</c:v>
                </c:pt>
                <c:pt idx="227">
                  <c:v>258.182320530185</c:v>
                </c:pt>
                <c:pt idx="228">
                  <c:v>261.574549785476</c:v>
                </c:pt>
                <c:pt idx="229">
                  <c:v>264.859863984431</c:v>
                </c:pt>
                <c:pt idx="230">
                  <c:v>268.038776855943</c:v>
                </c:pt>
                <c:pt idx="231">
                  <c:v>271.111783195368</c:v>
                </c:pt>
                <c:pt idx="232">
                  <c:v>274.079359229376</c:v>
                </c:pt>
                <c:pt idx="233">
                  <c:v>276.941962966974</c:v>
                </c:pt>
                <c:pt idx="234">
                  <c:v>279.700034537537</c:v>
                </c:pt>
                <c:pt idx="235">
                  <c:v>282.353996516769</c:v>
                </c:pt>
                <c:pt idx="236">
                  <c:v>284.904254241518</c:v>
                </c:pt>
                <c:pt idx="237">
                  <c:v>287.351196114468</c:v>
                </c:pt>
                <c:pt idx="238">
                  <c:v>289.695193899829</c:v>
                </c:pt>
                <c:pt idx="239">
                  <c:v>291.936603011229</c:v>
                </c:pt>
                <c:pt idx="240">
                  <c:v>294.075762793215</c:v>
                </c:pt>
                <c:pt idx="241">
                  <c:v>296.11299679793</c:v>
                </c:pt>
                <c:pt idx="242">
                  <c:v>298.048613058807</c:v>
                </c:pt>
                <c:pt idx="243">
                  <c:v>299.882904363398</c:v>
                </c:pt>
                <c:pt idx="244">
                  <c:v>301.61614852789</c:v>
                </c:pt>
                <c:pt idx="245">
                  <c:v>303.24860867629</c:v>
                </c:pt>
                <c:pt idx="246">
                  <c:v>304.780533527887</c:v>
                </c:pt>
                <c:pt idx="247">
                  <c:v>306.212157697298</c:v>
                </c:pt>
                <c:pt idx="248">
                  <c:v>307.543702012255</c:v>
                </c:pt>
                <c:pt idx="249">
                  <c:v>308.775373855343</c:v>
                </c:pt>
                <c:pt idx="250">
                  <c:v>309.907367537041</c:v>
                </c:pt>
                <c:pt idx="251">
                  <c:v>310.939864708734</c:v>
                </c:pt>
                <c:pt idx="252">
                  <c:v>311.873034825793</c:v>
                </c:pt>
                <c:pt idx="253">
                  <c:v>312.707035672151</c:v>
                </c:pt>
                <c:pt idx="254">
                  <c:v>313.442013959001</c:v>
                </c:pt>
                <c:pt idx="255">
                  <c:v>314.078106010923</c:v>
                </c:pt>
                <c:pt idx="256">
                  <c:v>314.615438552569</c:v>
                </c:pt>
                <c:pt idx="257">
                  <c:v>315.054129607607</c:v>
                </c:pt>
                <c:pt idx="258">
                  <c:v>315.394289518347</c:v>
                </c:pt>
                <c:pt idx="259">
                  <c:v>315.636022089161</c:v>
                </c:pt>
                <c:pt idx="260">
                  <c:v>315.77942584937</c:v>
                </c:pt>
                <c:pt idx="261">
                  <c:v>315.824595422082</c:v>
                </c:pt>
                <c:pt idx="262">
                  <c:v>315.771622975766</c:v>
                </c:pt>
                <c:pt idx="263">
                  <c:v>315.620599726499</c:v>
                </c:pt>
                <c:pt idx="264">
                  <c:v>315.37161745262</c:v>
                </c:pt>
                <c:pt idx="265">
                  <c:v>315.024769981269</c:v>
                </c:pt>
                <c:pt idx="266">
                  <c:v>314.58015460848</c:v>
                </c:pt>
                <c:pt idx="267">
                  <c:v>314.037873420721</c:v>
                </c:pt>
                <c:pt idx="268">
                  <c:v>313.398034494531</c:v>
                </c:pt>
                <c:pt idx="269">
                  <c:v>312.660752960771</c:v>
                </c:pt>
                <c:pt idx="270">
                  <c:v>311.826151929127</c:v>
                </c:pt>
                <c:pt idx="271">
                  <c:v>310.894363276055</c:v>
                </c:pt>
                <c:pt idx="272">
                  <c:v>309.865528304702</c:v>
                </c:pt>
                <c:pt idx="273">
                  <c:v>308.739798288604</c:v>
                </c:pt>
                <c:pt idx="274">
                  <c:v>307.517334912389</c:v>
                </c:pt>
                <c:pt idx="275">
                  <c:v>306.198310622879</c:v>
                </c:pt>
                <c:pt idx="276">
                  <c:v>304.782908903259</c:v>
                </c:pt>
                <c:pt idx="277">
                  <c:v>303.271324481749</c:v>
                </c:pt>
                <c:pt idx="278">
                  <c:v>301.663763484855</c:v>
                </c:pt>
                <c:pt idx="279">
                  <c:v>299.960443543796</c:v>
                </c:pt>
                <c:pt idx="280">
                  <c:v>298.1615938614</c:v>
                </c:pt>
                <c:pt idx="281">
                  <c:v>296.267455245539</c:v>
                </c:pt>
                <c:pt idx="282">
                  <c:v>294.278280114138</c:v>
                </c:pt>
                <c:pt idx="283">
                  <c:v>292.194332475928</c:v>
                </c:pt>
                <c:pt idx="284">
                  <c:v>290.015887890361</c:v>
                </c:pt>
                <c:pt idx="285">
                  <c:v>287.743233409507</c:v>
                </c:pt>
                <c:pt idx="286">
                  <c:v>285.376667504276</c:v>
                </c:pt>
                <c:pt idx="287">
                  <c:v>282.916499976872</c:v>
                </c:pt>
                <c:pt idx="288">
                  <c:v>280.363051861099</c:v>
                </c:pt>
                <c:pt idx="289">
                  <c:v>277.716655311842</c:v>
                </c:pt>
                <c:pt idx="290">
                  <c:v>274.977653484862</c:v>
                </c:pt>
                <c:pt idx="291">
                  <c:v>272.146400407841</c:v>
                </c:pt>
                <c:pt idx="292">
                  <c:v>269.223260843513</c:v>
                </c:pt>
                <c:pt idx="293">
                  <c:v>266.208610145553</c:v>
                </c:pt>
                <c:pt idx="294">
                  <c:v>263.102834107855</c:v>
                </c:pt>
                <c:pt idx="295">
                  <c:v>259.906328807727</c:v>
                </c:pt>
                <c:pt idx="296">
                  <c:v>256.619500443462</c:v>
                </c:pt>
                <c:pt idx="297">
                  <c:v>253.242765166734</c:v>
                </c:pt>
                <c:pt idx="298">
                  <c:v>249.776548910171</c:v>
                </c:pt>
                <c:pt idx="299">
                  <c:v>246.221287210483</c:v>
                </c:pt>
                <c:pt idx="300">
                  <c:v>242.577425027439</c:v>
                </c:pt>
                <c:pt idx="301">
                  <c:v>238.845416559016</c:v>
                </c:pt>
                <c:pt idx="302">
                  <c:v>235.025725052977</c:v>
                </c:pt>
                <c:pt idx="303">
                  <c:v>231.11882261515</c:v>
                </c:pt>
                <c:pt idx="304">
                  <c:v>227.125190014666</c:v>
                </c:pt>
                <c:pt idx="305">
                  <c:v>223.045316486372</c:v>
                </c:pt>
                <c:pt idx="306">
                  <c:v>218.879699530671</c:v>
                </c:pt>
                <c:pt idx="307">
                  <c:v>214.628844710986</c:v>
                </c:pt>
                <c:pt idx="308">
                  <c:v>210.293265449077</c:v>
                </c:pt>
                <c:pt idx="309">
                  <c:v>205.873482818408</c:v>
                </c:pt>
                <c:pt idx="310">
                  <c:v>201.370025335761</c:v>
                </c:pt>
                <c:pt idx="311">
                  <c:v>196.783428751304</c:v>
                </c:pt>
                <c:pt idx="312">
                  <c:v>192.114235837282</c:v>
                </c:pt>
                <c:pt idx="313">
                  <c:v>187.362996175533</c:v>
                </c:pt>
                <c:pt idx="314">
                  <c:v>182.530265944007</c:v>
                </c:pt>
                <c:pt idx="315">
                  <c:v>177.616607702456</c:v>
                </c:pt>
                <c:pt idx="316">
                  <c:v>172.622590177472</c:v>
                </c:pt>
                <c:pt idx="317">
                  <c:v>167.548788047049</c:v>
                </c:pt>
                <c:pt idx="318">
                  <c:v>162.395781724827</c:v>
                </c:pt>
                <c:pt idx="319">
                  <c:v>157.164157144174</c:v>
                </c:pt>
                <c:pt idx="320">
                  <c:v>151.854505542285</c:v>
                </c:pt>
                <c:pt idx="321">
                  <c:v>146.467423244423</c:v>
                </c:pt>
                <c:pt idx="322">
                  <c:v>141.003511448485</c:v>
                </c:pt>
                <c:pt idx="323">
                  <c:v>135.463376010014</c:v>
                </c:pt>
                <c:pt idx="324">
                  <c:v>129.847627227815</c:v>
                </c:pt>
                <c:pt idx="325">
                  <c:v>124.156879630311</c:v>
                </c:pt>
                <c:pt idx="326">
                  <c:v>118.391751762781</c:v>
                </c:pt>
                <c:pt idx="327">
                  <c:v>112.5528659756</c:v>
                </c:pt>
                <c:pt idx="328">
                  <c:v>106.640848213625</c:v>
                </c:pt>
                <c:pt idx="329">
                  <c:v>100.656327806845</c:v>
                </c:pt>
                <c:pt idx="330">
                  <c:v>94.5999372624113</c:v>
                </c:pt>
                <c:pt idx="331">
                  <c:v>88.4723120581828</c:v>
                </c:pt>
                <c:pt idx="332">
                  <c:v>82.2740904378779</c:v>
                </c:pt>
                <c:pt idx="333">
                  <c:v>76.0059132079617</c:v>
                </c:pt>
                <c:pt idx="334">
                  <c:v>69.6684235363634</c:v>
                </c:pt>
                <c:pt idx="335">
                  <c:v>63.2622667531313</c:v>
                </c:pt>
                <c:pt idx="336">
                  <c:v>56.788090153121</c:v>
                </c:pt>
                <c:pt idx="337">
                  <c:v>50.2465428008116</c:v>
                </c:pt>
                <c:pt idx="338">
                  <c:v>43.6382753373412</c:v>
                </c:pt>
                <c:pt idx="339">
                  <c:v>36.9639397898459</c:v>
                </c:pt>
                <c:pt idx="340">
                  <c:v>30.2241893831857</c:v>
                </c:pt>
                <c:pt idx="341">
                  <c:v>23.4196783541361</c:v>
                </c:pt>
                <c:pt idx="342">
                  <c:v>16.5510617681181</c:v>
                </c:pt>
                <c:pt idx="343">
                  <c:v>9.6189953385379</c:v>
                </c:pt>
                <c:pt idx="344">
                  <c:v>2.62413524880365</c:v>
                </c:pt>
                <c:pt idx="345">
                  <c:v>-4.43286202292057</c:v>
                </c:pt>
                <c:pt idx="346">
                  <c:v>-4.43994995521391</c:v>
                </c:pt>
                <c:pt idx="347">
                  <c:v>-4.44703794865919</c:v>
                </c:pt>
                <c:pt idx="348">
                  <c:v>-4.45412600325577</c:v>
                </c:pt>
                <c:pt idx="349">
                  <c:v>-4.46121411900298</c:v>
                </c:pt>
                <c:pt idx="350">
                  <c:v>-4.46830229590018</c:v>
                </c:pt>
                <c:pt idx="351">
                  <c:v>-4.47539053394671</c:v>
                </c:pt>
                <c:pt idx="352">
                  <c:v>-4.48247883314192</c:v>
                </c:pt>
                <c:pt idx="353">
                  <c:v>-4.48956719348516</c:v>
                </c:pt>
                <c:pt idx="354">
                  <c:v>-4.49665561497577</c:v>
                </c:pt>
                <c:pt idx="355">
                  <c:v>-4.5037440976131</c:v>
                </c:pt>
                <c:pt idx="356">
                  <c:v>-4.5108326413965</c:v>
                </c:pt>
                <c:pt idx="357">
                  <c:v>-4.51792124632531</c:v>
                </c:pt>
                <c:pt idx="358">
                  <c:v>-4.52500991239888</c:v>
                </c:pt>
                <c:pt idx="359">
                  <c:v>-4.53209863961656</c:v>
                </c:pt>
                <c:pt idx="360">
                  <c:v>-4.53918742797769</c:v>
                </c:pt>
                <c:pt idx="361">
                  <c:v>-4.54627627748162</c:v>
                </c:pt>
                <c:pt idx="362">
                  <c:v>-4.55336518812771</c:v>
                </c:pt>
                <c:pt idx="363">
                  <c:v>-4.56045415991528</c:v>
                </c:pt>
                <c:pt idx="364">
                  <c:v>-4.5675431928437</c:v>
                </c:pt>
                <c:pt idx="365">
                  <c:v>-4.5746322869123</c:v>
                </c:pt>
                <c:pt idx="366">
                  <c:v>-4.58172144212044</c:v>
                </c:pt>
                <c:pt idx="367">
                  <c:v>-4.58881065846746</c:v>
                </c:pt>
                <c:pt idx="368">
                  <c:v>-4.59589993595272</c:v>
                </c:pt>
                <c:pt idx="369">
                  <c:v>-4.60298927457554</c:v>
                </c:pt>
                <c:pt idx="370">
                  <c:v>-4.61007867433529</c:v>
                </c:pt>
                <c:pt idx="371">
                  <c:v>-4.61716813523131</c:v>
                </c:pt>
                <c:pt idx="372">
                  <c:v>-4.62425765726294</c:v>
                </c:pt>
                <c:pt idx="373">
                  <c:v>-4.63134724042953</c:v>
                </c:pt>
                <c:pt idx="374">
                  <c:v>-4.63843688473044</c:v>
                </c:pt>
                <c:pt idx="375">
                  <c:v>-4.645526590165</c:v>
                </c:pt>
                <c:pt idx="376">
                  <c:v>-4.65261635673256</c:v>
                </c:pt>
                <c:pt idx="377">
                  <c:v>-4.65970618443248</c:v>
                </c:pt>
                <c:pt idx="378">
                  <c:v>-4.66679607326409</c:v>
                </c:pt>
                <c:pt idx="379">
                  <c:v>-4.67388602322674</c:v>
                </c:pt>
                <c:pt idx="380">
                  <c:v>-4.68097603431979</c:v>
                </c:pt>
                <c:pt idx="381">
                  <c:v>-4.68806610654257</c:v>
                </c:pt>
                <c:pt idx="382">
                  <c:v>-4.69515623989443</c:v>
                </c:pt>
                <c:pt idx="383">
                  <c:v>-4.70224643437473</c:v>
                </c:pt>
                <c:pt idx="384">
                  <c:v>-4.7093366899828</c:v>
                </c:pt>
                <c:pt idx="385">
                  <c:v>-4.716427006718</c:v>
                </c:pt>
                <c:pt idx="386">
                  <c:v>-4.72351738457967</c:v>
                </c:pt>
                <c:pt idx="387">
                  <c:v>-4.73060782356716</c:v>
                </c:pt>
                <c:pt idx="388">
                  <c:v>-4.73769832367981</c:v>
                </c:pt>
                <c:pt idx="389">
                  <c:v>-4.74478888491698</c:v>
                </c:pt>
                <c:pt idx="390">
                  <c:v>-4.751879507278</c:v>
                </c:pt>
                <c:pt idx="391">
                  <c:v>-4.75897019076223</c:v>
                </c:pt>
                <c:pt idx="392">
                  <c:v>-4.76606093536901</c:v>
                </c:pt>
                <c:pt idx="393">
                  <c:v>-4.77315174109769</c:v>
                </c:pt>
                <c:pt idx="394">
                  <c:v>-4.78024260794761</c:v>
                </c:pt>
                <c:pt idx="395">
                  <c:v>-4.78733353591813</c:v>
                </c:pt>
                <c:pt idx="396">
                  <c:v>-4.79442452500859</c:v>
                </c:pt>
                <c:pt idx="397">
                  <c:v>-4.80151557521833</c:v>
                </c:pt>
                <c:pt idx="398">
                  <c:v>-4.80860668654671</c:v>
                </c:pt>
                <c:pt idx="399">
                  <c:v>-4.81569785899306</c:v>
                </c:pt>
                <c:pt idx="400">
                  <c:v>-4.82278909255674</c:v>
                </c:pt>
                <c:pt idx="401">
                  <c:v>-4.8298803872371</c:v>
                </c:pt>
                <c:pt idx="402">
                  <c:v>-4.83697174303348</c:v>
                </c:pt>
                <c:pt idx="403">
                  <c:v>-4.84406315994522</c:v>
                </c:pt>
                <c:pt idx="404">
                  <c:v>-4.85115463797168</c:v>
                </c:pt>
                <c:pt idx="405">
                  <c:v>-4.8582461771122</c:v>
                </c:pt>
                <c:pt idx="406">
                  <c:v>-4.86533777736612</c:v>
                </c:pt>
                <c:pt idx="407">
                  <c:v>-4.8724294387328</c:v>
                </c:pt>
                <c:pt idx="408">
                  <c:v>-4.87952116121159</c:v>
                </c:pt>
                <c:pt idx="409">
                  <c:v>-4.88661294480182</c:v>
                </c:pt>
                <c:pt idx="410">
                  <c:v>-4.89370478950284</c:v>
                </c:pt>
                <c:pt idx="411">
                  <c:v>-4.90079669531401</c:v>
                </c:pt>
                <c:pt idx="412">
                  <c:v>-4.90788866223466</c:v>
                </c:pt>
                <c:pt idx="413">
                  <c:v>-4.91498069026415</c:v>
                </c:pt>
                <c:pt idx="414">
                  <c:v>-4.92207277940182</c:v>
                </c:pt>
                <c:pt idx="415">
                  <c:v>-4.92916492964702</c:v>
                </c:pt>
                <c:pt idx="416">
                  <c:v>-4.9362571409991</c:v>
                </c:pt>
                <c:pt idx="417">
                  <c:v>-4.9433494134574</c:v>
                </c:pt>
                <c:pt idx="418">
                  <c:v>-4.95044174702127</c:v>
                </c:pt>
                <c:pt idx="419">
                  <c:v>-4.95753414169006</c:v>
                </c:pt>
                <c:pt idx="420">
                  <c:v>-4.96462659746311</c:v>
                </c:pt>
                <c:pt idx="421">
                  <c:v>-4.97171911433976</c:v>
                </c:pt>
                <c:pt idx="422">
                  <c:v>-4.97881169231938</c:v>
                </c:pt>
                <c:pt idx="423">
                  <c:v>-4.9859043314013</c:v>
                </c:pt>
                <c:pt idx="424">
                  <c:v>-4.99299703158487</c:v>
                </c:pt>
                <c:pt idx="425">
                  <c:v>-5.00008979286944</c:v>
                </c:pt>
                <c:pt idx="426">
                  <c:v>-5.00718261525435</c:v>
                </c:pt>
                <c:pt idx="427">
                  <c:v>-5.01427549873895</c:v>
                </c:pt>
                <c:pt idx="428">
                  <c:v>-5.02136844332259</c:v>
                </c:pt>
                <c:pt idx="429">
                  <c:v>-5.02846144900461</c:v>
                </c:pt>
                <c:pt idx="430">
                  <c:v>-5.03555451578437</c:v>
                </c:pt>
                <c:pt idx="431">
                  <c:v>-5.0426476436612</c:v>
                </c:pt>
                <c:pt idx="432">
                  <c:v>-5.04974083263446</c:v>
                </c:pt>
                <c:pt idx="433">
                  <c:v>-5.05683408270349</c:v>
                </c:pt>
                <c:pt idx="434">
                  <c:v>-5.06392739386764</c:v>
                </c:pt>
                <c:pt idx="435">
                  <c:v>-5.07102076612625</c:v>
                </c:pt>
                <c:pt idx="436">
                  <c:v>-5.07811419947868</c:v>
                </c:pt>
                <c:pt idx="437">
                  <c:v>-5.08520769392427</c:v>
                </c:pt>
                <c:pt idx="438">
                  <c:v>-5.09230124946236</c:v>
                </c:pt>
                <c:pt idx="439">
                  <c:v>-5.0993948660923</c:v>
                </c:pt>
                <c:pt idx="440">
                  <c:v>-5.10648854381345</c:v>
                </c:pt>
                <c:pt idx="441">
                  <c:v>-5.11358228262514</c:v>
                </c:pt>
                <c:pt idx="442">
                  <c:v>-5.12067608252672</c:v>
                </c:pt>
                <c:pt idx="443">
                  <c:v>-5.12776994351754</c:v>
                </c:pt>
                <c:pt idx="444">
                  <c:v>-5.13486386559695</c:v>
                </c:pt>
                <c:pt idx="445">
                  <c:v>-5.1419578487643</c:v>
                </c:pt>
                <c:pt idx="446">
                  <c:v>-5.14905189301892</c:v>
                </c:pt>
                <c:pt idx="447">
                  <c:v>-5.15614599836018</c:v>
                </c:pt>
                <c:pt idx="448">
                  <c:v>-5.1632401647874</c:v>
                </c:pt>
                <c:pt idx="449">
                  <c:v>-5.17033439229995</c:v>
                </c:pt>
                <c:pt idx="450">
                  <c:v>-5.17742868089717</c:v>
                </c:pt>
                <c:pt idx="451">
                  <c:v>-5.1845230305784</c:v>
                </c:pt>
                <c:pt idx="452">
                  <c:v>-5.19161744134299</c:v>
                </c:pt>
                <c:pt idx="453">
                  <c:v>-5.19871191319029</c:v>
                </c:pt>
                <c:pt idx="454">
                  <c:v>-5.20580644611964</c:v>
                </c:pt>
                <c:pt idx="455">
                  <c:v>-5.2129010401304</c:v>
                </c:pt>
                <c:pt idx="456">
                  <c:v>-5.21999569522191</c:v>
                </c:pt>
                <c:pt idx="457">
                  <c:v>-5.22709041139351</c:v>
                </c:pt>
                <c:pt idx="458">
                  <c:v>-5.23418518864455</c:v>
                </c:pt>
                <c:pt idx="459">
                  <c:v>-5.24128002697439</c:v>
                </c:pt>
                <c:pt idx="460">
                  <c:v>-5.24837492638236</c:v>
                </c:pt>
                <c:pt idx="461">
                  <c:v>-5.25546988686781</c:v>
                </c:pt>
                <c:pt idx="462">
                  <c:v>-5.26256490843009</c:v>
                </c:pt>
                <c:pt idx="463">
                  <c:v>-5.26965999106855</c:v>
                </c:pt>
                <c:pt idx="464">
                  <c:v>-5.27675513478254</c:v>
                </c:pt>
                <c:pt idx="465">
                  <c:v>-5.28385033957139</c:v>
                </c:pt>
                <c:pt idx="466">
                  <c:v>-5.29094560543446</c:v>
                </c:pt>
                <c:pt idx="467">
                  <c:v>-5.29804093237109</c:v>
                </c:pt>
                <c:pt idx="468">
                  <c:v>-5.30513632038064</c:v>
                </c:pt>
                <c:pt idx="469">
                  <c:v>-5.31223176946244</c:v>
                </c:pt>
                <c:pt idx="470">
                  <c:v>-5.31932727961585</c:v>
                </c:pt>
                <c:pt idx="471">
                  <c:v>-5.32642285084021</c:v>
                </c:pt>
                <c:pt idx="472">
                  <c:v>-5.33351848313487</c:v>
                </c:pt>
                <c:pt idx="473">
                  <c:v>-5.34061417649917</c:v>
                </c:pt>
                <c:pt idx="474">
                  <c:v>-5.34770993093246</c:v>
                </c:pt>
                <c:pt idx="475">
                  <c:v>-5.35480574643409</c:v>
                </c:pt>
                <c:pt idx="476">
                  <c:v>-5.36190162300341</c:v>
                </c:pt>
                <c:pt idx="477">
                  <c:v>-5.36899756063976</c:v>
                </c:pt>
                <c:pt idx="478">
                  <c:v>-5.37609355934249</c:v>
                </c:pt>
                <c:pt idx="479">
                  <c:v>-5.38318961911094</c:v>
                </c:pt>
                <c:pt idx="480">
                  <c:v>-5.39028573994447</c:v>
                </c:pt>
                <c:pt idx="481">
                  <c:v>-5.39738192184242</c:v>
                </c:pt>
                <c:pt idx="482">
                  <c:v>-5.40447816480413</c:v>
                </c:pt>
                <c:pt idx="483">
                  <c:v>-5.41157446882896</c:v>
                </c:pt>
                <c:pt idx="484">
                  <c:v>-5.41867083391625</c:v>
                </c:pt>
                <c:pt idx="485">
                  <c:v>-5.42576726006534</c:v>
                </c:pt>
                <c:pt idx="486">
                  <c:v>-5.43286374727559</c:v>
                </c:pt>
                <c:pt idx="487">
                  <c:v>-5.43996029554634</c:v>
                </c:pt>
                <c:pt idx="488">
                  <c:v>-5.44705690487693</c:v>
                </c:pt>
                <c:pt idx="489">
                  <c:v>-5.45415357526672</c:v>
                </c:pt>
                <c:pt idx="490">
                  <c:v>-5.46125030671506</c:v>
                </c:pt>
                <c:pt idx="491">
                  <c:v>-5.46834709922128</c:v>
                </c:pt>
                <c:pt idx="492">
                  <c:v>-5.47544395278473</c:v>
                </c:pt>
                <c:pt idx="493">
                  <c:v>-5.48254086740477</c:v>
                </c:pt>
                <c:pt idx="494">
                  <c:v>-5.48963784308073</c:v>
                </c:pt>
                <c:pt idx="495">
                  <c:v>-5.49673487981197</c:v>
                </c:pt>
                <c:pt idx="496">
                  <c:v>-5.50383197759783</c:v>
                </c:pt>
                <c:pt idx="497">
                  <c:v>-5.51092913643766</c:v>
                </c:pt>
                <c:pt idx="498">
                  <c:v>-5.51802635633081</c:v>
                </c:pt>
                <c:pt idx="499">
                  <c:v>-5.52512363727662</c:v>
                </c:pt>
                <c:pt idx="500">
                  <c:v>-5.53222097927444</c:v>
                </c:pt>
                <c:pt idx="501">
                  <c:v>-5.53931838232362</c:v>
                </c:pt>
                <c:pt idx="502">
                  <c:v>-5.54641584642349</c:v>
                </c:pt>
                <c:pt idx="503">
                  <c:v>-5.55351337157342</c:v>
                </c:pt>
                <c:pt idx="504">
                  <c:v>-5.56061095777275</c:v>
                </c:pt>
                <c:pt idx="505">
                  <c:v>-5.56770860502082</c:v>
                </c:pt>
                <c:pt idx="506">
                  <c:v>-5.57480631331698</c:v>
                </c:pt>
                <c:pt idx="507">
                  <c:v>-5.58190408266057</c:v>
                </c:pt>
                <c:pt idx="508">
                  <c:v>-5.58900191305095</c:v>
                </c:pt>
                <c:pt idx="509">
                  <c:v>-5.59609980448747</c:v>
                </c:pt>
                <c:pt idx="510">
                  <c:v>-5.60319775696946</c:v>
                </c:pt>
                <c:pt idx="511">
                  <c:v>-5.61029577049627</c:v>
                </c:pt>
                <c:pt idx="512">
                  <c:v>-5.61739384506726</c:v>
                </c:pt>
                <c:pt idx="513">
                  <c:v>-5.62449198068176</c:v>
                </c:pt>
                <c:pt idx="514">
                  <c:v>-5.63159017733913</c:v>
                </c:pt>
                <c:pt idx="515">
                  <c:v>-5.63868843503872</c:v>
                </c:pt>
                <c:pt idx="516">
                  <c:v>-5.64578675377986</c:v>
                </c:pt>
                <c:pt idx="517">
                  <c:v>-5.6528851335619</c:v>
                </c:pt>
                <c:pt idx="518">
                  <c:v>-5.6599835743842</c:v>
                </c:pt>
                <c:pt idx="519">
                  <c:v>-5.6670820762461</c:v>
                </c:pt>
                <c:pt idx="520">
                  <c:v>-5.67418063914695</c:v>
                </c:pt>
                <c:pt idx="521">
                  <c:v>-5.68127926308609</c:v>
                </c:pt>
                <c:pt idx="522">
                  <c:v>-5.68837794806287</c:v>
                </c:pt>
                <c:pt idx="523">
                  <c:v>-5.69547669407663</c:v>
                </c:pt>
                <c:pt idx="524">
                  <c:v>-5.70257550112673</c:v>
                </c:pt>
                <c:pt idx="525">
                  <c:v>-5.70967436921251</c:v>
                </c:pt>
                <c:pt idx="526">
                  <c:v>-5.71677329833332</c:v>
                </c:pt>
                <c:pt idx="527">
                  <c:v>-5.7238722884885</c:v>
                </c:pt>
                <c:pt idx="528">
                  <c:v>-5.7309713396774</c:v>
                </c:pt>
                <c:pt idx="529">
                  <c:v>-5.73807045189937</c:v>
                </c:pt>
                <c:pt idx="530">
                  <c:v>-5.74516962515375</c:v>
                </c:pt>
                <c:pt idx="531">
                  <c:v>-5.7522688594399</c:v>
                </c:pt>
                <c:pt idx="532">
                  <c:v>-5.75936815475715</c:v>
                </c:pt>
                <c:pt idx="533">
                  <c:v>-5.76646751110486</c:v>
                </c:pt>
                <c:pt idx="534">
                  <c:v>-5.77356692848237</c:v>
                </c:pt>
                <c:pt idx="535">
                  <c:v>-5.78066640688903</c:v>
                </c:pt>
                <c:pt idx="536">
                  <c:v>-5.78776594632419</c:v>
                </c:pt>
                <c:pt idx="537">
                  <c:v>-5.79486554678719</c:v>
                </c:pt>
                <c:pt idx="538">
                  <c:v>-5.80196520827738</c:v>
                </c:pt>
                <c:pt idx="539">
                  <c:v>-5.8090649307941</c:v>
                </c:pt>
                <c:pt idx="540">
                  <c:v>-5.81616471433671</c:v>
                </c:pt>
                <c:pt idx="541">
                  <c:v>-5.82326455890455</c:v>
                </c:pt>
                <c:pt idx="542">
                  <c:v>-5.83036446449696</c:v>
                </c:pt>
                <c:pt idx="543">
                  <c:v>-5.8374644311133</c:v>
                </c:pt>
                <c:pt idx="544">
                  <c:v>-5.84456445875291</c:v>
                </c:pt>
                <c:pt idx="545">
                  <c:v>-5.85166454741514</c:v>
                </c:pt>
                <c:pt idx="546">
                  <c:v>-5.85876469709933</c:v>
                </c:pt>
                <c:pt idx="547">
                  <c:v>-5.86586490780483</c:v>
                </c:pt>
                <c:pt idx="548">
                  <c:v>-5.87296517953099</c:v>
                </c:pt>
                <c:pt idx="549">
                  <c:v>-5.88006551227715</c:v>
                </c:pt>
                <c:pt idx="550">
                  <c:v>-5.88716590604267</c:v>
                </c:pt>
                <c:pt idx="551">
                  <c:v>-5.89426636082688</c:v>
                </c:pt>
                <c:pt idx="552">
                  <c:v>-5.90136687662914</c:v>
                </c:pt>
                <c:pt idx="553">
                  <c:v>-5.90846745344879</c:v>
                </c:pt>
                <c:pt idx="554">
                  <c:v>-5.91556809128518</c:v>
                </c:pt>
                <c:pt idx="555">
                  <c:v>-5.92266879013766</c:v>
                </c:pt>
                <c:pt idx="556">
                  <c:v>-5.92976955000557</c:v>
                </c:pt>
                <c:pt idx="557">
                  <c:v>-5.93687037088826</c:v>
                </c:pt>
                <c:pt idx="558">
                  <c:v>-5.94397125278507</c:v>
                </c:pt>
                <c:pt idx="559">
                  <c:v>-5.95107219569536</c:v>
                </c:pt>
                <c:pt idx="560">
                  <c:v>-5.95817319961847</c:v>
                </c:pt>
                <c:pt idx="561">
                  <c:v>-5.96527426455375</c:v>
                </c:pt>
                <c:pt idx="562">
                  <c:v>-5.97237539050054</c:v>
                </c:pt>
                <c:pt idx="563">
                  <c:v>-5.97947657745819</c:v>
                </c:pt>
                <c:pt idx="564">
                  <c:v>-5.98657782542604</c:v>
                </c:pt>
                <c:pt idx="565">
                  <c:v>-5.99367913440345</c:v>
                </c:pt>
                <c:pt idx="566">
                  <c:v>-6.00078050438977</c:v>
                </c:pt>
                <c:pt idx="567">
                  <c:v>-6.00788193538433</c:v>
                </c:pt>
                <c:pt idx="568">
                  <c:v>-6.01498342738648</c:v>
                </c:pt>
                <c:pt idx="569">
                  <c:v>-6.02208498039558</c:v>
                </c:pt>
                <c:pt idx="570">
                  <c:v>-6.02918659441097</c:v>
                </c:pt>
                <c:pt idx="571">
                  <c:v>-6.03628826943199</c:v>
                </c:pt>
                <c:pt idx="572">
                  <c:v>-6.04339000545799</c:v>
                </c:pt>
                <c:pt idx="573">
                  <c:v>-6.05049180248832</c:v>
                </c:pt>
                <c:pt idx="574">
                  <c:v>-6.05759366052233</c:v>
                </c:pt>
                <c:pt idx="575">
                  <c:v>-6.06469557955936</c:v>
                </c:pt>
                <c:pt idx="576">
                  <c:v>-6.07179755959877</c:v>
                </c:pt>
                <c:pt idx="577">
                  <c:v>-6.07889960063988</c:v>
                </c:pt>
                <c:pt idx="578">
                  <c:v>-6.08600170268206</c:v>
                </c:pt>
                <c:pt idx="579">
                  <c:v>-6.09310386572466</c:v>
                </c:pt>
                <c:pt idx="580">
                  <c:v>-6.100206089767</c:v>
                </c:pt>
                <c:pt idx="581">
                  <c:v>-6.10730837480846</c:v>
                </c:pt>
                <c:pt idx="582">
                  <c:v>-6.11441072084836</c:v>
                </c:pt>
                <c:pt idx="583">
                  <c:v>-6.12151312788606</c:v>
                </c:pt>
                <c:pt idx="584">
                  <c:v>-6.1286155959209</c:v>
                </c:pt>
                <c:pt idx="585">
                  <c:v>-6.13571812495224</c:v>
                </c:pt>
                <c:pt idx="586">
                  <c:v>-6.14282071497942</c:v>
                </c:pt>
                <c:pt idx="587">
                  <c:v>-6.14992336600178</c:v>
                </c:pt>
                <c:pt idx="588">
                  <c:v>-6.15702607801867</c:v>
                </c:pt>
                <c:pt idx="589">
                  <c:v>-6.16412885102944</c:v>
                </c:pt>
                <c:pt idx="590">
                  <c:v>-6.17123168503343</c:v>
                </c:pt>
                <c:pt idx="591">
                  <c:v>-6.17833458003</c:v>
                </c:pt>
                <c:pt idx="592">
                  <c:v>-6.18543753601849</c:v>
                </c:pt>
                <c:pt idx="593">
                  <c:v>-6.19254055299825</c:v>
                </c:pt>
                <c:pt idx="594">
                  <c:v>-6.19964363096861</c:v>
                </c:pt>
                <c:pt idx="595">
                  <c:v>-6.20674676992894</c:v>
                </c:pt>
                <c:pt idx="596">
                  <c:v>-6.21384996987857</c:v>
                </c:pt>
                <c:pt idx="597">
                  <c:v>-6.22095323081686</c:v>
                </c:pt>
                <c:pt idx="598">
                  <c:v>-6.22805655274315</c:v>
                </c:pt>
                <c:pt idx="599">
                  <c:v>-6.23515993565678</c:v>
                </c:pt>
                <c:pt idx="600">
                  <c:v>-6.24226337955711</c:v>
                </c:pt>
                <c:pt idx="601">
                  <c:v>-6.24936688444348</c:v>
                </c:pt>
                <c:pt idx="602">
                  <c:v>-6.25647045031524</c:v>
                </c:pt>
                <c:pt idx="603">
                  <c:v>-6.26357407717174</c:v>
                </c:pt>
                <c:pt idx="604">
                  <c:v>-6.27067776501231</c:v>
                </c:pt>
                <c:pt idx="605">
                  <c:v>-6.27778151383631</c:v>
                </c:pt>
                <c:pt idx="606">
                  <c:v>-6.28488532364309</c:v>
                </c:pt>
                <c:pt idx="607">
                  <c:v>-6.29198919443199</c:v>
                </c:pt>
                <c:pt idx="608">
                  <c:v>-6.29909312620236</c:v>
                </c:pt>
                <c:pt idx="609">
                  <c:v>-6.30619711895355</c:v>
                </c:pt>
                <c:pt idx="610">
                  <c:v>-6.3133011726849</c:v>
                </c:pt>
                <c:pt idx="611">
                  <c:v>-6.32040528739575</c:v>
                </c:pt>
                <c:pt idx="612">
                  <c:v>-6.32750946308547</c:v>
                </c:pt>
                <c:pt idx="613">
                  <c:v>-6.33461369975338</c:v>
                </c:pt>
                <c:pt idx="614">
                  <c:v>-6.34171799739885</c:v>
                </c:pt>
                <c:pt idx="615">
                  <c:v>-6.34882235602122</c:v>
                </c:pt>
                <c:pt idx="616">
                  <c:v>-6.35592677561983</c:v>
                </c:pt>
                <c:pt idx="617">
                  <c:v>-6.36303125619403</c:v>
                </c:pt>
                <c:pt idx="618">
                  <c:v>-6.37013579774316</c:v>
                </c:pt>
                <c:pt idx="619">
                  <c:v>-6.37724040026659</c:v>
                </c:pt>
                <c:pt idx="620">
                  <c:v>-6.38434506376364</c:v>
                </c:pt>
                <c:pt idx="621">
                  <c:v>-6.39144978823367</c:v>
                </c:pt>
                <c:pt idx="622">
                  <c:v>-6.39855457367603</c:v>
                </c:pt>
                <c:pt idx="623">
                  <c:v>-6.40565942009005</c:v>
                </c:pt>
                <c:pt idx="624">
                  <c:v>-6.4127643274751</c:v>
                </c:pt>
                <c:pt idx="625">
                  <c:v>-6.41986929583051</c:v>
                </c:pt>
                <c:pt idx="626">
                  <c:v>-6.42697432515564</c:v>
                </c:pt>
                <c:pt idx="627">
                  <c:v>-6.43407941544982</c:v>
                </c:pt>
                <c:pt idx="628">
                  <c:v>-6.44118456671242</c:v>
                </c:pt>
                <c:pt idx="629">
                  <c:v>-6.44828977894276</c:v>
                </c:pt>
                <c:pt idx="630">
                  <c:v>-6.4553950521402</c:v>
                </c:pt>
                <c:pt idx="631">
                  <c:v>-6.46250038630409</c:v>
                </c:pt>
                <c:pt idx="632">
                  <c:v>-6.46960578143378</c:v>
                </c:pt>
                <c:pt idx="633">
                  <c:v>-6.4767112375286</c:v>
                </c:pt>
                <c:pt idx="634">
                  <c:v>-6.48381675458792</c:v>
                </c:pt>
                <c:pt idx="635">
                  <c:v>-6.49092233261106</c:v>
                </c:pt>
                <c:pt idx="636">
                  <c:v>-6.49802797159739</c:v>
                </c:pt>
                <c:pt idx="637">
                  <c:v>-6.50513367154625</c:v>
                </c:pt>
                <c:pt idx="638">
                  <c:v>-6.51223943245698</c:v>
                </c:pt>
                <c:pt idx="639">
                  <c:v>-6.51934525432893</c:v>
                </c:pt>
                <c:pt idx="640">
                  <c:v>-6.52645113716145</c:v>
                </c:pt>
                <c:pt idx="641">
                  <c:v>-6.53355708095389</c:v>
                </c:pt>
                <c:pt idx="642">
                  <c:v>-6.54066308570558</c:v>
                </c:pt>
                <c:pt idx="643">
                  <c:v>-6.54776915141589</c:v>
                </c:pt>
                <c:pt idx="644">
                  <c:v>-6.55487527808416</c:v>
                </c:pt>
                <c:pt idx="645">
                  <c:v>-6.56198146570972</c:v>
                </c:pt>
                <c:pt idx="646">
                  <c:v>-6.56908771429194</c:v>
                </c:pt>
                <c:pt idx="647">
                  <c:v>-6.57619402383015</c:v>
                </c:pt>
                <c:pt idx="648">
                  <c:v>-6.58330039432371</c:v>
                </c:pt>
                <c:pt idx="649">
                  <c:v>-6.59040682577196</c:v>
                </c:pt>
                <c:pt idx="650">
                  <c:v>-6.59751331817424</c:v>
                </c:pt>
                <c:pt idx="651">
                  <c:v>-6.60461987152991</c:v>
                </c:pt>
                <c:pt idx="652">
                  <c:v>-6.61172648583831</c:v>
                </c:pt>
                <c:pt idx="653">
                  <c:v>-6.61883316109879</c:v>
                </c:pt>
                <c:pt idx="654">
                  <c:v>-6.62593989731069</c:v>
                </c:pt>
                <c:pt idx="655">
                  <c:v>-6.63304669447336</c:v>
                </c:pt>
                <c:pt idx="656">
                  <c:v>-6.64015355258615</c:v>
                </c:pt>
                <c:pt idx="657">
                  <c:v>-6.64726047164841</c:v>
                </c:pt>
                <c:pt idx="658">
                  <c:v>-6.65436745165948</c:v>
                </c:pt>
                <c:pt idx="659">
                  <c:v>-6.66147449261871</c:v>
                </c:pt>
                <c:pt idx="660">
                  <c:v>-6.66858159452545</c:v>
                </c:pt>
                <c:pt idx="661">
                  <c:v>-6.67568875737903</c:v>
                </c:pt>
                <c:pt idx="662">
                  <c:v>-6.68279598117882</c:v>
                </c:pt>
                <c:pt idx="663">
                  <c:v>-6.68990326592415</c:v>
                </c:pt>
                <c:pt idx="664">
                  <c:v>-6.69701061161438</c:v>
                </c:pt>
                <c:pt idx="665">
                  <c:v>-6.70411801824885</c:v>
                </c:pt>
                <c:pt idx="666">
                  <c:v>-6.7112254858269</c:v>
                </c:pt>
                <c:pt idx="667">
                  <c:v>-6.71833301434789</c:v>
                </c:pt>
                <c:pt idx="668">
                  <c:v>-6.72544060381116</c:v>
                </c:pt>
                <c:pt idx="669">
                  <c:v>-6.73254825421606</c:v>
                </c:pt>
                <c:pt idx="670">
                  <c:v>-6.73965596556193</c:v>
                </c:pt>
                <c:pt idx="671">
                  <c:v>-6.74676373784812</c:v>
                </c:pt>
                <c:pt idx="672">
                  <c:v>-6.75387157107399</c:v>
                </c:pt>
                <c:pt idx="673">
                  <c:v>-6.76097946523886</c:v>
                </c:pt>
                <c:pt idx="674">
                  <c:v>-6.7680874203421</c:v>
                </c:pt>
                <c:pt idx="675">
                  <c:v>-6.77519543638305</c:v>
                </c:pt>
                <c:pt idx="676">
                  <c:v>-6.78230351336105</c:v>
                </c:pt>
                <c:pt idx="677">
                  <c:v>-6.78941165127546</c:v>
                </c:pt>
                <c:pt idx="678">
                  <c:v>-6.79651985012562</c:v>
                </c:pt>
                <c:pt idx="679">
                  <c:v>-6.80362810991087</c:v>
                </c:pt>
                <c:pt idx="680">
                  <c:v>-6.81073643063057</c:v>
                </c:pt>
                <c:pt idx="681">
                  <c:v>-6.81784481228405</c:v>
                </c:pt>
                <c:pt idx="682">
                  <c:v>-6.82495325487068</c:v>
                </c:pt>
                <c:pt idx="683">
                  <c:v>-6.83206175838978</c:v>
                </c:pt>
                <c:pt idx="684">
                  <c:v>-6.83917032284072</c:v>
                </c:pt>
                <c:pt idx="685">
                  <c:v>-6.84627894822284</c:v>
                </c:pt>
                <c:pt idx="686">
                  <c:v>-6.85338763453548</c:v>
                </c:pt>
                <c:pt idx="687">
                  <c:v>-6.86049638177799</c:v>
                </c:pt>
                <c:pt idx="688">
                  <c:v>-6.86760518994972</c:v>
                </c:pt>
                <c:pt idx="689">
                  <c:v>-6.87471405905001</c:v>
                </c:pt>
                <c:pt idx="690">
                  <c:v>-6.88182298907822</c:v>
                </c:pt>
                <c:pt idx="691">
                  <c:v>-6.88893198003369</c:v>
                </c:pt>
                <c:pt idx="692">
                  <c:v>-6.89604103191576</c:v>
                </c:pt>
                <c:pt idx="693">
                  <c:v>-6.90315014472379</c:v>
                </c:pt>
                <c:pt idx="694">
                  <c:v>-6.91025931845711</c:v>
                </c:pt>
                <c:pt idx="695">
                  <c:v>-6.91736855311508</c:v>
                </c:pt>
                <c:pt idx="696">
                  <c:v>-6.92447784869705</c:v>
                </c:pt>
                <c:pt idx="697">
                  <c:v>-6.93158720520235</c:v>
                </c:pt>
                <c:pt idx="698">
                  <c:v>-6.93869662263034</c:v>
                </c:pt>
                <c:pt idx="699">
                  <c:v>-6.94580610098037</c:v>
                </c:pt>
                <c:pt idx="700">
                  <c:v>-6.95291564025178</c:v>
                </c:pt>
                <c:pt idx="701">
                  <c:v>-6.96002524044391</c:v>
                </c:pt>
                <c:pt idx="702">
                  <c:v>-6.96713490155612</c:v>
                </c:pt>
                <c:pt idx="703">
                  <c:v>-6.97424462358775</c:v>
                </c:pt>
                <c:pt idx="704">
                  <c:v>-6.98135440653815</c:v>
                </c:pt>
                <c:pt idx="705">
                  <c:v>-6.98846425040666</c:v>
                </c:pt>
                <c:pt idx="706">
                  <c:v>-6.99557415519264</c:v>
                </c:pt>
                <c:pt idx="707">
                  <c:v>-7.00268412089543</c:v>
                </c:pt>
                <c:pt idx="708">
                  <c:v>-7.00979414751437</c:v>
                </c:pt>
                <c:pt idx="709">
                  <c:v>-7.01690423504881</c:v>
                </c:pt>
                <c:pt idx="710">
                  <c:v>-7.02401438349811</c:v>
                </c:pt>
                <c:pt idx="711">
                  <c:v>-7.0311245928616</c:v>
                </c:pt>
                <c:pt idx="712">
                  <c:v>-7.03823486313863</c:v>
                </c:pt>
                <c:pt idx="713">
                  <c:v>-7.04534519432855</c:v>
                </c:pt>
                <c:pt idx="714">
                  <c:v>-7.05245558643071</c:v>
                </c:pt>
                <c:pt idx="715">
                  <c:v>-7.05956603944446</c:v>
                </c:pt>
                <c:pt idx="716">
                  <c:v>-7.06667655336913</c:v>
                </c:pt>
                <c:pt idx="717">
                  <c:v>-7.07378712820409</c:v>
                </c:pt>
                <c:pt idx="718">
                  <c:v>-7.08089776394867</c:v>
                </c:pt>
                <c:pt idx="719">
                  <c:v>-7.08800846060222</c:v>
                </c:pt>
                <c:pt idx="720">
                  <c:v>-7.09511921816408</c:v>
                </c:pt>
                <c:pt idx="721">
                  <c:v>-7.10223003663362</c:v>
                </c:pt>
                <c:pt idx="722">
                  <c:v>-7.10934091601016</c:v>
                </c:pt>
                <c:pt idx="723">
                  <c:v>-7.11645185629307</c:v>
                </c:pt>
                <c:pt idx="724">
                  <c:v>-7.12356285748168</c:v>
                </c:pt>
                <c:pt idx="725">
                  <c:v>-7.13067391957534</c:v>
                </c:pt>
                <c:pt idx="726">
                  <c:v>-7.13778504257341</c:v>
                </c:pt>
                <c:pt idx="727">
                  <c:v>-7.14489622647522</c:v>
                </c:pt>
                <c:pt idx="728">
                  <c:v>-7.15200747128012</c:v>
                </c:pt>
                <c:pt idx="729">
                  <c:v>-7.15911877698747</c:v>
                </c:pt>
                <c:pt idx="730">
                  <c:v>-7.1662301435966</c:v>
                </c:pt>
                <c:pt idx="731">
                  <c:v>-7.17334157110686</c:v>
                </c:pt>
                <c:pt idx="732">
                  <c:v>-7.18045305951761</c:v>
                </c:pt>
                <c:pt idx="733">
                  <c:v>-7.18756460882818</c:v>
                </c:pt>
                <c:pt idx="734">
                  <c:v>-7.19467621903793</c:v>
                </c:pt>
                <c:pt idx="735">
                  <c:v>-7.2017878901462</c:v>
                </c:pt>
                <c:pt idx="736">
                  <c:v>-7.20889962215234</c:v>
                </c:pt>
                <c:pt idx="737">
                  <c:v>-7.2160114150557</c:v>
                </c:pt>
                <c:pt idx="738">
                  <c:v>-7.22312326885562</c:v>
                </c:pt>
                <c:pt idx="739">
                  <c:v>-7.23023518355145</c:v>
                </c:pt>
                <c:pt idx="740">
                  <c:v>-7.23734715914253</c:v>
                </c:pt>
                <c:pt idx="741">
                  <c:v>-7.24445919562821</c:v>
                </c:pt>
                <c:pt idx="742">
                  <c:v>-7.25157129300785</c:v>
                </c:pt>
                <c:pt idx="743">
                  <c:v>-7.25868345128078</c:v>
                </c:pt>
                <c:pt idx="744">
                  <c:v>-7.26579567044636</c:v>
                </c:pt>
                <c:pt idx="745">
                  <c:v>-7.27290795050393</c:v>
                </c:pt>
                <c:pt idx="746">
                  <c:v>-7.28002029145283</c:v>
                </c:pt>
                <c:pt idx="747">
                  <c:v>-7.28713269329242</c:v>
                </c:pt>
                <c:pt idx="748">
                  <c:v>-7.29424515602204</c:v>
                </c:pt>
                <c:pt idx="749">
                  <c:v>-7.30135767964104</c:v>
                </c:pt>
                <c:pt idx="750">
                  <c:v>-7.30847026414876</c:v>
                </c:pt>
                <c:pt idx="751">
                  <c:v>-7.31558290954455</c:v>
                </c:pt>
                <c:pt idx="752">
                  <c:v>-7.32269561582777</c:v>
                </c:pt>
                <c:pt idx="753">
                  <c:v>-7.32980838299775</c:v>
                </c:pt>
                <c:pt idx="754">
                  <c:v>-7.33692121105384</c:v>
                </c:pt>
                <c:pt idx="755">
                  <c:v>-7.34403409999539</c:v>
                </c:pt>
                <c:pt idx="756">
                  <c:v>-7.35114704982175</c:v>
                </c:pt>
                <c:pt idx="757">
                  <c:v>-7.35826006053226</c:v>
                </c:pt>
                <c:pt idx="758">
                  <c:v>-7.36537313212627</c:v>
                </c:pt>
                <c:pt idx="759">
                  <c:v>-7.37248626460313</c:v>
                </c:pt>
                <c:pt idx="760">
                  <c:v>-7.37959945796218</c:v>
                </c:pt>
                <c:pt idx="761">
                  <c:v>-7.38671271220277</c:v>
                </c:pt>
                <c:pt idx="762">
                  <c:v>-7.39382602732425</c:v>
                </c:pt>
                <c:pt idx="763">
                  <c:v>-7.40093940332597</c:v>
                </c:pt>
                <c:pt idx="764">
                  <c:v>-7.40805284020727</c:v>
                </c:pt>
                <c:pt idx="765">
                  <c:v>-7.41516633796749</c:v>
                </c:pt>
                <c:pt idx="766">
                  <c:v>-7.42227989660599</c:v>
                </c:pt>
                <c:pt idx="767">
                  <c:v>-7.42939351612211</c:v>
                </c:pt>
                <c:pt idx="768">
                  <c:v>-7.43650719651521</c:v>
                </c:pt>
                <c:pt idx="769">
                  <c:v>-7.44362093778461</c:v>
                </c:pt>
                <c:pt idx="770">
                  <c:v>-7.45073473992968</c:v>
                </c:pt>
                <c:pt idx="771">
                  <c:v>-7.45784860294976</c:v>
                </c:pt>
                <c:pt idx="772">
                  <c:v>-7.4649625268442</c:v>
                </c:pt>
                <c:pt idx="773">
                  <c:v>-7.47207651161234</c:v>
                </c:pt>
                <c:pt idx="774">
                  <c:v>-7.47919055725353</c:v>
                </c:pt>
                <c:pt idx="775">
                  <c:v>-7.48630466376712</c:v>
                </c:pt>
                <c:pt idx="776">
                  <c:v>-7.49341883115245</c:v>
                </c:pt>
                <c:pt idx="777">
                  <c:v>-7.50053305940887</c:v>
                </c:pt>
                <c:pt idx="778">
                  <c:v>-7.50764734853573</c:v>
                </c:pt>
                <c:pt idx="779">
                  <c:v>-7.51476169853238</c:v>
                </c:pt>
                <c:pt idx="780">
                  <c:v>-7.52187610939815</c:v>
                </c:pt>
                <c:pt idx="781">
                  <c:v>-7.52899058113241</c:v>
                </c:pt>
                <c:pt idx="782">
                  <c:v>-7.53610511373449</c:v>
                </c:pt>
                <c:pt idx="783">
                  <c:v>-7.54321970720375</c:v>
                </c:pt>
                <c:pt idx="784">
                  <c:v>-7.55033436153952</c:v>
                </c:pt>
                <c:pt idx="785">
                  <c:v>-7.55744907674116</c:v>
                </c:pt>
                <c:pt idx="786">
                  <c:v>-7.56456385280801</c:v>
                </c:pt>
                <c:pt idx="787">
                  <c:v>-7.57167868973943</c:v>
                </c:pt>
                <c:pt idx="788">
                  <c:v>-7.57879358753474</c:v>
                </c:pt>
                <c:pt idx="789">
                  <c:v>-7.58590854619332</c:v>
                </c:pt>
                <c:pt idx="790">
                  <c:v>-7.59302356571449</c:v>
                </c:pt>
                <c:pt idx="791">
                  <c:v>-7.60013864609762</c:v>
                </c:pt>
                <c:pt idx="792">
                  <c:v>-7.60725378734203</c:v>
                </c:pt>
                <c:pt idx="793">
                  <c:v>-7.61436898944709</c:v>
                </c:pt>
                <c:pt idx="794">
                  <c:v>-7.62148425241214</c:v>
                </c:pt>
                <c:pt idx="795">
                  <c:v>-7.62859957623652</c:v>
                </c:pt>
                <c:pt idx="796">
                  <c:v>-7.63571496091958</c:v>
                </c:pt>
                <c:pt idx="797">
                  <c:v>-7.64283040646067</c:v>
                </c:pt>
                <c:pt idx="798">
                  <c:v>-7.64994591285914</c:v>
                </c:pt>
                <c:pt idx="799">
                  <c:v>-7.65706148011433</c:v>
                </c:pt>
                <c:pt idx="800">
                  <c:v>-7.66417710822559</c:v>
                </c:pt>
                <c:pt idx="801">
                  <c:v>-7.67129279719227</c:v>
                </c:pt>
                <c:pt idx="802">
                  <c:v>-7.67840854701371</c:v>
                </c:pt>
                <c:pt idx="803">
                  <c:v>-7.68552435768926</c:v>
                </c:pt>
                <c:pt idx="804">
                  <c:v>-7.69264022921827</c:v>
                </c:pt>
                <c:pt idx="805">
                  <c:v>-7.69975616160009</c:v>
                </c:pt>
                <c:pt idx="806">
                  <c:v>-7.70687215483405</c:v>
                </c:pt>
                <c:pt idx="807">
                  <c:v>-7.71398820891951</c:v>
                </c:pt>
                <c:pt idx="808">
                  <c:v>-7.72110432385582</c:v>
                </c:pt>
                <c:pt idx="809">
                  <c:v>-7.72822049964232</c:v>
                </c:pt>
                <c:pt idx="810">
                  <c:v>-7.73533673627836</c:v>
                </c:pt>
                <c:pt idx="811">
                  <c:v>-7.74245303376328</c:v>
                </c:pt>
                <c:pt idx="812">
                  <c:v>-7.74956939209644</c:v>
                </c:pt>
                <c:pt idx="813">
                  <c:v>-7.75668581127717</c:v>
                </c:pt>
                <c:pt idx="814">
                  <c:v>-7.76380229130483</c:v>
                </c:pt>
                <c:pt idx="815">
                  <c:v>-7.77091883217877</c:v>
                </c:pt>
                <c:pt idx="816">
                  <c:v>-7.77803543389832</c:v>
                </c:pt>
                <c:pt idx="817">
                  <c:v>-7.78515209646285</c:v>
                </c:pt>
                <c:pt idx="818">
                  <c:v>-7.79226881987168</c:v>
                </c:pt>
                <c:pt idx="819">
                  <c:v>-7.79938560412418</c:v>
                </c:pt>
                <c:pt idx="820">
                  <c:v>-7.80650244921968</c:v>
                </c:pt>
                <c:pt idx="821">
                  <c:v>-7.81361935515754</c:v>
                </c:pt>
                <c:pt idx="822">
                  <c:v>-7.8207363219371</c:v>
                </c:pt>
                <c:pt idx="823">
                  <c:v>-7.82785334955771</c:v>
                </c:pt>
                <c:pt idx="824">
                  <c:v>-7.83497043801872</c:v>
                </c:pt>
                <c:pt idx="825">
                  <c:v>-7.84208758731947</c:v>
                </c:pt>
                <c:pt idx="826">
                  <c:v>-7.8492047974593</c:v>
                </c:pt>
                <c:pt idx="827">
                  <c:v>-7.85632206843757</c:v>
                </c:pt>
                <c:pt idx="828">
                  <c:v>-7.86343940025363</c:v>
                </c:pt>
                <c:pt idx="829">
                  <c:v>-7.87055679290682</c:v>
                </c:pt>
                <c:pt idx="830">
                  <c:v>-7.87767424639648</c:v>
                </c:pt>
                <c:pt idx="831">
                  <c:v>-7.88479176072196</c:v>
                </c:pt>
                <c:pt idx="832">
                  <c:v>-7.89190933588262</c:v>
                </c:pt>
                <c:pt idx="833">
                  <c:v>-7.89902697187779</c:v>
                </c:pt>
                <c:pt idx="834">
                  <c:v>-7.90614466870683</c:v>
                </c:pt>
                <c:pt idx="835">
                  <c:v>-7.91326242636908</c:v>
                </c:pt>
                <c:pt idx="836">
                  <c:v>-7.92038024486389</c:v>
                </c:pt>
                <c:pt idx="837">
                  <c:v>-7.92749812419061</c:v>
                </c:pt>
                <c:pt idx="838">
                  <c:v>-7.93461606434857</c:v>
                </c:pt>
                <c:pt idx="839">
                  <c:v>-7.94173406533714</c:v>
                </c:pt>
                <c:pt idx="840">
                  <c:v>-7.94885212715565</c:v>
                </c:pt>
                <c:pt idx="841">
                  <c:v>-7.95597024980345</c:v>
                </c:pt>
                <c:pt idx="842">
                  <c:v>-7.96308843327989</c:v>
                </c:pt>
                <c:pt idx="843">
                  <c:v>-7.97020667758432</c:v>
                </c:pt>
                <c:pt idx="844">
                  <c:v>-7.97732498271608</c:v>
                </c:pt>
                <c:pt idx="845">
                  <c:v>-7.98444334867453</c:v>
                </c:pt>
                <c:pt idx="846">
                  <c:v>-7.991561775459</c:v>
                </c:pt>
                <c:pt idx="847">
                  <c:v>-7.99868026306884</c:v>
                </c:pt>
                <c:pt idx="848">
                  <c:v>-8.00579881150341</c:v>
                </c:pt>
                <c:pt idx="849">
                  <c:v>-8.01291742076204</c:v>
                </c:pt>
                <c:pt idx="850">
                  <c:v>-8.02003609084409</c:v>
                </c:pt>
                <c:pt idx="851">
                  <c:v>-8.0271548217489</c:v>
                </c:pt>
                <c:pt idx="852">
                  <c:v>-8.03427361347582</c:v>
                </c:pt>
                <c:pt idx="853">
                  <c:v>-8.0413924660242</c:v>
                </c:pt>
                <c:pt idx="854">
                  <c:v>-8.04851137939338</c:v>
                </c:pt>
                <c:pt idx="855">
                  <c:v>-8.05563035358271</c:v>
                </c:pt>
                <c:pt idx="856">
                  <c:v>-8.06274938859153</c:v>
                </c:pt>
                <c:pt idx="857">
                  <c:v>-8.0698684844192</c:v>
                </c:pt>
                <c:pt idx="858">
                  <c:v>-8.07698764106506</c:v>
                </c:pt>
                <c:pt idx="859">
                  <c:v>-8.08410685852845</c:v>
                </c:pt>
                <c:pt idx="860">
                  <c:v>-8.09122613680873</c:v>
                </c:pt>
                <c:pt idx="861">
                  <c:v>-8.09834547590524</c:v>
                </c:pt>
                <c:pt idx="862">
                  <c:v>-8.10546487581733</c:v>
                </c:pt>
                <c:pt idx="863">
                  <c:v>-8.11258433654435</c:v>
                </c:pt>
                <c:pt idx="864">
                  <c:v>-8.11970385808563</c:v>
                </c:pt>
                <c:pt idx="865">
                  <c:v>-8.12682344044054</c:v>
                </c:pt>
                <c:pt idx="866">
                  <c:v>-8.13394308360841</c:v>
                </c:pt>
                <c:pt idx="867">
                  <c:v>-8.14106278758859</c:v>
                </c:pt>
                <c:pt idx="868">
                  <c:v>-8.14818255238043</c:v>
                </c:pt>
                <c:pt idx="869">
                  <c:v>-8.15530237798328</c:v>
                </c:pt>
                <c:pt idx="870">
                  <c:v>-8.16242226439648</c:v>
                </c:pt>
                <c:pt idx="871">
                  <c:v>-8.16954221161938</c:v>
                </c:pt>
                <c:pt idx="872">
                  <c:v>-8.17666221965133</c:v>
                </c:pt>
                <c:pt idx="873">
                  <c:v>-8.18378228849168</c:v>
                </c:pt>
                <c:pt idx="874">
                  <c:v>-8.19090241813976</c:v>
                </c:pt>
                <c:pt idx="875">
                  <c:v>-8.19802260859493</c:v>
                </c:pt>
                <c:pt idx="876">
                  <c:v>-8.20514285985654</c:v>
                </c:pt>
                <c:pt idx="877">
                  <c:v>-8.21226317192393</c:v>
                </c:pt>
                <c:pt idx="878">
                  <c:v>-8.21938354479644</c:v>
                </c:pt>
                <c:pt idx="879">
                  <c:v>-8.22650397847344</c:v>
                </c:pt>
                <c:pt idx="880">
                  <c:v>-8.23362447295425</c:v>
                </c:pt>
                <c:pt idx="881">
                  <c:v>-8.24074502823824</c:v>
                </c:pt>
                <c:pt idx="882">
                  <c:v>-8.24786564432474</c:v>
                </c:pt>
                <c:pt idx="883">
                  <c:v>-8.2549863212131</c:v>
                </c:pt>
                <c:pt idx="884">
                  <c:v>-8.26210705890268</c:v>
                </c:pt>
                <c:pt idx="885">
                  <c:v>-8.26922785739281</c:v>
                </c:pt>
                <c:pt idx="886">
                  <c:v>-8.27634871668284</c:v>
                </c:pt>
                <c:pt idx="887">
                  <c:v>-8.28346963677213</c:v>
                </c:pt>
                <c:pt idx="888">
                  <c:v>-8.29059061766001</c:v>
                </c:pt>
                <c:pt idx="889">
                  <c:v>-8.29771165934584</c:v>
                </c:pt>
                <c:pt idx="890">
                  <c:v>-8.30483276182896</c:v>
                </c:pt>
                <c:pt idx="891">
                  <c:v>-8.31195392510872</c:v>
                </c:pt>
                <c:pt idx="892">
                  <c:v>-8.31907514918447</c:v>
                </c:pt>
                <c:pt idx="893">
                  <c:v>-8.32619643405555</c:v>
                </c:pt>
                <c:pt idx="894">
                  <c:v>-8.3333177797213</c:v>
                </c:pt>
                <c:pt idx="895">
                  <c:v>-8.34043918618109</c:v>
                </c:pt>
                <c:pt idx="896">
                  <c:v>-8.34756065343424</c:v>
                </c:pt>
                <c:pt idx="897">
                  <c:v>-8.35468218148012</c:v>
                </c:pt>
                <c:pt idx="898">
                  <c:v>-8.36180377031806</c:v>
                </c:pt>
                <c:pt idx="899">
                  <c:v>-8.36892541994742</c:v>
                </c:pt>
                <c:pt idx="900">
                  <c:v>-8.37604713036754</c:v>
                </c:pt>
                <c:pt idx="901">
                  <c:v>-8.38316890157777</c:v>
                </c:pt>
                <c:pt idx="902">
                  <c:v>-8.39029073357745</c:v>
                </c:pt>
                <c:pt idx="903">
                  <c:v>-8.39741262636593</c:v>
                </c:pt>
                <c:pt idx="904">
                  <c:v>-8.40453457994256</c:v>
                </c:pt>
                <c:pt idx="905">
                  <c:v>-8.41165659430669</c:v>
                </c:pt>
                <c:pt idx="906">
                  <c:v>-8.41877866945766</c:v>
                </c:pt>
                <c:pt idx="907">
                  <c:v>-8.42590080539481</c:v>
                </c:pt>
                <c:pt idx="908">
                  <c:v>-8.43302300211751</c:v>
                </c:pt>
                <c:pt idx="909">
                  <c:v>-8.44014525962509</c:v>
                </c:pt>
                <c:pt idx="910">
                  <c:v>-8.4472675779169</c:v>
                </c:pt>
                <c:pt idx="911">
                  <c:v>-8.45438995699228</c:v>
                </c:pt>
                <c:pt idx="912">
                  <c:v>-8.46151239685059</c:v>
                </c:pt>
                <c:pt idx="913">
                  <c:v>-8.46863489749117</c:v>
                </c:pt>
                <c:pt idx="914">
                  <c:v>-8.47575745891337</c:v>
                </c:pt>
                <c:pt idx="915">
                  <c:v>-8.48288008111653</c:v>
                </c:pt>
                <c:pt idx="916">
                  <c:v>-8.49000276410001</c:v>
                </c:pt>
                <c:pt idx="917">
                  <c:v>-8.49712550786314</c:v>
                </c:pt>
                <c:pt idx="918">
                  <c:v>-8.50424831240528</c:v>
                </c:pt>
                <c:pt idx="919">
                  <c:v>-8.51137117772577</c:v>
                </c:pt>
                <c:pt idx="920">
                  <c:v>-8.51849410382396</c:v>
                </c:pt>
                <c:pt idx="921">
                  <c:v>-8.5256170906992</c:v>
                </c:pt>
                <c:pt idx="922">
                  <c:v>-8.53274013835083</c:v>
                </c:pt>
                <c:pt idx="923">
                  <c:v>-8.5398632467782</c:v>
                </c:pt>
                <c:pt idx="924">
                  <c:v>-8.54698641598066</c:v>
                </c:pt>
                <c:pt idx="925">
                  <c:v>-8.55410964595755</c:v>
                </c:pt>
                <c:pt idx="926">
                  <c:v>-8.56123293670822</c:v>
                </c:pt>
                <c:pt idx="927">
                  <c:v>-8.56835628823202</c:v>
                </c:pt>
                <c:pt idx="928">
                  <c:v>-8.5754797005283</c:v>
                </c:pt>
                <c:pt idx="929">
                  <c:v>-8.5826031735964</c:v>
                </c:pt>
                <c:pt idx="930">
                  <c:v>-8.58972670743566</c:v>
                </c:pt>
                <c:pt idx="931">
                  <c:v>-8.59685030204544</c:v>
                </c:pt>
                <c:pt idx="932">
                  <c:v>-8.60397395742509</c:v>
                </c:pt>
                <c:pt idx="933">
                  <c:v>-8.61109767357394</c:v>
                </c:pt>
                <c:pt idx="934">
                  <c:v>-8.61822145049135</c:v>
                </c:pt>
                <c:pt idx="935">
                  <c:v>-8.62534528817667</c:v>
                </c:pt>
                <c:pt idx="936">
                  <c:v>-8.63246918662923</c:v>
                </c:pt>
                <c:pt idx="937">
                  <c:v>-8.63959314584839</c:v>
                </c:pt>
                <c:pt idx="938">
                  <c:v>-8.6467171658335</c:v>
                </c:pt>
                <c:pt idx="939">
                  <c:v>-8.6538412465839</c:v>
                </c:pt>
                <c:pt idx="940">
                  <c:v>-8.66096538809893</c:v>
                </c:pt>
                <c:pt idx="941">
                  <c:v>-8.66808959037795</c:v>
                </c:pt>
                <c:pt idx="942">
                  <c:v>-8.6752138534203</c:v>
                </c:pt>
                <c:pt idx="943">
                  <c:v>-8.68233817722534</c:v>
                </c:pt>
                <c:pt idx="944">
                  <c:v>-8.68946256179239</c:v>
                </c:pt>
                <c:pt idx="945">
                  <c:v>-8.69658700712082</c:v>
                </c:pt>
                <c:pt idx="946">
                  <c:v>-8.70371151320997</c:v>
                </c:pt>
                <c:pt idx="947">
                  <c:v>-8.71083608005919</c:v>
                </c:pt>
                <c:pt idx="948">
                  <c:v>-8.71796070766782</c:v>
                </c:pt>
                <c:pt idx="949">
                  <c:v>-8.72508539603521</c:v>
                </c:pt>
                <c:pt idx="950">
                  <c:v>-8.73221014516071</c:v>
                </c:pt>
                <c:pt idx="951">
                  <c:v>-8.73933495504366</c:v>
                </c:pt>
                <c:pt idx="952">
                  <c:v>-8.74645982568341</c:v>
                </c:pt>
                <c:pt idx="953">
                  <c:v>-8.75358475707931</c:v>
                </c:pt>
                <c:pt idx="954">
                  <c:v>-8.76070974923071</c:v>
                </c:pt>
                <c:pt idx="955">
                  <c:v>-8.76783480213695</c:v>
                </c:pt>
                <c:pt idx="956">
                  <c:v>-8.77495991579738</c:v>
                </c:pt>
                <c:pt idx="957">
                  <c:v>-8.78208509021134</c:v>
                </c:pt>
                <c:pt idx="958">
                  <c:v>-8.78921032537819</c:v>
                </c:pt>
                <c:pt idx="959">
                  <c:v>-8.79633562129726</c:v>
                </c:pt>
                <c:pt idx="960">
                  <c:v>-8.80346097796792</c:v>
                </c:pt>
                <c:pt idx="961">
                  <c:v>-8.81058639538949</c:v>
                </c:pt>
                <c:pt idx="962">
                  <c:v>-8.81771187356134</c:v>
                </c:pt>
                <c:pt idx="963">
                  <c:v>-8.82483741248281</c:v>
                </c:pt>
                <c:pt idx="964">
                  <c:v>-8.83196301215324</c:v>
                </c:pt>
                <c:pt idx="965">
                  <c:v>-8.83908867257198</c:v>
                </c:pt>
                <c:pt idx="966">
                  <c:v>-8.84621439373838</c:v>
                </c:pt>
                <c:pt idx="967">
                  <c:v>-8.85334017565179</c:v>
                </c:pt>
                <c:pt idx="968">
                  <c:v>-8.86046601831154</c:v>
                </c:pt>
                <c:pt idx="969">
                  <c:v>-8.867591921717</c:v>
                </c:pt>
                <c:pt idx="970">
                  <c:v>-8.8747178858675</c:v>
                </c:pt>
                <c:pt idx="971">
                  <c:v>-8.8818439107624</c:v>
                </c:pt>
                <c:pt idx="972">
                  <c:v>-8.88896999640104</c:v>
                </c:pt>
                <c:pt idx="973">
                  <c:v>-8.89609614278276</c:v>
                </c:pt>
                <c:pt idx="974">
                  <c:v>-8.90322234990692</c:v>
                </c:pt>
                <c:pt idx="975">
                  <c:v>-8.91034861777286</c:v>
                </c:pt>
                <c:pt idx="976">
                  <c:v>-8.91747494637992</c:v>
                </c:pt>
                <c:pt idx="977">
                  <c:v>-8.92460133572747</c:v>
                </c:pt>
                <c:pt idx="978">
                  <c:v>-8.93172778581483</c:v>
                </c:pt>
                <c:pt idx="979">
                  <c:v>-8.93885429664136</c:v>
                </c:pt>
                <c:pt idx="980">
                  <c:v>-8.94598086820641</c:v>
                </c:pt>
                <c:pt idx="981">
                  <c:v>-8.95310750050932</c:v>
                </c:pt>
                <c:pt idx="982">
                  <c:v>-8.96023419354944</c:v>
                </c:pt>
                <c:pt idx="983">
                  <c:v>-8.96736094732612</c:v>
                </c:pt>
                <c:pt idx="984">
                  <c:v>-8.9744877618387</c:v>
                </c:pt>
                <c:pt idx="985">
                  <c:v>-8.98161463708653</c:v>
                </c:pt>
                <c:pt idx="986">
                  <c:v>-8.98874157306896</c:v>
                </c:pt>
                <c:pt idx="987">
                  <c:v>-8.99586856978533</c:v>
                </c:pt>
                <c:pt idx="988">
                  <c:v>-9.00299562723499</c:v>
                </c:pt>
                <c:pt idx="989">
                  <c:v>-9.01012274541729</c:v>
                </c:pt>
                <c:pt idx="990">
                  <c:v>-9.01724992433158</c:v>
                </c:pt>
                <c:pt idx="991">
                  <c:v>-9.0243771639772</c:v>
                </c:pt>
                <c:pt idx="992">
                  <c:v>-9.03150446435349</c:v>
                </c:pt>
                <c:pt idx="993">
                  <c:v>-9.03863182545982</c:v>
                </c:pt>
                <c:pt idx="994">
                  <c:v>-9.04575924729551</c:v>
                </c:pt>
                <c:pt idx="995">
                  <c:v>-9.05288672985993</c:v>
                </c:pt>
                <c:pt idx="996">
                  <c:v>-9.06001427315241</c:v>
                </c:pt>
                <c:pt idx="997">
                  <c:v>-9.06714187717231</c:v>
                </c:pt>
                <c:pt idx="998">
                  <c:v>-9.07426954191897</c:v>
                </c:pt>
                <c:pt idx="999">
                  <c:v>-9.08139726739173</c:v>
                </c:pt>
                <c:pt idx="1000">
                  <c:v>-9.08852505358995</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Calculs!$K$4:$K$1004</c:f>
              <c:numCache>
                <c:formatCode>General</c:formatCode>
                <c:ptCount val="1001"/>
                <c:pt idx="0">
                  <c:v>0</c:v>
                </c:pt>
                <c:pt idx="1">
                  <c:v>0.00149761157315366</c:v>
                </c:pt>
                <c:pt idx="2">
                  <c:v>0.00994086543666655</c:v>
                </c:pt>
                <c:pt idx="3">
                  <c:v>0.0309449661824849</c:v>
                </c:pt>
                <c:pt idx="4">
                  <c:v>0.0655473254807626</c:v>
                </c:pt>
                <c:pt idx="5">
                  <c:v>0.112794928389273</c:v>
                </c:pt>
                <c:pt idx="6">
                  <c:v>0.172339135868416</c:v>
                </c:pt>
                <c:pt idx="7">
                  <c:v>0.244133794910506</c:v>
                </c:pt>
                <c:pt idx="8">
                  <c:v>0.328132439080203</c:v>
                </c:pt>
                <c:pt idx="9">
                  <c:v>0.424288290701774</c:v>
                </c:pt>
                <c:pt idx="10">
                  <c:v>0.532554263071725</c:v>
                </c:pt>
                <c:pt idx="11">
                  <c:v>0.652882962696385</c:v>
                </c:pt>
                <c:pt idx="12">
                  <c:v>0.785226691554009</c:v>
                </c:pt>
                <c:pt idx="13">
                  <c:v>0.92953744938099</c:v>
                </c:pt>
                <c:pt idx="14">
                  <c:v>1.08576693598176</c:v>
                </c:pt>
                <c:pt idx="15">
                  <c:v>1.2538665535619</c:v>
                </c:pt>
                <c:pt idx="16">
                  <c:v>1.43378740908412</c:v>
                </c:pt>
                <c:pt idx="17">
                  <c:v>1.62548031664655</c:v>
                </c:pt>
                <c:pt idx="18">
                  <c:v>1.82889579988301</c:v>
                </c:pt>
                <c:pt idx="19">
                  <c:v>2.04398409438469</c:v>
                </c:pt>
                <c:pt idx="20">
                  <c:v>2.27069515014293</c:v>
                </c:pt>
                <c:pt idx="21">
                  <c:v>2.50897863401254</c:v>
                </c:pt>
                <c:pt idx="22">
                  <c:v>2.75876913185433</c:v>
                </c:pt>
                <c:pt idx="23">
                  <c:v>3.02000024285186</c:v>
                </c:pt>
                <c:pt idx="24">
                  <c:v>3.29261940370578</c:v>
                </c:pt>
                <c:pt idx="25">
                  <c:v>3.57657382859159</c:v>
                </c:pt>
                <c:pt idx="26">
                  <c:v>3.87181051756387</c:v>
                </c:pt>
                <c:pt idx="27">
                  <c:v>4.17827625525355</c:v>
                </c:pt>
                <c:pt idx="28">
                  <c:v>4.4959176100076</c:v>
                </c:pt>
                <c:pt idx="29">
                  <c:v>4.8246809334096</c:v>
                </c:pt>
                <c:pt idx="30">
                  <c:v>5.16451236013052</c:v>
                </c:pt>
                <c:pt idx="31">
                  <c:v>5.51535780806741</c:v>
                </c:pt>
                <c:pt idx="32">
                  <c:v>5.87716297873451</c:v>
                </c:pt>
                <c:pt idx="33">
                  <c:v>6.24987335787673</c:v>
                </c:pt>
                <c:pt idx="34">
                  <c:v>6.63343421628008</c:v>
                </c:pt>
                <c:pt idx="35">
                  <c:v>7.02779061075713</c:v>
                </c:pt>
                <c:pt idx="36">
                  <c:v>7.43288738528883</c:v>
                </c:pt>
                <c:pt idx="37">
                  <c:v>7.84866917230639</c:v>
                </c:pt>
                <c:pt idx="38">
                  <c:v>8.27508039409912</c:v>
                </c:pt>
                <c:pt idx="39">
                  <c:v>8.71206526433602</c:v>
                </c:pt>
                <c:pt idx="40">
                  <c:v>9.15956778969014</c:v>
                </c:pt>
                <c:pt idx="41">
                  <c:v>9.61753177155636</c:v>
                </c:pt>
                <c:pt idx="42">
                  <c:v>10.085900807854</c:v>
                </c:pt>
                <c:pt idx="43">
                  <c:v>10.5646182949072</c:v>
                </c:pt>
                <c:pt idx="44">
                  <c:v>11.0536274293952</c:v>
                </c:pt>
                <c:pt idx="45">
                  <c:v>11.552871210369</c:v>
                </c:pt>
                <c:pt idx="46">
                  <c:v>12.0622924413253</c:v>
                </c:pt>
                <c:pt idx="47">
                  <c:v>12.5818337323372</c:v>
                </c:pt>
                <c:pt idx="48">
                  <c:v>13.1114375022334</c:v>
                </c:pt>
                <c:pt idx="49">
                  <c:v>13.6510459808248</c:v>
                </c:pt>
                <c:pt idx="50">
                  <c:v>14.2006012111725</c:v>
                </c:pt>
                <c:pt idx="51">
                  <c:v>14.7600450518965</c:v>
                </c:pt>
                <c:pt idx="52">
                  <c:v>15.3293191795192</c:v>
                </c:pt>
                <c:pt idx="53">
                  <c:v>15.9083650908437</c:v>
                </c:pt>
                <c:pt idx="54">
                  <c:v>16.4971241053613</c:v>
                </c:pt>
                <c:pt idx="55">
                  <c:v>17.0955373676895</c:v>
                </c:pt>
                <c:pt idx="56">
                  <c:v>17.7035458500344</c:v>
                </c:pt>
                <c:pt idx="57">
                  <c:v>18.3210903546783</c:v>
                </c:pt>
                <c:pt idx="58">
                  <c:v>18.9481115164897</c:v>
                </c:pt>
                <c:pt idx="59">
                  <c:v>19.5845498054528</c:v>
                </c:pt>
                <c:pt idx="60">
                  <c:v>20.2303455292171</c:v>
                </c:pt>
                <c:pt idx="61">
                  <c:v>20.8854388356633</c:v>
                </c:pt>
                <c:pt idx="62">
                  <c:v>21.5497697154852</c:v>
                </c:pt>
                <c:pt idx="63">
                  <c:v>22.2232511580769</c:v>
                </c:pt>
                <c:pt idx="64">
                  <c:v>22.9057422793436</c:v>
                </c:pt>
                <c:pt idx="65">
                  <c:v>23.5970751444598</c:v>
                </c:pt>
                <c:pt idx="66">
                  <c:v>24.297081622634</c:v>
                </c:pt>
                <c:pt idx="67">
                  <c:v>25.005568764452</c:v>
                </c:pt>
                <c:pt idx="68">
                  <c:v>25.7222941592072</c:v>
                </c:pt>
                <c:pt idx="69">
                  <c:v>26.4469467340393</c:v>
                </c:pt>
                <c:pt idx="70">
                  <c:v>27.1791275513389</c:v>
                </c:pt>
                <c:pt idx="71">
                  <c:v>27.9183936510392</c:v>
                </c:pt>
                <c:pt idx="72">
                  <c:v>28.6643019319154</c:v>
                </c:pt>
                <c:pt idx="73">
                  <c:v>29.4164091961913</c:v>
                </c:pt>
                <c:pt idx="74">
                  <c:v>30.1742721933886</c:v>
                </c:pt>
                <c:pt idx="75">
                  <c:v>30.9374476634028</c:v>
                </c:pt>
                <c:pt idx="76">
                  <c:v>31.7054923787871</c:v>
                </c:pt>
                <c:pt idx="77">
                  <c:v>32.4779631862312</c:v>
                </c:pt>
                <c:pt idx="78">
                  <c:v>33.2544170472194</c:v>
                </c:pt>
                <c:pt idx="79">
                  <c:v>34.0344110778551</c:v>
                </c:pt>
                <c:pt idx="80">
                  <c:v>34.8175025878409</c:v>
                </c:pt>
                <c:pt idx="81">
                  <c:v>35.6033013345865</c:v>
                </c:pt>
                <c:pt idx="82">
                  <c:v>36.3915217448462</c:v>
                </c:pt>
                <c:pt idx="83">
                  <c:v>37.1819306492936</c:v>
                </c:pt>
                <c:pt idx="84">
                  <c:v>37.9742950357498</c:v>
                </c:pt>
                <c:pt idx="85">
                  <c:v>38.7683820599819</c:v>
                </c:pt>
                <c:pt idx="86">
                  <c:v>39.563959056254</c:v>
                </c:pt>
                <c:pt idx="87">
                  <c:v>40.3607935476303</c:v>
                </c:pt>
                <c:pt idx="88">
                  <c:v>41.1586532560274</c:v>
                </c:pt>
                <c:pt idx="89">
                  <c:v>41.9573226144923</c:v>
                </c:pt>
                <c:pt idx="90">
                  <c:v>42.7566192634275</c:v>
                </c:pt>
                <c:pt idx="91">
                  <c:v>43.5563775226215</c:v>
                </c:pt>
                <c:pt idx="92">
                  <c:v>44.3564318767097</c:v>
                </c:pt>
                <c:pt idx="93">
                  <c:v>45.1566211060552</c:v>
                </c:pt>
                <c:pt idx="94">
                  <c:v>45.9567924130316</c:v>
                </c:pt>
                <c:pt idx="95">
                  <c:v>46.7567972907362</c:v>
                </c:pt>
                <c:pt idx="96">
                  <c:v>47.5564873956476</c:v>
                </c:pt>
                <c:pt idx="97">
                  <c:v>48.3557310564116</c:v>
                </c:pt>
                <c:pt idx="98">
                  <c:v>49.1544297628562</c:v>
                </c:pt>
                <c:pt idx="99">
                  <c:v>49.9525016237902</c:v>
                </c:pt>
                <c:pt idx="100">
                  <c:v>50.749864843289</c:v>
                </c:pt>
                <c:pt idx="101">
                  <c:v>51.5464377214809</c:v>
                </c:pt>
                <c:pt idx="102">
                  <c:v>52.3421386553031</c:v>
                </c:pt>
                <c:pt idx="103">
                  <c:v>53.136886139228</c:v>
                </c:pt>
                <c:pt idx="104">
                  <c:v>53.930598765958</c:v>
                </c:pt>
                <c:pt idx="105">
                  <c:v>54.7231952270908</c:v>
                </c:pt>
                <c:pt idx="106">
                  <c:v>55.5145943137544</c:v>
                </c:pt>
                <c:pt idx="107">
                  <c:v>56.3047149172125</c:v>
                </c:pt>
                <c:pt idx="108">
                  <c:v>57.0934760294402</c:v>
                </c:pt>
                <c:pt idx="109">
                  <c:v>57.8808173678719</c:v>
                </c:pt>
                <c:pt idx="110">
                  <c:v>58.6667199721302</c:v>
                </c:pt>
                <c:pt idx="111">
                  <c:v>59.4511855264254</c:v>
                </c:pt>
                <c:pt idx="112">
                  <c:v>60.2342157097029</c:v>
                </c:pt>
                <c:pt idx="113">
                  <c:v>61.0158121956622</c:v>
                </c:pt>
                <c:pt idx="114">
                  <c:v>61.7959766527747</c:v>
                </c:pt>
                <c:pt idx="115">
                  <c:v>62.5747107443026</c:v>
                </c:pt>
                <c:pt idx="116">
                  <c:v>63.352016128317</c:v>
                </c:pt>
                <c:pt idx="117">
                  <c:v>64.1278944577163</c:v>
                </c:pt>
                <c:pt idx="118">
                  <c:v>64.9023473802442</c:v>
                </c:pt>
                <c:pt idx="119">
                  <c:v>65.6753765385076</c:v>
                </c:pt>
                <c:pt idx="120">
                  <c:v>66.4469835699949</c:v>
                </c:pt>
                <c:pt idx="121">
                  <c:v>67.2171701070938</c:v>
                </c:pt>
                <c:pt idx="122">
                  <c:v>67.9859377771088</c:v>
                </c:pt>
                <c:pt idx="123">
                  <c:v>68.7532882022793</c:v>
                </c:pt>
                <c:pt idx="124">
                  <c:v>69.519222999797</c:v>
                </c:pt>
                <c:pt idx="125">
                  <c:v>70.2837437818233</c:v>
                </c:pt>
                <c:pt idx="126">
                  <c:v>71.0468521555073</c:v>
                </c:pt>
                <c:pt idx="127">
                  <c:v>71.8085497230025</c:v>
                </c:pt>
                <c:pt idx="128">
                  <c:v>72.5688380814847</c:v>
                </c:pt>
                <c:pt idx="129">
                  <c:v>73.3277188231688</c:v>
                </c:pt>
                <c:pt idx="130">
                  <c:v>74.085193535326</c:v>
                </c:pt>
                <c:pt idx="131">
                  <c:v>74.8412638003011</c:v>
                </c:pt>
                <c:pt idx="132">
                  <c:v>75.5959311955291</c:v>
                </c:pt>
                <c:pt idx="133">
                  <c:v>76.3491972935525</c:v>
                </c:pt>
                <c:pt idx="134">
                  <c:v>77.1010636620376</c:v>
                </c:pt>
                <c:pt idx="135">
                  <c:v>77.8515318637919</c:v>
                </c:pt>
                <c:pt idx="136">
                  <c:v>78.6006034567801</c:v>
                </c:pt>
                <c:pt idx="137">
                  <c:v>79.348279994141</c:v>
                </c:pt>
                <c:pt idx="138">
                  <c:v>80.0945630242041</c:v>
                </c:pt>
                <c:pt idx="139">
                  <c:v>80.8394540905058</c:v>
                </c:pt>
                <c:pt idx="140">
                  <c:v>81.5829547318057</c:v>
                </c:pt>
                <c:pt idx="141">
                  <c:v>82.3250664821031</c:v>
                </c:pt>
                <c:pt idx="142">
                  <c:v>83.0657908706532</c:v>
                </c:pt>
                <c:pt idx="143">
                  <c:v>83.805129421983</c:v>
                </c:pt>
                <c:pt idx="144">
                  <c:v>84.5430836559073</c:v>
                </c:pt>
                <c:pt idx="145">
                  <c:v>85.279655087545</c:v>
                </c:pt>
                <c:pt idx="146">
                  <c:v>86.0148452273348</c:v>
                </c:pt>
                <c:pt idx="147">
                  <c:v>86.7486555810509</c:v>
                </c:pt>
                <c:pt idx="148">
                  <c:v>87.4810876498189</c:v>
                </c:pt>
                <c:pt idx="149">
                  <c:v>88.2121429301315</c:v>
                </c:pt>
                <c:pt idx="150">
                  <c:v>88.9418229138639</c:v>
                </c:pt>
                <c:pt idx="151">
                  <c:v>89.6701290882897</c:v>
                </c:pt>
                <c:pt idx="152">
                  <c:v>90.3970629360958</c:v>
                </c:pt>
                <c:pt idx="153">
                  <c:v>91.1226259353983</c:v>
                </c:pt>
                <c:pt idx="154">
                  <c:v>91.8468195597576</c:v>
                </c:pt>
                <c:pt idx="155">
                  <c:v>92.5696452781936</c:v>
                </c:pt>
                <c:pt idx="156">
                  <c:v>93.2911045552008</c:v>
                </c:pt>
                <c:pt idx="157">
                  <c:v>94.0111988507638</c:v>
                </c:pt>
                <c:pt idx="158">
                  <c:v>94.7299296203718</c:v>
                </c:pt>
                <c:pt idx="159">
                  <c:v>95.4472983150339</c:v>
                </c:pt>
                <c:pt idx="160">
                  <c:v>96.1633063812938</c:v>
                </c:pt>
                <c:pt idx="161">
                  <c:v>96.8779552612449</c:v>
                </c:pt>
                <c:pt idx="162">
                  <c:v>97.5912463925448</c:v>
                </c:pt>
                <c:pt idx="163">
                  <c:v>98.3031812084299</c:v>
                </c:pt>
                <c:pt idx="164">
                  <c:v>99.0137611377304</c:v>
                </c:pt>
                <c:pt idx="165">
                  <c:v>99.7229876048845</c:v>
                </c:pt>
                <c:pt idx="166">
                  <c:v>100.430862029953</c:v>
                </c:pt>
                <c:pt idx="167">
                  <c:v>101.137385828634</c:v>
                </c:pt>
                <c:pt idx="168">
                  <c:v>101.842560412277</c:v>
                </c:pt>
                <c:pt idx="169">
                  <c:v>102.546387187896</c:v>
                </c:pt>
                <c:pt idx="170">
                  <c:v>103.248867558187</c:v>
                </c:pt>
                <c:pt idx="171">
                  <c:v>103.950002921538</c:v>
                </c:pt>
                <c:pt idx="172">
                  <c:v>104.649794672047</c:v>
                </c:pt>
                <c:pt idx="173">
                  <c:v>105.348244199532</c:v>
                </c:pt>
                <c:pt idx="174">
                  <c:v>106.04535288955</c:v>
                </c:pt>
                <c:pt idx="175">
                  <c:v>106.741122123405</c:v>
                </c:pt>
                <c:pt idx="176">
                  <c:v>107.435553278166</c:v>
                </c:pt>
                <c:pt idx="177">
                  <c:v>108.128647726681</c:v>
                </c:pt>
                <c:pt idx="178">
                  <c:v>108.820406837588</c:v>
                </c:pt>
                <c:pt idx="179">
                  <c:v>109.51083197533</c:v>
                </c:pt>
                <c:pt idx="180">
                  <c:v>110.199924500169</c:v>
                </c:pt>
                <c:pt idx="181">
                  <c:v>110.887685768199</c:v>
                </c:pt>
                <c:pt idx="182">
                  <c:v>111.574117131359</c:v>
                </c:pt>
                <c:pt idx="183">
                  <c:v>112.259219937448</c:v>
                </c:pt>
                <c:pt idx="184">
                  <c:v>112.942995530137</c:v>
                </c:pt>
                <c:pt idx="185">
                  <c:v>113.625445248982</c:v>
                </c:pt>
                <c:pt idx="186">
                  <c:v>114.306570429438</c:v>
                </c:pt>
                <c:pt idx="187">
                  <c:v>114.986372402872</c:v>
                </c:pt>
                <c:pt idx="188">
                  <c:v>115.664852496577</c:v>
                </c:pt>
                <c:pt idx="189">
                  <c:v>116.342012033783</c:v>
                </c:pt>
                <c:pt idx="190">
                  <c:v>117.017852333672</c:v>
                </c:pt>
                <c:pt idx="191">
                  <c:v>117.692374711388</c:v>
                </c:pt>
                <c:pt idx="192">
                  <c:v>118.365580478055</c:v>
                </c:pt>
                <c:pt idx="193">
                  <c:v>119.037470940784</c:v>
                </c:pt>
                <c:pt idx="194">
                  <c:v>119.70804740269</c:v>
                </c:pt>
                <c:pt idx="195">
                  <c:v>120.377311162903</c:v>
                </c:pt>
                <c:pt idx="196">
                  <c:v>121.045263516579</c:v>
                </c:pt>
                <c:pt idx="197">
                  <c:v>121.711905754917</c:v>
                </c:pt>
                <c:pt idx="198">
                  <c:v>122.377239165167</c:v>
                </c:pt>
                <c:pt idx="199">
                  <c:v>123.041265030645</c:v>
                </c:pt>
                <c:pt idx="200">
                  <c:v>123.703984630745</c:v>
                </c:pt>
                <c:pt idx="201">
                  <c:v>130.259434842014</c:v>
                </c:pt>
                <c:pt idx="202">
                  <c:v>136.685078590675</c:v>
                </c:pt>
                <c:pt idx="203">
                  <c:v>142.982154502811</c:v>
                </c:pt>
                <c:pt idx="204">
                  <c:v>149.151863640917</c:v>
                </c:pt>
                <c:pt idx="205">
                  <c:v>155.195370648685</c:v>
                </c:pt>
                <c:pt idx="206">
                  <c:v>161.11380484575</c:v>
                </c:pt>
                <c:pt idx="207">
                  <c:v>166.908261274865</c:v>
                </c:pt>
                <c:pt idx="208">
                  <c:v>172.579801703789</c:v>
                </c:pt>
                <c:pt idx="209">
                  <c:v>178.129455584094</c:v>
                </c:pt>
                <c:pt idx="210">
                  <c:v>183.558220968917</c:v>
                </c:pt>
                <c:pt idx="211">
                  <c:v>188.867065391609</c:v>
                </c:pt>
                <c:pt idx="212">
                  <c:v>194.056926707098</c:v>
                </c:pt>
                <c:pt idx="213">
                  <c:v>199.128713897703</c:v>
                </c:pt>
                <c:pt idx="214">
                  <c:v>204.083307845015</c:v>
                </c:pt>
                <c:pt idx="215">
                  <c:v>208.92156206941</c:v>
                </c:pt>
                <c:pt idx="216">
                  <c:v>213.644303438631</c:v>
                </c:pt>
                <c:pt idx="217">
                  <c:v>218.252332846838</c:v>
                </c:pt>
                <c:pt idx="218">
                  <c:v>222.746425865443</c:v>
                </c:pt>
                <c:pt idx="219">
                  <c:v>227.127333366955</c:v>
                </c:pt>
                <c:pt idx="220">
                  <c:v>231.395782123044</c:v>
                </c:pt>
                <c:pt idx="221">
                  <c:v>235.552475377935</c:v>
                </c:pt>
                <c:pt idx="222">
                  <c:v>239.598093398214</c:v>
                </c:pt>
                <c:pt idx="223">
                  <c:v>243.533294000073</c:v>
                </c:pt>
                <c:pt idx="224">
                  <c:v>247.358713054975</c:v>
                </c:pt>
                <c:pt idx="225">
                  <c:v>251.074964974691</c:v>
                </c:pt>
                <c:pt idx="226">
                  <c:v>254.682643176604</c:v>
                </c:pt>
                <c:pt idx="227">
                  <c:v>258.182320530185</c:v>
                </c:pt>
                <c:pt idx="228">
                  <c:v>261.574549785476</c:v>
                </c:pt>
                <c:pt idx="229">
                  <c:v>264.859863984431</c:v>
                </c:pt>
                <c:pt idx="230">
                  <c:v>268.038776855943</c:v>
                </c:pt>
                <c:pt idx="231">
                  <c:v>271.111783195368</c:v>
                </c:pt>
                <c:pt idx="232">
                  <c:v>274.079359229376</c:v>
                </c:pt>
                <c:pt idx="233">
                  <c:v>276.941962966974</c:v>
                </c:pt>
                <c:pt idx="234">
                  <c:v>279.700034537537</c:v>
                </c:pt>
                <c:pt idx="235">
                  <c:v>282.353996516769</c:v>
                </c:pt>
                <c:pt idx="236">
                  <c:v>284.904254241518</c:v>
                </c:pt>
                <c:pt idx="237">
                  <c:v>287.351196114468</c:v>
                </c:pt>
                <c:pt idx="238">
                  <c:v>289.695193899829</c:v>
                </c:pt>
                <c:pt idx="239">
                  <c:v>291.936603011229</c:v>
                </c:pt>
                <c:pt idx="240">
                  <c:v>294.075762793215</c:v>
                </c:pt>
                <c:pt idx="241">
                  <c:v>296.11299679793</c:v>
                </c:pt>
                <c:pt idx="242">
                  <c:v>298.048613058807</c:v>
                </c:pt>
                <c:pt idx="243">
                  <c:v>299.882904363398</c:v>
                </c:pt>
                <c:pt idx="244">
                  <c:v>301.61614852789</c:v>
                </c:pt>
                <c:pt idx="245">
                  <c:v>303.24860867629</c:v>
                </c:pt>
                <c:pt idx="246">
                  <c:v>304.780533527887</c:v>
                </c:pt>
                <c:pt idx="247">
                  <c:v>306.212157697298</c:v>
                </c:pt>
                <c:pt idx="248">
                  <c:v>307.543702012255</c:v>
                </c:pt>
                <c:pt idx="249">
                  <c:v>308.775373855343</c:v>
                </c:pt>
                <c:pt idx="250">
                  <c:v>309.907367537041</c:v>
                </c:pt>
                <c:pt idx="251">
                  <c:v>310.939864708734</c:v>
                </c:pt>
                <c:pt idx="252">
                  <c:v>311.873034825793</c:v>
                </c:pt>
                <c:pt idx="253">
                  <c:v>312.707035672151</c:v>
                </c:pt>
                <c:pt idx="254">
                  <c:v>313.442013959001</c:v>
                </c:pt>
                <c:pt idx="255">
                  <c:v>314.078106010923</c:v>
                </c:pt>
                <c:pt idx="256">
                  <c:v>314.615438552569</c:v>
                </c:pt>
                <c:pt idx="257">
                  <c:v>315.054129607607</c:v>
                </c:pt>
                <c:pt idx="258">
                  <c:v>315.394289518347</c:v>
                </c:pt>
                <c:pt idx="259">
                  <c:v>315.636022089161</c:v>
                </c:pt>
                <c:pt idx="260">
                  <c:v>315.77942584937</c:v>
                </c:pt>
                <c:pt idx="261">
                  <c:v>315.824595422082</c:v>
                </c:pt>
                <c:pt idx="262">
                  <c:v>315.771622975766</c:v>
                </c:pt>
                <c:pt idx="263">
                  <c:v>315.620599726499</c:v>
                </c:pt>
                <c:pt idx="264">
                  <c:v>315.37161745262</c:v>
                </c:pt>
                <c:pt idx="265">
                  <c:v>315.024769981269</c:v>
                </c:pt>
                <c:pt idx="266">
                  <c:v>314.58015460848</c:v>
                </c:pt>
                <c:pt idx="267">
                  <c:v>314.037873420721</c:v>
                </c:pt>
                <c:pt idx="268">
                  <c:v>313.398034494531</c:v>
                </c:pt>
                <c:pt idx="269">
                  <c:v>312.660752960771</c:v>
                </c:pt>
                <c:pt idx="270">
                  <c:v>311.826151929127</c:v>
                </c:pt>
                <c:pt idx="271">
                  <c:v>310.894363276055</c:v>
                </c:pt>
                <c:pt idx="272">
                  <c:v>309.865528304702</c:v>
                </c:pt>
                <c:pt idx="273">
                  <c:v>308.739798288604</c:v>
                </c:pt>
                <c:pt idx="274">
                  <c:v>307.517334912389</c:v>
                </c:pt>
                <c:pt idx="275">
                  <c:v>306.198310622879</c:v>
                </c:pt>
                <c:pt idx="276">
                  <c:v>304.782908903259</c:v>
                </c:pt>
                <c:pt idx="277">
                  <c:v>303.271324481749</c:v>
                </c:pt>
                <c:pt idx="278">
                  <c:v>301.663763484855</c:v>
                </c:pt>
                <c:pt idx="279">
                  <c:v>299.960443543796</c:v>
                </c:pt>
                <c:pt idx="280">
                  <c:v>298.1615938614</c:v>
                </c:pt>
                <c:pt idx="281">
                  <c:v>296.267455245539</c:v>
                </c:pt>
                <c:pt idx="282">
                  <c:v>294.278280114138</c:v>
                </c:pt>
                <c:pt idx="283">
                  <c:v>292.194332475928</c:v>
                </c:pt>
                <c:pt idx="284">
                  <c:v>290.015887890361</c:v>
                </c:pt>
                <c:pt idx="285">
                  <c:v>287.743233409507</c:v>
                </c:pt>
                <c:pt idx="286">
                  <c:v>285.376667504276</c:v>
                </c:pt>
                <c:pt idx="287">
                  <c:v>282.916499976872</c:v>
                </c:pt>
                <c:pt idx="288">
                  <c:v>280.363051861099</c:v>
                </c:pt>
                <c:pt idx="289">
                  <c:v>277.716655311842</c:v>
                </c:pt>
                <c:pt idx="290">
                  <c:v>274.977653484862</c:v>
                </c:pt>
                <c:pt idx="291">
                  <c:v>272.146400407841</c:v>
                </c:pt>
                <c:pt idx="292">
                  <c:v>269.223260843513</c:v>
                </c:pt>
                <c:pt idx="293">
                  <c:v>266.208610145553</c:v>
                </c:pt>
                <c:pt idx="294">
                  <c:v>263.102834107855</c:v>
                </c:pt>
                <c:pt idx="295">
                  <c:v>259.906328807727</c:v>
                </c:pt>
                <c:pt idx="296">
                  <c:v>256.619500443462</c:v>
                </c:pt>
                <c:pt idx="297">
                  <c:v>253.242765166734</c:v>
                </c:pt>
                <c:pt idx="298">
                  <c:v>249.776548910171</c:v>
                </c:pt>
                <c:pt idx="299">
                  <c:v>246.221287210483</c:v>
                </c:pt>
                <c:pt idx="300">
                  <c:v>242.577425027439</c:v>
                </c:pt>
                <c:pt idx="301">
                  <c:v>238.845416559016</c:v>
                </c:pt>
                <c:pt idx="302">
                  <c:v>235.025725052977</c:v>
                </c:pt>
                <c:pt idx="303">
                  <c:v>231.11882261515</c:v>
                </c:pt>
                <c:pt idx="304">
                  <c:v>227.125190014666</c:v>
                </c:pt>
                <c:pt idx="305">
                  <c:v>223.045316486372</c:v>
                </c:pt>
                <c:pt idx="306">
                  <c:v>218.879699530671</c:v>
                </c:pt>
                <c:pt idx="307">
                  <c:v>214.628844710986</c:v>
                </c:pt>
                <c:pt idx="308">
                  <c:v>210.293265449077</c:v>
                </c:pt>
                <c:pt idx="309">
                  <c:v>205.873482818408</c:v>
                </c:pt>
                <c:pt idx="310">
                  <c:v>201.370025335761</c:v>
                </c:pt>
                <c:pt idx="311">
                  <c:v>196.783428751304</c:v>
                </c:pt>
                <c:pt idx="312">
                  <c:v>192.114235837282</c:v>
                </c:pt>
                <c:pt idx="313">
                  <c:v>187.362996175533</c:v>
                </c:pt>
                <c:pt idx="314">
                  <c:v>182.530265944007</c:v>
                </c:pt>
                <c:pt idx="315">
                  <c:v>177.616607702456</c:v>
                </c:pt>
                <c:pt idx="316">
                  <c:v>172.622590177472</c:v>
                </c:pt>
                <c:pt idx="317">
                  <c:v>167.548788047049</c:v>
                </c:pt>
                <c:pt idx="318">
                  <c:v>162.395781724827</c:v>
                </c:pt>
                <c:pt idx="319">
                  <c:v>157.164157144174</c:v>
                </c:pt>
                <c:pt idx="320">
                  <c:v>151.854505542285</c:v>
                </c:pt>
                <c:pt idx="321">
                  <c:v>146.467423244423</c:v>
                </c:pt>
                <c:pt idx="322">
                  <c:v>141.003511448485</c:v>
                </c:pt>
                <c:pt idx="323">
                  <c:v>135.463376010014</c:v>
                </c:pt>
                <c:pt idx="324">
                  <c:v>129.847627227815</c:v>
                </c:pt>
                <c:pt idx="325">
                  <c:v>124.156879630311</c:v>
                </c:pt>
                <c:pt idx="326">
                  <c:v>118.391751762781</c:v>
                </c:pt>
                <c:pt idx="327">
                  <c:v>112.5528659756</c:v>
                </c:pt>
                <c:pt idx="328">
                  <c:v>106.640848213625</c:v>
                </c:pt>
                <c:pt idx="329">
                  <c:v>100.656327806845</c:v>
                </c:pt>
                <c:pt idx="330">
                  <c:v>94.5999372624113</c:v>
                </c:pt>
                <c:pt idx="331">
                  <c:v>88.4723120581828</c:v>
                </c:pt>
                <c:pt idx="332">
                  <c:v>82.2740904378779</c:v>
                </c:pt>
                <c:pt idx="333">
                  <c:v>76.0059132079617</c:v>
                </c:pt>
                <c:pt idx="334">
                  <c:v>69.6684235363634</c:v>
                </c:pt>
                <c:pt idx="335">
                  <c:v>63.2622667531313</c:v>
                </c:pt>
                <c:pt idx="336">
                  <c:v>56.788090153121</c:v>
                </c:pt>
                <c:pt idx="337">
                  <c:v>50.2465428008116</c:v>
                </c:pt>
                <c:pt idx="338">
                  <c:v>43.6382753373412</c:v>
                </c:pt>
                <c:pt idx="339">
                  <c:v>36.9639397898459</c:v>
                </c:pt>
                <c:pt idx="340">
                  <c:v>30.2241893831857</c:v>
                </c:pt>
                <c:pt idx="341">
                  <c:v>23.4196783541361</c:v>
                </c:pt>
                <c:pt idx="342">
                  <c:v>16.5510617681181</c:v>
                </c:pt>
                <c:pt idx="343">
                  <c:v>9.6189953385379</c:v>
                </c:pt>
                <c:pt idx="344">
                  <c:v>2.62413524880365</c:v>
                </c:pt>
                <c:pt idx="345">
                  <c:v>-4.43286202292057</c:v>
                </c:pt>
                <c:pt idx="346">
                  <c:v>-4.43994995521391</c:v>
                </c:pt>
                <c:pt idx="347">
                  <c:v>-4.44703794865919</c:v>
                </c:pt>
                <c:pt idx="348">
                  <c:v>-4.45412600325577</c:v>
                </c:pt>
                <c:pt idx="349">
                  <c:v>-4.46121411900298</c:v>
                </c:pt>
                <c:pt idx="350">
                  <c:v>-4.46830229590018</c:v>
                </c:pt>
                <c:pt idx="351">
                  <c:v>-4.47539053394671</c:v>
                </c:pt>
                <c:pt idx="352">
                  <c:v>-4.48247883314192</c:v>
                </c:pt>
                <c:pt idx="353">
                  <c:v>-4.48956719348516</c:v>
                </c:pt>
                <c:pt idx="354">
                  <c:v>-4.49665561497577</c:v>
                </c:pt>
                <c:pt idx="355">
                  <c:v>-4.5037440976131</c:v>
                </c:pt>
                <c:pt idx="356">
                  <c:v>-4.5108326413965</c:v>
                </c:pt>
                <c:pt idx="357">
                  <c:v>-4.51792124632531</c:v>
                </c:pt>
                <c:pt idx="358">
                  <c:v>-4.52500991239888</c:v>
                </c:pt>
                <c:pt idx="359">
                  <c:v>-4.53209863961656</c:v>
                </c:pt>
                <c:pt idx="360">
                  <c:v>-4.53918742797769</c:v>
                </c:pt>
                <c:pt idx="361">
                  <c:v>-4.54627627748162</c:v>
                </c:pt>
                <c:pt idx="362">
                  <c:v>-4.55336518812771</c:v>
                </c:pt>
                <c:pt idx="363">
                  <c:v>-4.56045415991528</c:v>
                </c:pt>
                <c:pt idx="364">
                  <c:v>-4.5675431928437</c:v>
                </c:pt>
                <c:pt idx="365">
                  <c:v>-4.5746322869123</c:v>
                </c:pt>
                <c:pt idx="366">
                  <c:v>-4.58172144212044</c:v>
                </c:pt>
                <c:pt idx="367">
                  <c:v>-4.58881065846746</c:v>
                </c:pt>
                <c:pt idx="368">
                  <c:v>-4.59589993595272</c:v>
                </c:pt>
                <c:pt idx="369">
                  <c:v>-4.60298927457554</c:v>
                </c:pt>
                <c:pt idx="370">
                  <c:v>-4.61007867433529</c:v>
                </c:pt>
                <c:pt idx="371">
                  <c:v>-4.61716813523131</c:v>
                </c:pt>
                <c:pt idx="372">
                  <c:v>-4.62425765726294</c:v>
                </c:pt>
                <c:pt idx="373">
                  <c:v>-4.63134724042953</c:v>
                </c:pt>
                <c:pt idx="374">
                  <c:v>-4.63843688473044</c:v>
                </c:pt>
                <c:pt idx="375">
                  <c:v>-4.645526590165</c:v>
                </c:pt>
                <c:pt idx="376">
                  <c:v>-4.65261635673256</c:v>
                </c:pt>
                <c:pt idx="377">
                  <c:v>-4.65970618443248</c:v>
                </c:pt>
                <c:pt idx="378">
                  <c:v>-4.66679607326409</c:v>
                </c:pt>
                <c:pt idx="379">
                  <c:v>-4.67388602322674</c:v>
                </c:pt>
                <c:pt idx="380">
                  <c:v>-4.68097603431979</c:v>
                </c:pt>
                <c:pt idx="381">
                  <c:v>-4.68806610654257</c:v>
                </c:pt>
                <c:pt idx="382">
                  <c:v>-4.69515623989443</c:v>
                </c:pt>
                <c:pt idx="383">
                  <c:v>-4.70224643437473</c:v>
                </c:pt>
                <c:pt idx="384">
                  <c:v>-4.7093366899828</c:v>
                </c:pt>
                <c:pt idx="385">
                  <c:v>-4.716427006718</c:v>
                </c:pt>
                <c:pt idx="386">
                  <c:v>-4.72351738457967</c:v>
                </c:pt>
                <c:pt idx="387">
                  <c:v>-4.73060782356716</c:v>
                </c:pt>
                <c:pt idx="388">
                  <c:v>-4.73769832367981</c:v>
                </c:pt>
                <c:pt idx="389">
                  <c:v>-4.74478888491698</c:v>
                </c:pt>
                <c:pt idx="390">
                  <c:v>-4.751879507278</c:v>
                </c:pt>
                <c:pt idx="391">
                  <c:v>-4.75897019076223</c:v>
                </c:pt>
                <c:pt idx="392">
                  <c:v>-4.76606093536901</c:v>
                </c:pt>
                <c:pt idx="393">
                  <c:v>-4.77315174109769</c:v>
                </c:pt>
                <c:pt idx="394">
                  <c:v>-4.78024260794761</c:v>
                </c:pt>
                <c:pt idx="395">
                  <c:v>-4.78733353591813</c:v>
                </c:pt>
                <c:pt idx="396">
                  <c:v>-4.79442452500859</c:v>
                </c:pt>
                <c:pt idx="397">
                  <c:v>-4.80151557521833</c:v>
                </c:pt>
                <c:pt idx="398">
                  <c:v>-4.80860668654671</c:v>
                </c:pt>
                <c:pt idx="399">
                  <c:v>-4.81569785899306</c:v>
                </c:pt>
                <c:pt idx="400">
                  <c:v>-4.82278909255674</c:v>
                </c:pt>
                <c:pt idx="401">
                  <c:v>-4.8298803872371</c:v>
                </c:pt>
                <c:pt idx="402">
                  <c:v>-4.83697174303348</c:v>
                </c:pt>
                <c:pt idx="403">
                  <c:v>-4.84406315994522</c:v>
                </c:pt>
                <c:pt idx="404">
                  <c:v>-4.85115463797168</c:v>
                </c:pt>
                <c:pt idx="405">
                  <c:v>-4.8582461771122</c:v>
                </c:pt>
                <c:pt idx="406">
                  <c:v>-4.86533777736612</c:v>
                </c:pt>
                <c:pt idx="407">
                  <c:v>-4.8724294387328</c:v>
                </c:pt>
                <c:pt idx="408">
                  <c:v>-4.87952116121159</c:v>
                </c:pt>
                <c:pt idx="409">
                  <c:v>-4.88661294480182</c:v>
                </c:pt>
                <c:pt idx="410">
                  <c:v>-4.89370478950284</c:v>
                </c:pt>
                <c:pt idx="411">
                  <c:v>-4.90079669531401</c:v>
                </c:pt>
                <c:pt idx="412">
                  <c:v>-4.90788866223466</c:v>
                </c:pt>
                <c:pt idx="413">
                  <c:v>-4.91498069026415</c:v>
                </c:pt>
                <c:pt idx="414">
                  <c:v>-4.92207277940182</c:v>
                </c:pt>
                <c:pt idx="415">
                  <c:v>-4.92916492964702</c:v>
                </c:pt>
                <c:pt idx="416">
                  <c:v>-4.9362571409991</c:v>
                </c:pt>
                <c:pt idx="417">
                  <c:v>-4.9433494134574</c:v>
                </c:pt>
                <c:pt idx="418">
                  <c:v>-4.95044174702127</c:v>
                </c:pt>
                <c:pt idx="419">
                  <c:v>-4.95753414169006</c:v>
                </c:pt>
                <c:pt idx="420">
                  <c:v>-4.96462659746311</c:v>
                </c:pt>
                <c:pt idx="421">
                  <c:v>-4.97171911433976</c:v>
                </c:pt>
                <c:pt idx="422">
                  <c:v>-4.97881169231938</c:v>
                </c:pt>
                <c:pt idx="423">
                  <c:v>-4.9859043314013</c:v>
                </c:pt>
                <c:pt idx="424">
                  <c:v>-4.99299703158487</c:v>
                </c:pt>
                <c:pt idx="425">
                  <c:v>-5.00008979286944</c:v>
                </c:pt>
                <c:pt idx="426">
                  <c:v>-5.00718261525435</c:v>
                </c:pt>
                <c:pt idx="427">
                  <c:v>-5.01427549873895</c:v>
                </c:pt>
                <c:pt idx="428">
                  <c:v>-5.02136844332259</c:v>
                </c:pt>
                <c:pt idx="429">
                  <c:v>-5.02846144900461</c:v>
                </c:pt>
                <c:pt idx="430">
                  <c:v>-5.03555451578437</c:v>
                </c:pt>
                <c:pt idx="431">
                  <c:v>-5.0426476436612</c:v>
                </c:pt>
                <c:pt idx="432">
                  <c:v>-5.04974083263446</c:v>
                </c:pt>
                <c:pt idx="433">
                  <c:v>-5.05683408270349</c:v>
                </c:pt>
                <c:pt idx="434">
                  <c:v>-5.06392739386764</c:v>
                </c:pt>
                <c:pt idx="435">
                  <c:v>-5.07102076612625</c:v>
                </c:pt>
                <c:pt idx="436">
                  <c:v>-5.07811419947868</c:v>
                </c:pt>
                <c:pt idx="437">
                  <c:v>-5.08520769392427</c:v>
                </c:pt>
                <c:pt idx="438">
                  <c:v>-5.09230124946236</c:v>
                </c:pt>
                <c:pt idx="439">
                  <c:v>-5.0993948660923</c:v>
                </c:pt>
                <c:pt idx="440">
                  <c:v>-5.10648854381345</c:v>
                </c:pt>
                <c:pt idx="441">
                  <c:v>-5.11358228262514</c:v>
                </c:pt>
                <c:pt idx="442">
                  <c:v>-5.12067608252672</c:v>
                </c:pt>
                <c:pt idx="443">
                  <c:v>-5.12776994351754</c:v>
                </c:pt>
                <c:pt idx="444">
                  <c:v>-5.13486386559695</c:v>
                </c:pt>
                <c:pt idx="445">
                  <c:v>-5.1419578487643</c:v>
                </c:pt>
                <c:pt idx="446">
                  <c:v>-5.14905189301892</c:v>
                </c:pt>
                <c:pt idx="447">
                  <c:v>-5.15614599836018</c:v>
                </c:pt>
                <c:pt idx="448">
                  <c:v>-5.1632401647874</c:v>
                </c:pt>
                <c:pt idx="449">
                  <c:v>-5.17033439229995</c:v>
                </c:pt>
                <c:pt idx="450">
                  <c:v>-5.17742868089717</c:v>
                </c:pt>
                <c:pt idx="451">
                  <c:v>-5.1845230305784</c:v>
                </c:pt>
                <c:pt idx="452">
                  <c:v>-5.19161744134299</c:v>
                </c:pt>
                <c:pt idx="453">
                  <c:v>-5.19871191319029</c:v>
                </c:pt>
                <c:pt idx="454">
                  <c:v>-5.20580644611964</c:v>
                </c:pt>
                <c:pt idx="455">
                  <c:v>-5.2129010401304</c:v>
                </c:pt>
                <c:pt idx="456">
                  <c:v>-5.21999569522191</c:v>
                </c:pt>
                <c:pt idx="457">
                  <c:v>-5.22709041139351</c:v>
                </c:pt>
                <c:pt idx="458">
                  <c:v>-5.23418518864455</c:v>
                </c:pt>
                <c:pt idx="459">
                  <c:v>-5.24128002697439</c:v>
                </c:pt>
                <c:pt idx="460">
                  <c:v>-5.24837492638236</c:v>
                </c:pt>
                <c:pt idx="461">
                  <c:v>-5.25546988686781</c:v>
                </c:pt>
                <c:pt idx="462">
                  <c:v>-5.26256490843009</c:v>
                </c:pt>
                <c:pt idx="463">
                  <c:v>-5.26965999106855</c:v>
                </c:pt>
                <c:pt idx="464">
                  <c:v>-5.27675513478254</c:v>
                </c:pt>
                <c:pt idx="465">
                  <c:v>-5.28385033957139</c:v>
                </c:pt>
                <c:pt idx="466">
                  <c:v>-5.29094560543446</c:v>
                </c:pt>
                <c:pt idx="467">
                  <c:v>-5.29804093237109</c:v>
                </c:pt>
                <c:pt idx="468">
                  <c:v>-5.30513632038064</c:v>
                </c:pt>
                <c:pt idx="469">
                  <c:v>-5.31223176946244</c:v>
                </c:pt>
                <c:pt idx="470">
                  <c:v>-5.31932727961585</c:v>
                </c:pt>
                <c:pt idx="471">
                  <c:v>-5.32642285084021</c:v>
                </c:pt>
                <c:pt idx="472">
                  <c:v>-5.33351848313487</c:v>
                </c:pt>
                <c:pt idx="473">
                  <c:v>-5.34061417649917</c:v>
                </c:pt>
                <c:pt idx="474">
                  <c:v>-5.34770993093246</c:v>
                </c:pt>
                <c:pt idx="475">
                  <c:v>-5.35480574643409</c:v>
                </c:pt>
                <c:pt idx="476">
                  <c:v>-5.36190162300341</c:v>
                </c:pt>
                <c:pt idx="477">
                  <c:v>-5.36899756063976</c:v>
                </c:pt>
                <c:pt idx="478">
                  <c:v>-5.37609355934249</c:v>
                </c:pt>
                <c:pt idx="479">
                  <c:v>-5.38318961911094</c:v>
                </c:pt>
                <c:pt idx="480">
                  <c:v>-5.39028573994447</c:v>
                </c:pt>
                <c:pt idx="481">
                  <c:v>-5.39738192184242</c:v>
                </c:pt>
                <c:pt idx="482">
                  <c:v>-5.40447816480413</c:v>
                </c:pt>
                <c:pt idx="483">
                  <c:v>-5.41157446882896</c:v>
                </c:pt>
                <c:pt idx="484">
                  <c:v>-5.41867083391625</c:v>
                </c:pt>
                <c:pt idx="485">
                  <c:v>-5.42576726006534</c:v>
                </c:pt>
                <c:pt idx="486">
                  <c:v>-5.43286374727559</c:v>
                </c:pt>
                <c:pt idx="487">
                  <c:v>-5.43996029554634</c:v>
                </c:pt>
                <c:pt idx="488">
                  <c:v>-5.44705690487693</c:v>
                </c:pt>
                <c:pt idx="489">
                  <c:v>-5.45415357526672</c:v>
                </c:pt>
                <c:pt idx="490">
                  <c:v>-5.46125030671506</c:v>
                </c:pt>
                <c:pt idx="491">
                  <c:v>-5.46834709922128</c:v>
                </c:pt>
                <c:pt idx="492">
                  <c:v>-5.47544395278473</c:v>
                </c:pt>
                <c:pt idx="493">
                  <c:v>-5.48254086740477</c:v>
                </c:pt>
                <c:pt idx="494">
                  <c:v>-5.48963784308073</c:v>
                </c:pt>
                <c:pt idx="495">
                  <c:v>-5.49673487981197</c:v>
                </c:pt>
                <c:pt idx="496">
                  <c:v>-5.50383197759783</c:v>
                </c:pt>
                <c:pt idx="497">
                  <c:v>-5.51092913643766</c:v>
                </c:pt>
                <c:pt idx="498">
                  <c:v>-5.51802635633081</c:v>
                </c:pt>
                <c:pt idx="499">
                  <c:v>-5.52512363727662</c:v>
                </c:pt>
                <c:pt idx="500">
                  <c:v>-5.53222097927444</c:v>
                </c:pt>
                <c:pt idx="501">
                  <c:v>-5.53931838232362</c:v>
                </c:pt>
                <c:pt idx="502">
                  <c:v>-5.54641584642349</c:v>
                </c:pt>
                <c:pt idx="503">
                  <c:v>-5.55351337157342</c:v>
                </c:pt>
                <c:pt idx="504">
                  <c:v>-5.56061095777275</c:v>
                </c:pt>
                <c:pt idx="505">
                  <c:v>-5.56770860502082</c:v>
                </c:pt>
                <c:pt idx="506">
                  <c:v>-5.57480631331698</c:v>
                </c:pt>
                <c:pt idx="507">
                  <c:v>-5.58190408266057</c:v>
                </c:pt>
                <c:pt idx="508">
                  <c:v>-5.58900191305095</c:v>
                </c:pt>
                <c:pt idx="509">
                  <c:v>-5.59609980448747</c:v>
                </c:pt>
                <c:pt idx="510">
                  <c:v>-5.60319775696946</c:v>
                </c:pt>
                <c:pt idx="511">
                  <c:v>-5.61029577049627</c:v>
                </c:pt>
                <c:pt idx="512">
                  <c:v>-5.61739384506726</c:v>
                </c:pt>
                <c:pt idx="513">
                  <c:v>-5.62449198068176</c:v>
                </c:pt>
                <c:pt idx="514">
                  <c:v>-5.63159017733913</c:v>
                </c:pt>
                <c:pt idx="515">
                  <c:v>-5.63868843503872</c:v>
                </c:pt>
                <c:pt idx="516">
                  <c:v>-5.64578675377986</c:v>
                </c:pt>
                <c:pt idx="517">
                  <c:v>-5.6528851335619</c:v>
                </c:pt>
                <c:pt idx="518">
                  <c:v>-5.6599835743842</c:v>
                </c:pt>
                <c:pt idx="519">
                  <c:v>-5.6670820762461</c:v>
                </c:pt>
                <c:pt idx="520">
                  <c:v>-5.67418063914695</c:v>
                </c:pt>
                <c:pt idx="521">
                  <c:v>-5.68127926308609</c:v>
                </c:pt>
                <c:pt idx="522">
                  <c:v>-5.68837794806287</c:v>
                </c:pt>
                <c:pt idx="523">
                  <c:v>-5.69547669407663</c:v>
                </c:pt>
                <c:pt idx="524">
                  <c:v>-5.70257550112673</c:v>
                </c:pt>
                <c:pt idx="525">
                  <c:v>-5.70967436921251</c:v>
                </c:pt>
                <c:pt idx="526">
                  <c:v>-5.71677329833332</c:v>
                </c:pt>
                <c:pt idx="527">
                  <c:v>-5.7238722884885</c:v>
                </c:pt>
                <c:pt idx="528">
                  <c:v>-5.7309713396774</c:v>
                </c:pt>
                <c:pt idx="529">
                  <c:v>-5.73807045189937</c:v>
                </c:pt>
                <c:pt idx="530">
                  <c:v>-5.74516962515375</c:v>
                </c:pt>
                <c:pt idx="531">
                  <c:v>-5.7522688594399</c:v>
                </c:pt>
                <c:pt idx="532">
                  <c:v>-5.75936815475715</c:v>
                </c:pt>
                <c:pt idx="533">
                  <c:v>-5.76646751110486</c:v>
                </c:pt>
                <c:pt idx="534">
                  <c:v>-5.77356692848237</c:v>
                </c:pt>
                <c:pt idx="535">
                  <c:v>-5.78066640688903</c:v>
                </c:pt>
                <c:pt idx="536">
                  <c:v>-5.78776594632419</c:v>
                </c:pt>
                <c:pt idx="537">
                  <c:v>-5.79486554678719</c:v>
                </c:pt>
                <c:pt idx="538">
                  <c:v>-5.80196520827738</c:v>
                </c:pt>
                <c:pt idx="539">
                  <c:v>-5.8090649307941</c:v>
                </c:pt>
                <c:pt idx="540">
                  <c:v>-5.81616471433671</c:v>
                </c:pt>
                <c:pt idx="541">
                  <c:v>-5.82326455890455</c:v>
                </c:pt>
                <c:pt idx="542">
                  <c:v>-5.83036446449696</c:v>
                </c:pt>
                <c:pt idx="543">
                  <c:v>-5.8374644311133</c:v>
                </c:pt>
                <c:pt idx="544">
                  <c:v>-5.84456445875291</c:v>
                </c:pt>
                <c:pt idx="545">
                  <c:v>-5.85166454741514</c:v>
                </c:pt>
                <c:pt idx="546">
                  <c:v>-5.85876469709933</c:v>
                </c:pt>
                <c:pt idx="547">
                  <c:v>-5.86586490780483</c:v>
                </c:pt>
                <c:pt idx="548">
                  <c:v>-5.87296517953099</c:v>
                </c:pt>
                <c:pt idx="549">
                  <c:v>-5.88006551227715</c:v>
                </c:pt>
                <c:pt idx="550">
                  <c:v>-5.88716590604267</c:v>
                </c:pt>
                <c:pt idx="551">
                  <c:v>-5.89426636082688</c:v>
                </c:pt>
                <c:pt idx="552">
                  <c:v>-5.90136687662914</c:v>
                </c:pt>
                <c:pt idx="553">
                  <c:v>-5.90846745344879</c:v>
                </c:pt>
                <c:pt idx="554">
                  <c:v>-5.91556809128518</c:v>
                </c:pt>
                <c:pt idx="555">
                  <c:v>-5.92266879013766</c:v>
                </c:pt>
                <c:pt idx="556">
                  <c:v>-5.92976955000557</c:v>
                </c:pt>
                <c:pt idx="557">
                  <c:v>-5.93687037088826</c:v>
                </c:pt>
                <c:pt idx="558">
                  <c:v>-5.94397125278507</c:v>
                </c:pt>
                <c:pt idx="559">
                  <c:v>-5.95107219569536</c:v>
                </c:pt>
                <c:pt idx="560">
                  <c:v>-5.95817319961847</c:v>
                </c:pt>
                <c:pt idx="561">
                  <c:v>-5.96527426455375</c:v>
                </c:pt>
                <c:pt idx="562">
                  <c:v>-5.97237539050054</c:v>
                </c:pt>
                <c:pt idx="563">
                  <c:v>-5.97947657745819</c:v>
                </c:pt>
                <c:pt idx="564">
                  <c:v>-5.98657782542604</c:v>
                </c:pt>
                <c:pt idx="565">
                  <c:v>-5.99367913440345</c:v>
                </c:pt>
                <c:pt idx="566">
                  <c:v>-6.00078050438977</c:v>
                </c:pt>
                <c:pt idx="567">
                  <c:v>-6.00788193538433</c:v>
                </c:pt>
                <c:pt idx="568">
                  <c:v>-6.01498342738648</c:v>
                </c:pt>
                <c:pt idx="569">
                  <c:v>-6.02208498039558</c:v>
                </c:pt>
                <c:pt idx="570">
                  <c:v>-6.02918659441097</c:v>
                </c:pt>
                <c:pt idx="571">
                  <c:v>-6.03628826943199</c:v>
                </c:pt>
                <c:pt idx="572">
                  <c:v>-6.04339000545799</c:v>
                </c:pt>
                <c:pt idx="573">
                  <c:v>-6.05049180248832</c:v>
                </c:pt>
                <c:pt idx="574">
                  <c:v>-6.05759366052233</c:v>
                </c:pt>
                <c:pt idx="575">
                  <c:v>-6.06469557955936</c:v>
                </c:pt>
                <c:pt idx="576">
                  <c:v>-6.07179755959877</c:v>
                </c:pt>
                <c:pt idx="577">
                  <c:v>-6.07889960063988</c:v>
                </c:pt>
                <c:pt idx="578">
                  <c:v>-6.08600170268206</c:v>
                </c:pt>
                <c:pt idx="579">
                  <c:v>-6.09310386572466</c:v>
                </c:pt>
                <c:pt idx="580">
                  <c:v>-6.100206089767</c:v>
                </c:pt>
                <c:pt idx="581">
                  <c:v>-6.10730837480846</c:v>
                </c:pt>
                <c:pt idx="582">
                  <c:v>-6.11441072084836</c:v>
                </c:pt>
                <c:pt idx="583">
                  <c:v>-6.12151312788606</c:v>
                </c:pt>
                <c:pt idx="584">
                  <c:v>-6.1286155959209</c:v>
                </c:pt>
                <c:pt idx="585">
                  <c:v>-6.13571812495224</c:v>
                </c:pt>
                <c:pt idx="586">
                  <c:v>-6.14282071497942</c:v>
                </c:pt>
                <c:pt idx="587">
                  <c:v>-6.14992336600178</c:v>
                </c:pt>
                <c:pt idx="588">
                  <c:v>-6.15702607801867</c:v>
                </c:pt>
                <c:pt idx="589">
                  <c:v>-6.16412885102944</c:v>
                </c:pt>
                <c:pt idx="590">
                  <c:v>-6.17123168503343</c:v>
                </c:pt>
                <c:pt idx="591">
                  <c:v>-6.17833458003</c:v>
                </c:pt>
                <c:pt idx="592">
                  <c:v>-6.18543753601849</c:v>
                </c:pt>
                <c:pt idx="593">
                  <c:v>-6.19254055299825</c:v>
                </c:pt>
                <c:pt idx="594">
                  <c:v>-6.19964363096861</c:v>
                </c:pt>
                <c:pt idx="595">
                  <c:v>-6.20674676992894</c:v>
                </c:pt>
                <c:pt idx="596">
                  <c:v>-6.21384996987857</c:v>
                </c:pt>
                <c:pt idx="597">
                  <c:v>-6.22095323081686</c:v>
                </c:pt>
                <c:pt idx="598">
                  <c:v>-6.22805655274315</c:v>
                </c:pt>
                <c:pt idx="599">
                  <c:v>-6.23515993565678</c:v>
                </c:pt>
                <c:pt idx="600">
                  <c:v>-6.24226337955711</c:v>
                </c:pt>
                <c:pt idx="601">
                  <c:v>-6.24936688444348</c:v>
                </c:pt>
                <c:pt idx="602">
                  <c:v>-6.25647045031524</c:v>
                </c:pt>
                <c:pt idx="603">
                  <c:v>-6.26357407717174</c:v>
                </c:pt>
                <c:pt idx="604">
                  <c:v>-6.27067776501231</c:v>
                </c:pt>
                <c:pt idx="605">
                  <c:v>-6.27778151383631</c:v>
                </c:pt>
                <c:pt idx="606">
                  <c:v>-6.28488532364309</c:v>
                </c:pt>
                <c:pt idx="607">
                  <c:v>-6.29198919443199</c:v>
                </c:pt>
                <c:pt idx="608">
                  <c:v>-6.29909312620236</c:v>
                </c:pt>
                <c:pt idx="609">
                  <c:v>-6.30619711895355</c:v>
                </c:pt>
                <c:pt idx="610">
                  <c:v>-6.3133011726849</c:v>
                </c:pt>
                <c:pt idx="611">
                  <c:v>-6.32040528739575</c:v>
                </c:pt>
                <c:pt idx="612">
                  <c:v>-6.32750946308547</c:v>
                </c:pt>
                <c:pt idx="613">
                  <c:v>-6.33461369975338</c:v>
                </c:pt>
                <c:pt idx="614">
                  <c:v>-6.34171799739885</c:v>
                </c:pt>
                <c:pt idx="615">
                  <c:v>-6.34882235602122</c:v>
                </c:pt>
                <c:pt idx="616">
                  <c:v>-6.35592677561983</c:v>
                </c:pt>
                <c:pt idx="617">
                  <c:v>-6.36303125619403</c:v>
                </c:pt>
                <c:pt idx="618">
                  <c:v>-6.37013579774316</c:v>
                </c:pt>
                <c:pt idx="619">
                  <c:v>-6.37724040026659</c:v>
                </c:pt>
                <c:pt idx="620">
                  <c:v>-6.38434506376364</c:v>
                </c:pt>
                <c:pt idx="621">
                  <c:v>-6.39144978823367</c:v>
                </c:pt>
                <c:pt idx="622">
                  <c:v>-6.39855457367603</c:v>
                </c:pt>
                <c:pt idx="623">
                  <c:v>-6.40565942009005</c:v>
                </c:pt>
                <c:pt idx="624">
                  <c:v>-6.4127643274751</c:v>
                </c:pt>
                <c:pt idx="625">
                  <c:v>-6.41986929583051</c:v>
                </c:pt>
                <c:pt idx="626">
                  <c:v>-6.42697432515564</c:v>
                </c:pt>
                <c:pt idx="627">
                  <c:v>-6.43407941544982</c:v>
                </c:pt>
                <c:pt idx="628">
                  <c:v>-6.44118456671242</c:v>
                </c:pt>
                <c:pt idx="629">
                  <c:v>-6.44828977894276</c:v>
                </c:pt>
                <c:pt idx="630">
                  <c:v>-6.4553950521402</c:v>
                </c:pt>
                <c:pt idx="631">
                  <c:v>-6.46250038630409</c:v>
                </c:pt>
                <c:pt idx="632">
                  <c:v>-6.46960578143378</c:v>
                </c:pt>
                <c:pt idx="633">
                  <c:v>-6.4767112375286</c:v>
                </c:pt>
                <c:pt idx="634">
                  <c:v>-6.48381675458792</c:v>
                </c:pt>
                <c:pt idx="635">
                  <c:v>-6.49092233261106</c:v>
                </c:pt>
                <c:pt idx="636">
                  <c:v>-6.49802797159739</c:v>
                </c:pt>
                <c:pt idx="637">
                  <c:v>-6.50513367154625</c:v>
                </c:pt>
                <c:pt idx="638">
                  <c:v>-6.51223943245698</c:v>
                </c:pt>
                <c:pt idx="639">
                  <c:v>-6.51934525432893</c:v>
                </c:pt>
                <c:pt idx="640">
                  <c:v>-6.52645113716145</c:v>
                </c:pt>
                <c:pt idx="641">
                  <c:v>-6.53355708095389</c:v>
                </c:pt>
                <c:pt idx="642">
                  <c:v>-6.54066308570558</c:v>
                </c:pt>
                <c:pt idx="643">
                  <c:v>-6.54776915141589</c:v>
                </c:pt>
                <c:pt idx="644">
                  <c:v>-6.55487527808416</c:v>
                </c:pt>
                <c:pt idx="645">
                  <c:v>-6.56198146570972</c:v>
                </c:pt>
                <c:pt idx="646">
                  <c:v>-6.56908771429194</c:v>
                </c:pt>
                <c:pt idx="647">
                  <c:v>-6.57619402383015</c:v>
                </c:pt>
                <c:pt idx="648">
                  <c:v>-6.58330039432371</c:v>
                </c:pt>
                <c:pt idx="649">
                  <c:v>-6.59040682577196</c:v>
                </c:pt>
                <c:pt idx="650">
                  <c:v>-6.59751331817424</c:v>
                </c:pt>
                <c:pt idx="651">
                  <c:v>-6.60461987152991</c:v>
                </c:pt>
                <c:pt idx="652">
                  <c:v>-6.61172648583831</c:v>
                </c:pt>
                <c:pt idx="653">
                  <c:v>-6.61883316109879</c:v>
                </c:pt>
                <c:pt idx="654">
                  <c:v>-6.62593989731069</c:v>
                </c:pt>
                <c:pt idx="655">
                  <c:v>-6.63304669447336</c:v>
                </c:pt>
                <c:pt idx="656">
                  <c:v>-6.64015355258615</c:v>
                </c:pt>
                <c:pt idx="657">
                  <c:v>-6.64726047164841</c:v>
                </c:pt>
                <c:pt idx="658">
                  <c:v>-6.65436745165948</c:v>
                </c:pt>
                <c:pt idx="659">
                  <c:v>-6.66147449261871</c:v>
                </c:pt>
                <c:pt idx="660">
                  <c:v>-6.66858159452545</c:v>
                </c:pt>
                <c:pt idx="661">
                  <c:v>-6.67568875737903</c:v>
                </c:pt>
                <c:pt idx="662">
                  <c:v>-6.68279598117882</c:v>
                </c:pt>
                <c:pt idx="663">
                  <c:v>-6.68990326592415</c:v>
                </c:pt>
                <c:pt idx="664">
                  <c:v>-6.69701061161438</c:v>
                </c:pt>
                <c:pt idx="665">
                  <c:v>-6.70411801824885</c:v>
                </c:pt>
                <c:pt idx="666">
                  <c:v>-6.7112254858269</c:v>
                </c:pt>
                <c:pt idx="667">
                  <c:v>-6.71833301434789</c:v>
                </c:pt>
                <c:pt idx="668">
                  <c:v>-6.72544060381116</c:v>
                </c:pt>
                <c:pt idx="669">
                  <c:v>-6.73254825421606</c:v>
                </c:pt>
                <c:pt idx="670">
                  <c:v>-6.73965596556193</c:v>
                </c:pt>
                <c:pt idx="671">
                  <c:v>-6.74676373784812</c:v>
                </c:pt>
                <c:pt idx="672">
                  <c:v>-6.75387157107399</c:v>
                </c:pt>
                <c:pt idx="673">
                  <c:v>-6.76097946523886</c:v>
                </c:pt>
                <c:pt idx="674">
                  <c:v>-6.7680874203421</c:v>
                </c:pt>
                <c:pt idx="675">
                  <c:v>-6.77519543638305</c:v>
                </c:pt>
                <c:pt idx="676">
                  <c:v>-6.78230351336105</c:v>
                </c:pt>
                <c:pt idx="677">
                  <c:v>-6.78941165127546</c:v>
                </c:pt>
                <c:pt idx="678">
                  <c:v>-6.79651985012562</c:v>
                </c:pt>
                <c:pt idx="679">
                  <c:v>-6.80362810991087</c:v>
                </c:pt>
                <c:pt idx="680">
                  <c:v>-6.81073643063057</c:v>
                </c:pt>
                <c:pt idx="681">
                  <c:v>-6.81784481228405</c:v>
                </c:pt>
                <c:pt idx="682">
                  <c:v>-6.82495325487068</c:v>
                </c:pt>
                <c:pt idx="683">
                  <c:v>-6.83206175838978</c:v>
                </c:pt>
                <c:pt idx="684">
                  <c:v>-6.83917032284072</c:v>
                </c:pt>
                <c:pt idx="685">
                  <c:v>-6.84627894822284</c:v>
                </c:pt>
                <c:pt idx="686">
                  <c:v>-6.85338763453548</c:v>
                </c:pt>
                <c:pt idx="687">
                  <c:v>-6.86049638177799</c:v>
                </c:pt>
                <c:pt idx="688">
                  <c:v>-6.86760518994972</c:v>
                </c:pt>
                <c:pt idx="689">
                  <c:v>-6.87471405905001</c:v>
                </c:pt>
                <c:pt idx="690">
                  <c:v>-6.88182298907822</c:v>
                </c:pt>
                <c:pt idx="691">
                  <c:v>-6.88893198003369</c:v>
                </c:pt>
                <c:pt idx="692">
                  <c:v>-6.89604103191576</c:v>
                </c:pt>
                <c:pt idx="693">
                  <c:v>-6.90315014472379</c:v>
                </c:pt>
                <c:pt idx="694">
                  <c:v>-6.91025931845711</c:v>
                </c:pt>
                <c:pt idx="695">
                  <c:v>-6.91736855311508</c:v>
                </c:pt>
                <c:pt idx="696">
                  <c:v>-6.92447784869705</c:v>
                </c:pt>
                <c:pt idx="697">
                  <c:v>-6.93158720520235</c:v>
                </c:pt>
                <c:pt idx="698">
                  <c:v>-6.93869662263034</c:v>
                </c:pt>
                <c:pt idx="699">
                  <c:v>-6.94580610098037</c:v>
                </c:pt>
                <c:pt idx="700">
                  <c:v>-6.95291564025178</c:v>
                </c:pt>
                <c:pt idx="701">
                  <c:v>-6.96002524044391</c:v>
                </c:pt>
                <c:pt idx="702">
                  <c:v>-6.96713490155612</c:v>
                </c:pt>
                <c:pt idx="703">
                  <c:v>-6.97424462358775</c:v>
                </c:pt>
                <c:pt idx="704">
                  <c:v>-6.98135440653815</c:v>
                </c:pt>
                <c:pt idx="705">
                  <c:v>-6.98846425040666</c:v>
                </c:pt>
                <c:pt idx="706">
                  <c:v>-6.99557415519264</c:v>
                </c:pt>
                <c:pt idx="707">
                  <c:v>-7.00268412089543</c:v>
                </c:pt>
                <c:pt idx="708">
                  <c:v>-7.00979414751437</c:v>
                </c:pt>
                <c:pt idx="709">
                  <c:v>-7.01690423504881</c:v>
                </c:pt>
                <c:pt idx="710">
                  <c:v>-7.02401438349811</c:v>
                </c:pt>
                <c:pt idx="711">
                  <c:v>-7.0311245928616</c:v>
                </c:pt>
                <c:pt idx="712">
                  <c:v>-7.03823486313863</c:v>
                </c:pt>
                <c:pt idx="713">
                  <c:v>-7.04534519432855</c:v>
                </c:pt>
                <c:pt idx="714">
                  <c:v>-7.05245558643071</c:v>
                </c:pt>
                <c:pt idx="715">
                  <c:v>-7.05956603944446</c:v>
                </c:pt>
                <c:pt idx="716">
                  <c:v>-7.06667655336913</c:v>
                </c:pt>
                <c:pt idx="717">
                  <c:v>-7.07378712820409</c:v>
                </c:pt>
                <c:pt idx="718">
                  <c:v>-7.08089776394867</c:v>
                </c:pt>
                <c:pt idx="719">
                  <c:v>-7.08800846060222</c:v>
                </c:pt>
                <c:pt idx="720">
                  <c:v>-7.09511921816408</c:v>
                </c:pt>
                <c:pt idx="721">
                  <c:v>-7.10223003663362</c:v>
                </c:pt>
                <c:pt idx="722">
                  <c:v>-7.10934091601016</c:v>
                </c:pt>
                <c:pt idx="723">
                  <c:v>-7.11645185629307</c:v>
                </c:pt>
                <c:pt idx="724">
                  <c:v>-7.12356285748168</c:v>
                </c:pt>
                <c:pt idx="725">
                  <c:v>-7.13067391957534</c:v>
                </c:pt>
                <c:pt idx="726">
                  <c:v>-7.13778504257341</c:v>
                </c:pt>
                <c:pt idx="727">
                  <c:v>-7.14489622647522</c:v>
                </c:pt>
                <c:pt idx="728">
                  <c:v>-7.15200747128012</c:v>
                </c:pt>
                <c:pt idx="729">
                  <c:v>-7.15911877698747</c:v>
                </c:pt>
                <c:pt idx="730">
                  <c:v>-7.1662301435966</c:v>
                </c:pt>
                <c:pt idx="731">
                  <c:v>-7.17334157110686</c:v>
                </c:pt>
                <c:pt idx="732">
                  <c:v>-7.18045305951761</c:v>
                </c:pt>
                <c:pt idx="733">
                  <c:v>-7.18756460882818</c:v>
                </c:pt>
                <c:pt idx="734">
                  <c:v>-7.19467621903793</c:v>
                </c:pt>
                <c:pt idx="735">
                  <c:v>-7.2017878901462</c:v>
                </c:pt>
                <c:pt idx="736">
                  <c:v>-7.20889962215234</c:v>
                </c:pt>
                <c:pt idx="737">
                  <c:v>-7.2160114150557</c:v>
                </c:pt>
                <c:pt idx="738">
                  <c:v>-7.22312326885562</c:v>
                </c:pt>
                <c:pt idx="739">
                  <c:v>-7.23023518355145</c:v>
                </c:pt>
                <c:pt idx="740">
                  <c:v>-7.23734715914253</c:v>
                </c:pt>
                <c:pt idx="741">
                  <c:v>-7.24445919562821</c:v>
                </c:pt>
                <c:pt idx="742">
                  <c:v>-7.25157129300785</c:v>
                </c:pt>
                <c:pt idx="743">
                  <c:v>-7.25868345128078</c:v>
                </c:pt>
                <c:pt idx="744">
                  <c:v>-7.26579567044636</c:v>
                </c:pt>
                <c:pt idx="745">
                  <c:v>-7.27290795050393</c:v>
                </c:pt>
                <c:pt idx="746">
                  <c:v>-7.28002029145283</c:v>
                </c:pt>
                <c:pt idx="747">
                  <c:v>-7.28713269329242</c:v>
                </c:pt>
                <c:pt idx="748">
                  <c:v>-7.29424515602204</c:v>
                </c:pt>
                <c:pt idx="749">
                  <c:v>-7.30135767964104</c:v>
                </c:pt>
                <c:pt idx="750">
                  <c:v>-7.30847026414876</c:v>
                </c:pt>
                <c:pt idx="751">
                  <c:v>-7.31558290954455</c:v>
                </c:pt>
                <c:pt idx="752">
                  <c:v>-7.32269561582777</c:v>
                </c:pt>
                <c:pt idx="753">
                  <c:v>-7.32980838299775</c:v>
                </c:pt>
                <c:pt idx="754">
                  <c:v>-7.33692121105384</c:v>
                </c:pt>
                <c:pt idx="755">
                  <c:v>-7.34403409999539</c:v>
                </c:pt>
                <c:pt idx="756">
                  <c:v>-7.35114704982175</c:v>
                </c:pt>
                <c:pt idx="757">
                  <c:v>-7.35826006053226</c:v>
                </c:pt>
                <c:pt idx="758">
                  <c:v>-7.36537313212627</c:v>
                </c:pt>
                <c:pt idx="759">
                  <c:v>-7.37248626460313</c:v>
                </c:pt>
                <c:pt idx="760">
                  <c:v>-7.37959945796218</c:v>
                </c:pt>
                <c:pt idx="761">
                  <c:v>-7.38671271220277</c:v>
                </c:pt>
                <c:pt idx="762">
                  <c:v>-7.39382602732425</c:v>
                </c:pt>
                <c:pt idx="763">
                  <c:v>-7.40093940332597</c:v>
                </c:pt>
                <c:pt idx="764">
                  <c:v>-7.40805284020727</c:v>
                </c:pt>
                <c:pt idx="765">
                  <c:v>-7.41516633796749</c:v>
                </c:pt>
                <c:pt idx="766">
                  <c:v>-7.42227989660599</c:v>
                </c:pt>
                <c:pt idx="767">
                  <c:v>-7.42939351612211</c:v>
                </c:pt>
                <c:pt idx="768">
                  <c:v>-7.43650719651521</c:v>
                </c:pt>
                <c:pt idx="769">
                  <c:v>-7.44362093778461</c:v>
                </c:pt>
                <c:pt idx="770">
                  <c:v>-7.45073473992968</c:v>
                </c:pt>
                <c:pt idx="771">
                  <c:v>-7.45784860294976</c:v>
                </c:pt>
                <c:pt idx="772">
                  <c:v>-7.4649625268442</c:v>
                </c:pt>
                <c:pt idx="773">
                  <c:v>-7.47207651161234</c:v>
                </c:pt>
                <c:pt idx="774">
                  <c:v>-7.47919055725353</c:v>
                </c:pt>
                <c:pt idx="775">
                  <c:v>-7.48630466376712</c:v>
                </c:pt>
                <c:pt idx="776">
                  <c:v>-7.49341883115245</c:v>
                </c:pt>
                <c:pt idx="777">
                  <c:v>-7.50053305940887</c:v>
                </c:pt>
                <c:pt idx="778">
                  <c:v>-7.50764734853573</c:v>
                </c:pt>
                <c:pt idx="779">
                  <c:v>-7.51476169853238</c:v>
                </c:pt>
                <c:pt idx="780">
                  <c:v>-7.52187610939815</c:v>
                </c:pt>
                <c:pt idx="781">
                  <c:v>-7.52899058113241</c:v>
                </c:pt>
                <c:pt idx="782">
                  <c:v>-7.53610511373449</c:v>
                </c:pt>
                <c:pt idx="783">
                  <c:v>-7.54321970720375</c:v>
                </c:pt>
                <c:pt idx="784">
                  <c:v>-7.55033436153952</c:v>
                </c:pt>
                <c:pt idx="785">
                  <c:v>-7.55744907674116</c:v>
                </c:pt>
                <c:pt idx="786">
                  <c:v>-7.56456385280801</c:v>
                </c:pt>
                <c:pt idx="787">
                  <c:v>-7.57167868973943</c:v>
                </c:pt>
                <c:pt idx="788">
                  <c:v>-7.57879358753474</c:v>
                </c:pt>
                <c:pt idx="789">
                  <c:v>-7.58590854619332</c:v>
                </c:pt>
                <c:pt idx="790">
                  <c:v>-7.59302356571449</c:v>
                </c:pt>
                <c:pt idx="791">
                  <c:v>-7.60013864609762</c:v>
                </c:pt>
                <c:pt idx="792">
                  <c:v>-7.60725378734203</c:v>
                </c:pt>
                <c:pt idx="793">
                  <c:v>-7.61436898944709</c:v>
                </c:pt>
                <c:pt idx="794">
                  <c:v>-7.62148425241214</c:v>
                </c:pt>
                <c:pt idx="795">
                  <c:v>-7.62859957623652</c:v>
                </c:pt>
                <c:pt idx="796">
                  <c:v>-7.63571496091958</c:v>
                </c:pt>
                <c:pt idx="797">
                  <c:v>-7.64283040646067</c:v>
                </c:pt>
                <c:pt idx="798">
                  <c:v>-7.64994591285914</c:v>
                </c:pt>
                <c:pt idx="799">
                  <c:v>-7.65706148011433</c:v>
                </c:pt>
                <c:pt idx="800">
                  <c:v>-7.66417710822559</c:v>
                </c:pt>
                <c:pt idx="801">
                  <c:v>-7.67129279719227</c:v>
                </c:pt>
                <c:pt idx="802">
                  <c:v>-7.67840854701371</c:v>
                </c:pt>
                <c:pt idx="803">
                  <c:v>-7.68552435768926</c:v>
                </c:pt>
                <c:pt idx="804">
                  <c:v>-7.69264022921827</c:v>
                </c:pt>
                <c:pt idx="805">
                  <c:v>-7.69975616160009</c:v>
                </c:pt>
                <c:pt idx="806">
                  <c:v>-7.70687215483405</c:v>
                </c:pt>
                <c:pt idx="807">
                  <c:v>-7.71398820891951</c:v>
                </c:pt>
                <c:pt idx="808">
                  <c:v>-7.72110432385582</c:v>
                </c:pt>
                <c:pt idx="809">
                  <c:v>-7.72822049964232</c:v>
                </c:pt>
                <c:pt idx="810">
                  <c:v>-7.73533673627836</c:v>
                </c:pt>
                <c:pt idx="811">
                  <c:v>-7.74245303376328</c:v>
                </c:pt>
                <c:pt idx="812">
                  <c:v>-7.74956939209644</c:v>
                </c:pt>
                <c:pt idx="813">
                  <c:v>-7.75668581127717</c:v>
                </c:pt>
                <c:pt idx="814">
                  <c:v>-7.76380229130483</c:v>
                </c:pt>
                <c:pt idx="815">
                  <c:v>-7.77091883217877</c:v>
                </c:pt>
                <c:pt idx="816">
                  <c:v>-7.77803543389832</c:v>
                </c:pt>
                <c:pt idx="817">
                  <c:v>-7.78515209646285</c:v>
                </c:pt>
                <c:pt idx="818">
                  <c:v>-7.79226881987168</c:v>
                </c:pt>
                <c:pt idx="819">
                  <c:v>-7.79938560412418</c:v>
                </c:pt>
                <c:pt idx="820">
                  <c:v>-7.80650244921968</c:v>
                </c:pt>
                <c:pt idx="821">
                  <c:v>-7.81361935515754</c:v>
                </c:pt>
                <c:pt idx="822">
                  <c:v>-7.8207363219371</c:v>
                </c:pt>
                <c:pt idx="823">
                  <c:v>-7.82785334955771</c:v>
                </c:pt>
                <c:pt idx="824">
                  <c:v>-7.83497043801872</c:v>
                </c:pt>
                <c:pt idx="825">
                  <c:v>-7.84208758731947</c:v>
                </c:pt>
                <c:pt idx="826">
                  <c:v>-7.8492047974593</c:v>
                </c:pt>
                <c:pt idx="827">
                  <c:v>-7.85632206843757</c:v>
                </c:pt>
                <c:pt idx="828">
                  <c:v>-7.86343940025363</c:v>
                </c:pt>
                <c:pt idx="829">
                  <c:v>-7.87055679290682</c:v>
                </c:pt>
                <c:pt idx="830">
                  <c:v>-7.87767424639648</c:v>
                </c:pt>
                <c:pt idx="831">
                  <c:v>-7.88479176072196</c:v>
                </c:pt>
                <c:pt idx="832">
                  <c:v>-7.89190933588262</c:v>
                </c:pt>
                <c:pt idx="833">
                  <c:v>-7.89902697187779</c:v>
                </c:pt>
                <c:pt idx="834">
                  <c:v>-7.90614466870683</c:v>
                </c:pt>
                <c:pt idx="835">
                  <c:v>-7.91326242636908</c:v>
                </c:pt>
                <c:pt idx="836">
                  <c:v>-7.92038024486389</c:v>
                </c:pt>
                <c:pt idx="837">
                  <c:v>-7.92749812419061</c:v>
                </c:pt>
                <c:pt idx="838">
                  <c:v>-7.93461606434857</c:v>
                </c:pt>
                <c:pt idx="839">
                  <c:v>-7.94173406533714</c:v>
                </c:pt>
                <c:pt idx="840">
                  <c:v>-7.94885212715565</c:v>
                </c:pt>
                <c:pt idx="841">
                  <c:v>-7.95597024980345</c:v>
                </c:pt>
                <c:pt idx="842">
                  <c:v>-7.96308843327989</c:v>
                </c:pt>
                <c:pt idx="843">
                  <c:v>-7.97020667758432</c:v>
                </c:pt>
                <c:pt idx="844">
                  <c:v>-7.97732498271608</c:v>
                </c:pt>
                <c:pt idx="845">
                  <c:v>-7.98444334867453</c:v>
                </c:pt>
                <c:pt idx="846">
                  <c:v>-7.991561775459</c:v>
                </c:pt>
                <c:pt idx="847">
                  <c:v>-7.99868026306884</c:v>
                </c:pt>
                <c:pt idx="848">
                  <c:v>-8.00579881150341</c:v>
                </c:pt>
                <c:pt idx="849">
                  <c:v>-8.01291742076204</c:v>
                </c:pt>
                <c:pt idx="850">
                  <c:v>-8.02003609084409</c:v>
                </c:pt>
                <c:pt idx="851">
                  <c:v>-8.0271548217489</c:v>
                </c:pt>
                <c:pt idx="852">
                  <c:v>-8.03427361347582</c:v>
                </c:pt>
                <c:pt idx="853">
                  <c:v>-8.0413924660242</c:v>
                </c:pt>
                <c:pt idx="854">
                  <c:v>-8.04851137939338</c:v>
                </c:pt>
                <c:pt idx="855">
                  <c:v>-8.05563035358271</c:v>
                </c:pt>
                <c:pt idx="856">
                  <c:v>-8.06274938859153</c:v>
                </c:pt>
                <c:pt idx="857">
                  <c:v>-8.0698684844192</c:v>
                </c:pt>
                <c:pt idx="858">
                  <c:v>-8.07698764106506</c:v>
                </c:pt>
                <c:pt idx="859">
                  <c:v>-8.08410685852845</c:v>
                </c:pt>
                <c:pt idx="860">
                  <c:v>-8.09122613680873</c:v>
                </c:pt>
                <c:pt idx="861">
                  <c:v>-8.09834547590524</c:v>
                </c:pt>
                <c:pt idx="862">
                  <c:v>-8.10546487581733</c:v>
                </c:pt>
                <c:pt idx="863">
                  <c:v>-8.11258433654435</c:v>
                </c:pt>
                <c:pt idx="864">
                  <c:v>-8.11970385808563</c:v>
                </c:pt>
                <c:pt idx="865">
                  <c:v>-8.12682344044054</c:v>
                </c:pt>
                <c:pt idx="866">
                  <c:v>-8.13394308360841</c:v>
                </c:pt>
                <c:pt idx="867">
                  <c:v>-8.14106278758859</c:v>
                </c:pt>
                <c:pt idx="868">
                  <c:v>-8.14818255238043</c:v>
                </c:pt>
                <c:pt idx="869">
                  <c:v>-8.15530237798328</c:v>
                </c:pt>
                <c:pt idx="870">
                  <c:v>-8.16242226439648</c:v>
                </c:pt>
                <c:pt idx="871">
                  <c:v>-8.16954221161938</c:v>
                </c:pt>
                <c:pt idx="872">
                  <c:v>-8.17666221965133</c:v>
                </c:pt>
                <c:pt idx="873">
                  <c:v>-8.18378228849168</c:v>
                </c:pt>
                <c:pt idx="874">
                  <c:v>-8.19090241813976</c:v>
                </c:pt>
                <c:pt idx="875">
                  <c:v>-8.19802260859493</c:v>
                </c:pt>
                <c:pt idx="876">
                  <c:v>-8.20514285985654</c:v>
                </c:pt>
                <c:pt idx="877">
                  <c:v>-8.21226317192393</c:v>
                </c:pt>
                <c:pt idx="878">
                  <c:v>-8.21938354479644</c:v>
                </c:pt>
                <c:pt idx="879">
                  <c:v>-8.22650397847344</c:v>
                </c:pt>
                <c:pt idx="880">
                  <c:v>-8.23362447295425</c:v>
                </c:pt>
                <c:pt idx="881">
                  <c:v>-8.24074502823824</c:v>
                </c:pt>
                <c:pt idx="882">
                  <c:v>-8.24786564432474</c:v>
                </c:pt>
                <c:pt idx="883">
                  <c:v>-8.2549863212131</c:v>
                </c:pt>
                <c:pt idx="884">
                  <c:v>-8.26210705890268</c:v>
                </c:pt>
                <c:pt idx="885">
                  <c:v>-8.26922785739281</c:v>
                </c:pt>
                <c:pt idx="886">
                  <c:v>-8.27634871668284</c:v>
                </c:pt>
                <c:pt idx="887">
                  <c:v>-8.28346963677213</c:v>
                </c:pt>
                <c:pt idx="888">
                  <c:v>-8.29059061766001</c:v>
                </c:pt>
                <c:pt idx="889">
                  <c:v>-8.29771165934584</c:v>
                </c:pt>
                <c:pt idx="890">
                  <c:v>-8.30483276182896</c:v>
                </c:pt>
                <c:pt idx="891">
                  <c:v>-8.31195392510872</c:v>
                </c:pt>
                <c:pt idx="892">
                  <c:v>-8.31907514918447</c:v>
                </c:pt>
                <c:pt idx="893">
                  <c:v>-8.32619643405555</c:v>
                </c:pt>
                <c:pt idx="894">
                  <c:v>-8.3333177797213</c:v>
                </c:pt>
                <c:pt idx="895">
                  <c:v>-8.34043918618109</c:v>
                </c:pt>
                <c:pt idx="896">
                  <c:v>-8.34756065343424</c:v>
                </c:pt>
                <c:pt idx="897">
                  <c:v>-8.35468218148012</c:v>
                </c:pt>
                <c:pt idx="898">
                  <c:v>-8.36180377031806</c:v>
                </c:pt>
                <c:pt idx="899">
                  <c:v>-8.36892541994742</c:v>
                </c:pt>
                <c:pt idx="900">
                  <c:v>-8.37604713036754</c:v>
                </c:pt>
                <c:pt idx="901">
                  <c:v>-8.38316890157777</c:v>
                </c:pt>
                <c:pt idx="902">
                  <c:v>-8.39029073357745</c:v>
                </c:pt>
                <c:pt idx="903">
                  <c:v>-8.39741262636593</c:v>
                </c:pt>
                <c:pt idx="904">
                  <c:v>-8.40453457994256</c:v>
                </c:pt>
                <c:pt idx="905">
                  <c:v>-8.41165659430669</c:v>
                </c:pt>
                <c:pt idx="906">
                  <c:v>-8.41877866945766</c:v>
                </c:pt>
                <c:pt idx="907">
                  <c:v>-8.42590080539481</c:v>
                </c:pt>
                <c:pt idx="908">
                  <c:v>-8.43302300211751</c:v>
                </c:pt>
                <c:pt idx="909">
                  <c:v>-8.44014525962509</c:v>
                </c:pt>
                <c:pt idx="910">
                  <c:v>-8.4472675779169</c:v>
                </c:pt>
                <c:pt idx="911">
                  <c:v>-8.45438995699228</c:v>
                </c:pt>
                <c:pt idx="912">
                  <c:v>-8.46151239685059</c:v>
                </c:pt>
                <c:pt idx="913">
                  <c:v>-8.46863489749117</c:v>
                </c:pt>
                <c:pt idx="914">
                  <c:v>-8.47575745891337</c:v>
                </c:pt>
                <c:pt idx="915">
                  <c:v>-8.48288008111653</c:v>
                </c:pt>
                <c:pt idx="916">
                  <c:v>-8.49000276410001</c:v>
                </c:pt>
                <c:pt idx="917">
                  <c:v>-8.49712550786314</c:v>
                </c:pt>
                <c:pt idx="918">
                  <c:v>-8.50424831240528</c:v>
                </c:pt>
                <c:pt idx="919">
                  <c:v>-8.51137117772577</c:v>
                </c:pt>
                <c:pt idx="920">
                  <c:v>-8.51849410382396</c:v>
                </c:pt>
                <c:pt idx="921">
                  <c:v>-8.5256170906992</c:v>
                </c:pt>
                <c:pt idx="922">
                  <c:v>-8.53274013835083</c:v>
                </c:pt>
                <c:pt idx="923">
                  <c:v>-8.5398632467782</c:v>
                </c:pt>
                <c:pt idx="924">
                  <c:v>-8.54698641598066</c:v>
                </c:pt>
                <c:pt idx="925">
                  <c:v>-8.55410964595755</c:v>
                </c:pt>
                <c:pt idx="926">
                  <c:v>-8.56123293670822</c:v>
                </c:pt>
                <c:pt idx="927">
                  <c:v>-8.56835628823202</c:v>
                </c:pt>
                <c:pt idx="928">
                  <c:v>-8.5754797005283</c:v>
                </c:pt>
                <c:pt idx="929">
                  <c:v>-8.5826031735964</c:v>
                </c:pt>
                <c:pt idx="930">
                  <c:v>-8.58972670743566</c:v>
                </c:pt>
                <c:pt idx="931">
                  <c:v>-8.59685030204544</c:v>
                </c:pt>
                <c:pt idx="932">
                  <c:v>-8.60397395742509</c:v>
                </c:pt>
                <c:pt idx="933">
                  <c:v>-8.61109767357394</c:v>
                </c:pt>
                <c:pt idx="934">
                  <c:v>-8.61822145049135</c:v>
                </c:pt>
                <c:pt idx="935">
                  <c:v>-8.62534528817667</c:v>
                </c:pt>
                <c:pt idx="936">
                  <c:v>-8.63246918662923</c:v>
                </c:pt>
                <c:pt idx="937">
                  <c:v>-8.63959314584839</c:v>
                </c:pt>
                <c:pt idx="938">
                  <c:v>-8.6467171658335</c:v>
                </c:pt>
                <c:pt idx="939">
                  <c:v>-8.6538412465839</c:v>
                </c:pt>
                <c:pt idx="940">
                  <c:v>-8.66096538809893</c:v>
                </c:pt>
                <c:pt idx="941">
                  <c:v>-8.66808959037795</c:v>
                </c:pt>
                <c:pt idx="942">
                  <c:v>-8.6752138534203</c:v>
                </c:pt>
                <c:pt idx="943">
                  <c:v>-8.68233817722534</c:v>
                </c:pt>
                <c:pt idx="944">
                  <c:v>-8.68946256179239</c:v>
                </c:pt>
                <c:pt idx="945">
                  <c:v>-8.69658700712082</c:v>
                </c:pt>
                <c:pt idx="946">
                  <c:v>-8.70371151320997</c:v>
                </c:pt>
                <c:pt idx="947">
                  <c:v>-8.71083608005919</c:v>
                </c:pt>
                <c:pt idx="948">
                  <c:v>-8.71796070766782</c:v>
                </c:pt>
                <c:pt idx="949">
                  <c:v>-8.72508539603521</c:v>
                </c:pt>
                <c:pt idx="950">
                  <c:v>-8.73221014516071</c:v>
                </c:pt>
                <c:pt idx="951">
                  <c:v>-8.73933495504366</c:v>
                </c:pt>
                <c:pt idx="952">
                  <c:v>-8.74645982568341</c:v>
                </c:pt>
                <c:pt idx="953">
                  <c:v>-8.75358475707931</c:v>
                </c:pt>
                <c:pt idx="954">
                  <c:v>-8.76070974923071</c:v>
                </c:pt>
                <c:pt idx="955">
                  <c:v>-8.76783480213695</c:v>
                </c:pt>
                <c:pt idx="956">
                  <c:v>-8.77495991579738</c:v>
                </c:pt>
                <c:pt idx="957">
                  <c:v>-8.78208509021134</c:v>
                </c:pt>
                <c:pt idx="958">
                  <c:v>-8.78921032537819</c:v>
                </c:pt>
                <c:pt idx="959">
                  <c:v>-8.79633562129726</c:v>
                </c:pt>
                <c:pt idx="960">
                  <c:v>-8.80346097796792</c:v>
                </c:pt>
                <c:pt idx="961">
                  <c:v>-8.81058639538949</c:v>
                </c:pt>
                <c:pt idx="962">
                  <c:v>-8.81771187356134</c:v>
                </c:pt>
                <c:pt idx="963">
                  <c:v>-8.82483741248281</c:v>
                </c:pt>
                <c:pt idx="964">
                  <c:v>-8.83196301215324</c:v>
                </c:pt>
                <c:pt idx="965">
                  <c:v>-8.83908867257198</c:v>
                </c:pt>
                <c:pt idx="966">
                  <c:v>-8.84621439373838</c:v>
                </c:pt>
                <c:pt idx="967">
                  <c:v>-8.85334017565179</c:v>
                </c:pt>
                <c:pt idx="968">
                  <c:v>-8.86046601831154</c:v>
                </c:pt>
                <c:pt idx="969">
                  <c:v>-8.867591921717</c:v>
                </c:pt>
                <c:pt idx="970">
                  <c:v>-8.8747178858675</c:v>
                </c:pt>
                <c:pt idx="971">
                  <c:v>-8.8818439107624</c:v>
                </c:pt>
                <c:pt idx="972">
                  <c:v>-8.88896999640104</c:v>
                </c:pt>
                <c:pt idx="973">
                  <c:v>-8.89609614278276</c:v>
                </c:pt>
                <c:pt idx="974">
                  <c:v>-8.90322234990692</c:v>
                </c:pt>
                <c:pt idx="975">
                  <c:v>-8.91034861777286</c:v>
                </c:pt>
                <c:pt idx="976">
                  <c:v>-8.91747494637992</c:v>
                </c:pt>
                <c:pt idx="977">
                  <c:v>-8.92460133572747</c:v>
                </c:pt>
                <c:pt idx="978">
                  <c:v>-8.93172778581483</c:v>
                </c:pt>
                <c:pt idx="979">
                  <c:v>-8.93885429664136</c:v>
                </c:pt>
                <c:pt idx="980">
                  <c:v>-8.94598086820641</c:v>
                </c:pt>
                <c:pt idx="981">
                  <c:v>-8.95310750050932</c:v>
                </c:pt>
                <c:pt idx="982">
                  <c:v>-8.96023419354944</c:v>
                </c:pt>
                <c:pt idx="983">
                  <c:v>-8.96736094732612</c:v>
                </c:pt>
                <c:pt idx="984">
                  <c:v>-8.9744877618387</c:v>
                </c:pt>
                <c:pt idx="985">
                  <c:v>-8.98161463708653</c:v>
                </c:pt>
                <c:pt idx="986">
                  <c:v>-8.98874157306896</c:v>
                </c:pt>
                <c:pt idx="987">
                  <c:v>-8.99586856978533</c:v>
                </c:pt>
                <c:pt idx="988">
                  <c:v>-9.00299562723499</c:v>
                </c:pt>
                <c:pt idx="989">
                  <c:v>-9.01012274541729</c:v>
                </c:pt>
                <c:pt idx="990">
                  <c:v>-9.01724992433158</c:v>
                </c:pt>
                <c:pt idx="991">
                  <c:v>-9.0243771639772</c:v>
                </c:pt>
                <c:pt idx="992">
                  <c:v>-9.03150446435349</c:v>
                </c:pt>
                <c:pt idx="993">
                  <c:v>-9.03863182545982</c:v>
                </c:pt>
                <c:pt idx="994">
                  <c:v>-9.04575924729551</c:v>
                </c:pt>
                <c:pt idx="995">
                  <c:v>-9.05288672985993</c:v>
                </c:pt>
                <c:pt idx="996">
                  <c:v>-9.06001427315241</c:v>
                </c:pt>
                <c:pt idx="997">
                  <c:v>-9.06714187717231</c:v>
                </c:pt>
                <c:pt idx="998">
                  <c:v>-9.07426954191897</c:v>
                </c:pt>
                <c:pt idx="999">
                  <c:v>-9.08139726739173</c:v>
                </c:pt>
                <c:pt idx="1000">
                  <c:v>-9.08852505358995</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12</c:v>
                </c:pt>
                <c:pt idx="1">
                  <c:v>24.6892485414086</c:v>
                </c:pt>
                <c:pt idx="2">
                  <c:v>37.3784970828171</c:v>
                </c:pt>
                <c:pt idx="3">
                  <c:v>37.0832134049081</c:v>
                </c:pt>
                <c:pt idx="4">
                  <c:v>37.3784970828171</c:v>
                </c:pt>
                <c:pt idx="5">
                  <c:v>35.4332134049082</c:v>
                </c:pt>
                <c:pt idx="6">
                  <c:v>37.3784970828171</c:v>
                </c:pt>
              </c:numCache>
            </c:numRef>
          </c:xVal>
          <c:yVal>
            <c:numRef>
              <c:f>Trajecto!$C$129:$C$135</c:f>
              <c:numCache>
                <c:formatCode>General</c:formatCode>
                <c:ptCount val="7"/>
                <c:pt idx="0">
                  <c:v>242.577425027439</c:v>
                </c:pt>
                <c:pt idx="1">
                  <c:v>121.288712513719</c:v>
                </c:pt>
                <c:pt idx="2">
                  <c:v>0</c:v>
                </c:pt>
                <c:pt idx="3">
                  <c:v>18.6716260796786</c:v>
                </c:pt>
                <c:pt idx="4">
                  <c:v>0</c:v>
                </c:pt>
                <c:pt idx="5">
                  <c:v>9.2072932624787</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Calculs!$AE$4:$AE$1004</c:f>
              <c:numCache>
                <c:formatCode>General</c:formatCode>
                <c:ptCount val="1001"/>
                <c:pt idx="0">
                  <c:v>0</c:v>
                </c:pt>
                <c:pt idx="1">
                  <c:v>0.00149761157315366</c:v>
                </c:pt>
                <c:pt idx="2">
                  <c:v>0.00994086543666655</c:v>
                </c:pt>
                <c:pt idx="3">
                  <c:v>0.0309449661824849</c:v>
                </c:pt>
                <c:pt idx="4">
                  <c:v>0.0655473254807626</c:v>
                </c:pt>
                <c:pt idx="5">
                  <c:v>0.112794928389273</c:v>
                </c:pt>
                <c:pt idx="6">
                  <c:v>0.172339135868416</c:v>
                </c:pt>
                <c:pt idx="7">
                  <c:v>0.244133794910506</c:v>
                </c:pt>
                <c:pt idx="8">
                  <c:v>0.328132439080203</c:v>
                </c:pt>
                <c:pt idx="9">
                  <c:v>0.424288290701774</c:v>
                </c:pt>
                <c:pt idx="10">
                  <c:v>0.532554263071725</c:v>
                </c:pt>
                <c:pt idx="11">
                  <c:v>0.652882962696385</c:v>
                </c:pt>
                <c:pt idx="12">
                  <c:v>0.785226691554009</c:v>
                </c:pt>
                <c:pt idx="13">
                  <c:v>0.92953744938099</c:v>
                </c:pt>
                <c:pt idx="14">
                  <c:v>1.08576693598176</c:v>
                </c:pt>
                <c:pt idx="15">
                  <c:v>1.2538665535619</c:v>
                </c:pt>
                <c:pt idx="16">
                  <c:v>1.43378740908412</c:v>
                </c:pt>
                <c:pt idx="17">
                  <c:v>1.62548031664655</c:v>
                </c:pt>
                <c:pt idx="18">
                  <c:v>1.82889579988301</c:v>
                </c:pt>
                <c:pt idx="19">
                  <c:v>2.04398409438469</c:v>
                </c:pt>
                <c:pt idx="20">
                  <c:v>2.27069515014293</c:v>
                </c:pt>
                <c:pt idx="21">
                  <c:v>2.50897863401254</c:v>
                </c:pt>
                <c:pt idx="22">
                  <c:v>2.75876913185433</c:v>
                </c:pt>
                <c:pt idx="23">
                  <c:v>3.02000024285186</c:v>
                </c:pt>
                <c:pt idx="24">
                  <c:v>3.29261940370578</c:v>
                </c:pt>
                <c:pt idx="25">
                  <c:v>3.57657382859159</c:v>
                </c:pt>
                <c:pt idx="26">
                  <c:v>3.87181051756387</c:v>
                </c:pt>
                <c:pt idx="27">
                  <c:v>4.17827625525355</c:v>
                </c:pt>
                <c:pt idx="28">
                  <c:v>4.4959176100076</c:v>
                </c:pt>
                <c:pt idx="29">
                  <c:v>4.8246809334096</c:v>
                </c:pt>
                <c:pt idx="30">
                  <c:v>5.16451236013052</c:v>
                </c:pt>
                <c:pt idx="31">
                  <c:v>5.51535780806741</c:v>
                </c:pt>
                <c:pt idx="32">
                  <c:v>5.87716297873451</c:v>
                </c:pt>
                <c:pt idx="33">
                  <c:v>6.24987335787673</c:v>
                </c:pt>
                <c:pt idx="34">
                  <c:v>6.63343421628008</c:v>
                </c:pt>
                <c:pt idx="35">
                  <c:v>7.02779061075713</c:v>
                </c:pt>
                <c:pt idx="36">
                  <c:v>7.43288738528883</c:v>
                </c:pt>
                <c:pt idx="37">
                  <c:v>7.84866917230639</c:v>
                </c:pt>
                <c:pt idx="38">
                  <c:v>8.27508039409912</c:v>
                </c:pt>
                <c:pt idx="39">
                  <c:v>8.71206526433602</c:v>
                </c:pt>
                <c:pt idx="40">
                  <c:v>9.15956778969014</c:v>
                </c:pt>
                <c:pt idx="41">
                  <c:v>9.61753177155636</c:v>
                </c:pt>
                <c:pt idx="42">
                  <c:v>10.085900807854</c:v>
                </c:pt>
                <c:pt idx="43">
                  <c:v>10.5646182949072</c:v>
                </c:pt>
                <c:pt idx="44">
                  <c:v>11.0536274293952</c:v>
                </c:pt>
                <c:pt idx="45">
                  <c:v>11.552871210369</c:v>
                </c:pt>
                <c:pt idx="46">
                  <c:v>12.0622924413253</c:v>
                </c:pt>
                <c:pt idx="47">
                  <c:v>12.5818337323372</c:v>
                </c:pt>
                <c:pt idx="48">
                  <c:v>13.1114375022334</c:v>
                </c:pt>
                <c:pt idx="49">
                  <c:v>13.6510459808248</c:v>
                </c:pt>
                <c:pt idx="50">
                  <c:v>14.2006012111725</c:v>
                </c:pt>
                <c:pt idx="51">
                  <c:v>14.7600450518965</c:v>
                </c:pt>
                <c:pt idx="52">
                  <c:v>15.3293191795192</c:v>
                </c:pt>
                <c:pt idx="53">
                  <c:v>15.9083650908437</c:v>
                </c:pt>
                <c:pt idx="54">
                  <c:v>16.4971241053613</c:v>
                </c:pt>
                <c:pt idx="55">
                  <c:v>17.0955373676895</c:v>
                </c:pt>
                <c:pt idx="56">
                  <c:v>17.7035458500344</c:v>
                </c:pt>
                <c:pt idx="57">
                  <c:v>18.3210903546783</c:v>
                </c:pt>
                <c:pt idx="58">
                  <c:v>18.9481115164897</c:v>
                </c:pt>
                <c:pt idx="59">
                  <c:v>19.5845498054528</c:v>
                </c:pt>
                <c:pt idx="60">
                  <c:v>20.2303455292171</c:v>
                </c:pt>
                <c:pt idx="61">
                  <c:v>20.8854388356633</c:v>
                </c:pt>
                <c:pt idx="62">
                  <c:v>21.5497697154852</c:v>
                </c:pt>
                <c:pt idx="63">
                  <c:v>22.2232511580769</c:v>
                </c:pt>
                <c:pt idx="64">
                  <c:v>22.9057422793436</c:v>
                </c:pt>
                <c:pt idx="65">
                  <c:v>23.5970751444598</c:v>
                </c:pt>
                <c:pt idx="66">
                  <c:v>24.297081622634</c:v>
                </c:pt>
                <c:pt idx="67">
                  <c:v>25.005568764452</c:v>
                </c:pt>
                <c:pt idx="68">
                  <c:v>25.7222941592072</c:v>
                </c:pt>
                <c:pt idx="69">
                  <c:v>26.4469467340393</c:v>
                </c:pt>
                <c:pt idx="70">
                  <c:v>27.1791275513389</c:v>
                </c:pt>
                <c:pt idx="71">
                  <c:v>27.9183936510392</c:v>
                </c:pt>
                <c:pt idx="72">
                  <c:v>28.6643019319154</c:v>
                </c:pt>
                <c:pt idx="73">
                  <c:v>29.4164091961913</c:v>
                </c:pt>
                <c:pt idx="74">
                  <c:v>30.1742721933886</c:v>
                </c:pt>
                <c:pt idx="75">
                  <c:v>30.9374476634028</c:v>
                </c:pt>
                <c:pt idx="76">
                  <c:v>31.7054923787871</c:v>
                </c:pt>
                <c:pt idx="77">
                  <c:v>32.4779631862312</c:v>
                </c:pt>
                <c:pt idx="78">
                  <c:v>33.2544170472194</c:v>
                </c:pt>
                <c:pt idx="79">
                  <c:v>34.0344110778551</c:v>
                </c:pt>
                <c:pt idx="80">
                  <c:v>34.8175025878409</c:v>
                </c:pt>
                <c:pt idx="81">
                  <c:v>35.6033013345865</c:v>
                </c:pt>
                <c:pt idx="82">
                  <c:v>36.3915217448462</c:v>
                </c:pt>
                <c:pt idx="83">
                  <c:v>37.1819306492936</c:v>
                </c:pt>
                <c:pt idx="84">
                  <c:v>37.9742950357498</c:v>
                </c:pt>
                <c:pt idx="85">
                  <c:v>38.7683820599819</c:v>
                </c:pt>
                <c:pt idx="86">
                  <c:v>39.563959056254</c:v>
                </c:pt>
                <c:pt idx="87">
                  <c:v>40.3607935476303</c:v>
                </c:pt>
                <c:pt idx="88">
                  <c:v>41.1586532560274</c:v>
                </c:pt>
                <c:pt idx="89">
                  <c:v>41.9573226144923</c:v>
                </c:pt>
                <c:pt idx="90">
                  <c:v>42.7566192634275</c:v>
                </c:pt>
                <c:pt idx="91">
                  <c:v>43.5563775226215</c:v>
                </c:pt>
                <c:pt idx="92">
                  <c:v>44.3564318767097</c:v>
                </c:pt>
                <c:pt idx="93">
                  <c:v>45.1566211060552</c:v>
                </c:pt>
                <c:pt idx="94">
                  <c:v>45.9567924130316</c:v>
                </c:pt>
                <c:pt idx="95">
                  <c:v>46.7567972907362</c:v>
                </c:pt>
                <c:pt idx="96">
                  <c:v>47.5564873956476</c:v>
                </c:pt>
                <c:pt idx="97">
                  <c:v>48.3557310564116</c:v>
                </c:pt>
                <c:pt idx="98">
                  <c:v>49.1544297628562</c:v>
                </c:pt>
                <c:pt idx="99">
                  <c:v>49.9525016237902</c:v>
                </c:pt>
                <c:pt idx="100">
                  <c:v>50.749864843289</c:v>
                </c:pt>
                <c:pt idx="101">
                  <c:v>51.5464377214809</c:v>
                </c:pt>
                <c:pt idx="102">
                  <c:v>52.3421386553031</c:v>
                </c:pt>
                <c:pt idx="103">
                  <c:v>53.136886139228</c:v>
                </c:pt>
                <c:pt idx="104">
                  <c:v>53.930598765958</c:v>
                </c:pt>
                <c:pt idx="105">
                  <c:v>54.7231952270908</c:v>
                </c:pt>
                <c:pt idx="106">
                  <c:v>55.5145943137544</c:v>
                </c:pt>
                <c:pt idx="107">
                  <c:v>56.3047149172125</c:v>
                </c:pt>
                <c:pt idx="108">
                  <c:v>57.0934760294402</c:v>
                </c:pt>
                <c:pt idx="109">
                  <c:v>57.8808173678719</c:v>
                </c:pt>
                <c:pt idx="110">
                  <c:v>58.6667199721302</c:v>
                </c:pt>
                <c:pt idx="111">
                  <c:v>59.4511855264254</c:v>
                </c:pt>
                <c:pt idx="112">
                  <c:v>60.2342157097029</c:v>
                </c:pt>
                <c:pt idx="113">
                  <c:v>61.0158121956622</c:v>
                </c:pt>
                <c:pt idx="114">
                  <c:v>61.7959766527747</c:v>
                </c:pt>
                <c:pt idx="115">
                  <c:v>62.5747107443026</c:v>
                </c:pt>
                <c:pt idx="116">
                  <c:v>63.352016128317</c:v>
                </c:pt>
                <c:pt idx="117">
                  <c:v>64.1278944577163</c:v>
                </c:pt>
                <c:pt idx="118">
                  <c:v>64.9023473802442</c:v>
                </c:pt>
                <c:pt idx="119">
                  <c:v>65.6753765385076</c:v>
                </c:pt>
                <c:pt idx="120">
                  <c:v>66.4469835699949</c:v>
                </c:pt>
                <c:pt idx="121">
                  <c:v>67.2171701070938</c:v>
                </c:pt>
                <c:pt idx="122">
                  <c:v>67.9859377771088</c:v>
                </c:pt>
                <c:pt idx="123">
                  <c:v>68.7532882022793</c:v>
                </c:pt>
                <c:pt idx="124">
                  <c:v>69.519222999797</c:v>
                </c:pt>
                <c:pt idx="125">
                  <c:v>70.2837437818233</c:v>
                </c:pt>
                <c:pt idx="126">
                  <c:v>71.0468521555073</c:v>
                </c:pt>
                <c:pt idx="127">
                  <c:v>71.8085497230025</c:v>
                </c:pt>
                <c:pt idx="128">
                  <c:v>72.5688380814847</c:v>
                </c:pt>
                <c:pt idx="129">
                  <c:v>73.3277188231688</c:v>
                </c:pt>
                <c:pt idx="130">
                  <c:v>74.085193535326</c:v>
                </c:pt>
                <c:pt idx="131">
                  <c:v>74.8412638003011</c:v>
                </c:pt>
                <c:pt idx="132">
                  <c:v>75.5959311955291</c:v>
                </c:pt>
                <c:pt idx="133">
                  <c:v>76.3491972935525</c:v>
                </c:pt>
                <c:pt idx="134">
                  <c:v>77.1010636620376</c:v>
                </c:pt>
                <c:pt idx="135">
                  <c:v>77.8515318637919</c:v>
                </c:pt>
                <c:pt idx="136">
                  <c:v>78.6006034567801</c:v>
                </c:pt>
                <c:pt idx="137">
                  <c:v>79.348279994141</c:v>
                </c:pt>
                <c:pt idx="138">
                  <c:v>80.0945630242041</c:v>
                </c:pt>
                <c:pt idx="139">
                  <c:v>80.8394540905058</c:v>
                </c:pt>
                <c:pt idx="140">
                  <c:v>81.5829547318057</c:v>
                </c:pt>
                <c:pt idx="141">
                  <c:v>82.3250664821031</c:v>
                </c:pt>
                <c:pt idx="142">
                  <c:v>83.0657908706532</c:v>
                </c:pt>
                <c:pt idx="143">
                  <c:v>83.805129421983</c:v>
                </c:pt>
                <c:pt idx="144">
                  <c:v>84.5430836559073</c:v>
                </c:pt>
                <c:pt idx="145">
                  <c:v>85.279655087545</c:v>
                </c:pt>
                <c:pt idx="146">
                  <c:v>86.0148452273348</c:v>
                </c:pt>
                <c:pt idx="147">
                  <c:v>86.7486555810509</c:v>
                </c:pt>
                <c:pt idx="148">
                  <c:v>87.4810876498189</c:v>
                </c:pt>
                <c:pt idx="149">
                  <c:v>88.2121429301315</c:v>
                </c:pt>
                <c:pt idx="150">
                  <c:v>88.9418229138639</c:v>
                </c:pt>
                <c:pt idx="151">
                  <c:v>89.6701290882897</c:v>
                </c:pt>
                <c:pt idx="152">
                  <c:v>90.3970629360958</c:v>
                </c:pt>
                <c:pt idx="153">
                  <c:v>91.1226259353983</c:v>
                </c:pt>
                <c:pt idx="154">
                  <c:v>91.8468195597576</c:v>
                </c:pt>
                <c:pt idx="155">
                  <c:v>92.5696452781936</c:v>
                </c:pt>
                <c:pt idx="156">
                  <c:v>93.2911045552008</c:v>
                </c:pt>
                <c:pt idx="157">
                  <c:v>94.0111988507638</c:v>
                </c:pt>
                <c:pt idx="158">
                  <c:v>94.7299296203718</c:v>
                </c:pt>
                <c:pt idx="159">
                  <c:v>95.4472983150339</c:v>
                </c:pt>
                <c:pt idx="160">
                  <c:v>96.1633063812938</c:v>
                </c:pt>
                <c:pt idx="161">
                  <c:v>96.8779552612449</c:v>
                </c:pt>
                <c:pt idx="162">
                  <c:v>97.5912463925448</c:v>
                </c:pt>
                <c:pt idx="163">
                  <c:v>98.3031812084299</c:v>
                </c:pt>
                <c:pt idx="164">
                  <c:v>99.0137611377304</c:v>
                </c:pt>
                <c:pt idx="165">
                  <c:v>99.7229876048845</c:v>
                </c:pt>
                <c:pt idx="166">
                  <c:v>100.430862029953</c:v>
                </c:pt>
                <c:pt idx="167">
                  <c:v>101.137385828634</c:v>
                </c:pt>
                <c:pt idx="168">
                  <c:v>101.842560412277</c:v>
                </c:pt>
                <c:pt idx="169">
                  <c:v>102.546387187896</c:v>
                </c:pt>
                <c:pt idx="170">
                  <c:v>103.248867558187</c:v>
                </c:pt>
                <c:pt idx="171">
                  <c:v>103.950002921538</c:v>
                </c:pt>
                <c:pt idx="172">
                  <c:v>104.649794672047</c:v>
                </c:pt>
                <c:pt idx="173">
                  <c:v>105.348244199532</c:v>
                </c:pt>
                <c:pt idx="174">
                  <c:v>106.04535288955</c:v>
                </c:pt>
                <c:pt idx="175">
                  <c:v>106.741122123405</c:v>
                </c:pt>
                <c:pt idx="176">
                  <c:v>107.435553278166</c:v>
                </c:pt>
                <c:pt idx="177">
                  <c:v>108.128647726681</c:v>
                </c:pt>
                <c:pt idx="178">
                  <c:v>108.820406837588</c:v>
                </c:pt>
                <c:pt idx="179">
                  <c:v>109.51083197533</c:v>
                </c:pt>
                <c:pt idx="180">
                  <c:v>110.199924500169</c:v>
                </c:pt>
                <c:pt idx="181">
                  <c:v>110.887685768199</c:v>
                </c:pt>
                <c:pt idx="182">
                  <c:v>111.574117131359</c:v>
                </c:pt>
                <c:pt idx="183">
                  <c:v>112.259219937448</c:v>
                </c:pt>
                <c:pt idx="184">
                  <c:v>112.942995530137</c:v>
                </c:pt>
                <c:pt idx="185">
                  <c:v>113.625445248982</c:v>
                </c:pt>
                <c:pt idx="186">
                  <c:v>114.306570429438</c:v>
                </c:pt>
                <c:pt idx="187">
                  <c:v>114.986372402872</c:v>
                </c:pt>
                <c:pt idx="188">
                  <c:v>115.664852496577</c:v>
                </c:pt>
                <c:pt idx="189">
                  <c:v>116.342012033783</c:v>
                </c:pt>
                <c:pt idx="190">
                  <c:v>117.017852333672</c:v>
                </c:pt>
                <c:pt idx="191">
                  <c:v>117.692374711388</c:v>
                </c:pt>
                <c:pt idx="192">
                  <c:v>118.365580478055</c:v>
                </c:pt>
                <c:pt idx="193">
                  <c:v>119.037470940784</c:v>
                </c:pt>
                <c:pt idx="194">
                  <c:v>119.70804740269</c:v>
                </c:pt>
                <c:pt idx="195">
                  <c:v>120.377311162903</c:v>
                </c:pt>
                <c:pt idx="196">
                  <c:v>121.045263516579</c:v>
                </c:pt>
                <c:pt idx="197">
                  <c:v>121.711905754917</c:v>
                </c:pt>
                <c:pt idx="198">
                  <c:v>122.377239165167</c:v>
                </c:pt>
                <c:pt idx="199">
                  <c:v>123.041265030645</c:v>
                </c:pt>
                <c:pt idx="200">
                  <c:v>123.703984630745</c:v>
                </c:pt>
                <c:pt idx="201">
                  <c:v>130.259434842014</c:v>
                </c:pt>
                <c:pt idx="202">
                  <c:v>136.685078590675</c:v>
                </c:pt>
                <c:pt idx="203">
                  <c:v>142.982154502811</c:v>
                </c:pt>
                <c:pt idx="204">
                  <c:v>149.151863640917</c:v>
                </c:pt>
                <c:pt idx="205">
                  <c:v>155.195370648685</c:v>
                </c:pt>
                <c:pt idx="206">
                  <c:v>161.11380484575</c:v>
                </c:pt>
                <c:pt idx="207">
                  <c:v>166.908261274865</c:v>
                </c:pt>
                <c:pt idx="208">
                  <c:v>172.579801703789</c:v>
                </c:pt>
                <c:pt idx="209">
                  <c:v>178.129455584094</c:v>
                </c:pt>
                <c:pt idx="210">
                  <c:v>183.558220968917</c:v>
                </c:pt>
                <c:pt idx="211">
                  <c:v>188.867065391609</c:v>
                </c:pt>
                <c:pt idx="212">
                  <c:v>194.056926707098</c:v>
                </c:pt>
                <c:pt idx="213">
                  <c:v>199.128713897703</c:v>
                </c:pt>
                <c:pt idx="214">
                  <c:v>204.083307845015</c:v>
                </c:pt>
                <c:pt idx="215">
                  <c:v>208.92156206941</c:v>
                </c:pt>
                <c:pt idx="216">
                  <c:v>213.644303438631</c:v>
                </c:pt>
                <c:pt idx="217">
                  <c:v>218.252332846838</c:v>
                </c:pt>
                <c:pt idx="218">
                  <c:v>222.746425865443</c:v>
                </c:pt>
                <c:pt idx="219">
                  <c:v>227.127333366955</c:v>
                </c:pt>
                <c:pt idx="220">
                  <c:v>231.395782123044</c:v>
                </c:pt>
                <c:pt idx="221">
                  <c:v>235.552475377935</c:v>
                </c:pt>
                <c:pt idx="222">
                  <c:v>239.598093398214</c:v>
                </c:pt>
                <c:pt idx="223">
                  <c:v>243.533294000073</c:v>
                </c:pt>
                <c:pt idx="224">
                  <c:v>247.358713054975</c:v>
                </c:pt>
                <c:pt idx="225">
                  <c:v>251.074964974691</c:v>
                </c:pt>
                <c:pt idx="226">
                  <c:v>254.682643176604</c:v>
                </c:pt>
                <c:pt idx="227">
                  <c:v>258.182320530185</c:v>
                </c:pt>
                <c:pt idx="228">
                  <c:v>261.574549785476</c:v>
                </c:pt>
                <c:pt idx="229">
                  <c:v>264.859863984431</c:v>
                </c:pt>
                <c:pt idx="230">
                  <c:v>268.038776855943</c:v>
                </c:pt>
                <c:pt idx="231">
                  <c:v>271.111783195368</c:v>
                </c:pt>
                <c:pt idx="232">
                  <c:v>274.079359229376</c:v>
                </c:pt>
                <c:pt idx="233">
                  <c:v>276.941962966974</c:v>
                </c:pt>
                <c:pt idx="234">
                  <c:v>279.700034537537</c:v>
                </c:pt>
                <c:pt idx="235">
                  <c:v>282.353996516769</c:v>
                </c:pt>
                <c:pt idx="236">
                  <c:v>284.904254241518</c:v>
                </c:pt>
                <c:pt idx="237">
                  <c:v>287.351196114468</c:v>
                </c:pt>
                <c:pt idx="238">
                  <c:v>289.695193899829</c:v>
                </c:pt>
                <c:pt idx="239">
                  <c:v>291.936603011229</c:v>
                </c:pt>
                <c:pt idx="240">
                  <c:v>294.075762793215</c:v>
                </c:pt>
                <c:pt idx="241">
                  <c:v>296.11299679793</c:v>
                </c:pt>
                <c:pt idx="242">
                  <c:v>298.048613058807</c:v>
                </c:pt>
                <c:pt idx="243">
                  <c:v>299.882904363398</c:v>
                </c:pt>
                <c:pt idx="244">
                  <c:v>301.61614852789</c:v>
                </c:pt>
                <c:pt idx="245">
                  <c:v>303.24860867629</c:v>
                </c:pt>
                <c:pt idx="246">
                  <c:v>304.780533527887</c:v>
                </c:pt>
                <c:pt idx="247">
                  <c:v>306.212157697298</c:v>
                </c:pt>
                <c:pt idx="248">
                  <c:v>307.543702012255</c:v>
                </c:pt>
                <c:pt idx="249">
                  <c:v>308.775373855343</c:v>
                </c:pt>
                <c:pt idx="250">
                  <c:v>309.907367537041</c:v>
                </c:pt>
                <c:pt idx="251">
                  <c:v>310.939864708734</c:v>
                </c:pt>
                <c:pt idx="252">
                  <c:v>311.873034825793</c:v>
                </c:pt>
                <c:pt idx="253">
                  <c:v>312.707035672151</c:v>
                </c:pt>
                <c:pt idx="254">
                  <c:v>313.442013959001</c:v>
                </c:pt>
                <c:pt idx="255">
                  <c:v>314.078106010923</c:v>
                </c:pt>
                <c:pt idx="256">
                  <c:v>314.615438552569</c:v>
                </c:pt>
                <c:pt idx="257">
                  <c:v>315.054129607607</c:v>
                </c:pt>
                <c:pt idx="258">
                  <c:v>315.394289518347</c:v>
                </c:pt>
                <c:pt idx="259">
                  <c:v>315.636022089161</c:v>
                </c:pt>
                <c:pt idx="260">
                  <c:v>315.77942584937</c:v>
                </c:pt>
                <c:pt idx="261">
                  <c:v>315.824595422082</c:v>
                </c:pt>
                <c:pt idx="262">
                  <c:v>315.771622975766</c:v>
                </c:pt>
                <c:pt idx="263">
                  <c:v>315.620599726499</c:v>
                </c:pt>
                <c:pt idx="264">
                  <c:v>315.37161745262</c:v>
                </c:pt>
                <c:pt idx="265">
                  <c:v>315.024769981269</c:v>
                </c:pt>
                <c:pt idx="266">
                  <c:v>314.58015460848</c:v>
                </c:pt>
                <c:pt idx="267">
                  <c:v>314.037873420721</c:v>
                </c:pt>
                <c:pt idx="268">
                  <c:v>313.398034494531</c:v>
                </c:pt>
                <c:pt idx="269">
                  <c:v>312.660752960771</c:v>
                </c:pt>
                <c:pt idx="270">
                  <c:v>311.826151929127</c:v>
                </c:pt>
                <c:pt idx="271">
                  <c:v>310.894363276055</c:v>
                </c:pt>
                <c:pt idx="272">
                  <c:v>309.865528304702</c:v>
                </c:pt>
                <c:pt idx="273">
                  <c:v>308.739798288604</c:v>
                </c:pt>
                <c:pt idx="274">
                  <c:v>307.517334912389</c:v>
                </c:pt>
                <c:pt idx="275">
                  <c:v>306.198310622879</c:v>
                </c:pt>
                <c:pt idx="276">
                  <c:v>304.782908903259</c:v>
                </c:pt>
                <c:pt idx="277">
                  <c:v>303.271324481749</c:v>
                </c:pt>
                <c:pt idx="278">
                  <c:v>301.663763484855</c:v>
                </c:pt>
                <c:pt idx="279">
                  <c:v>299.960443543796</c:v>
                </c:pt>
                <c:pt idx="280">
                  <c:v>298.1615938614</c:v>
                </c:pt>
                <c:pt idx="281">
                  <c:v>296.267455245539</c:v>
                </c:pt>
                <c:pt idx="282">
                  <c:v>294.278280114138</c:v>
                </c:pt>
                <c:pt idx="283">
                  <c:v>292.194332475928</c:v>
                </c:pt>
                <c:pt idx="284">
                  <c:v>290.015887890361</c:v>
                </c:pt>
                <c:pt idx="285">
                  <c:v>287.743233409507</c:v>
                </c:pt>
                <c:pt idx="286">
                  <c:v>285.376667504276</c:v>
                </c:pt>
                <c:pt idx="287">
                  <c:v>282.916499976872</c:v>
                </c:pt>
                <c:pt idx="288">
                  <c:v>280.363051861099</c:v>
                </c:pt>
                <c:pt idx="289">
                  <c:v>277.716655311842</c:v>
                </c:pt>
                <c:pt idx="290">
                  <c:v>274.977653484862</c:v>
                </c:pt>
                <c:pt idx="291">
                  <c:v>272.146400407841</c:v>
                </c:pt>
                <c:pt idx="292">
                  <c:v>269.223260843513</c:v>
                </c:pt>
                <c:pt idx="293">
                  <c:v>266.208610145553</c:v>
                </c:pt>
                <c:pt idx="294">
                  <c:v>263.102834107855</c:v>
                </c:pt>
                <c:pt idx="295">
                  <c:v>259.906328807727</c:v>
                </c:pt>
                <c:pt idx="296">
                  <c:v>256.619500443462</c:v>
                </c:pt>
                <c:pt idx="297">
                  <c:v>253.242765166734</c:v>
                </c:pt>
                <c:pt idx="298">
                  <c:v>249.776548910171</c:v>
                </c:pt>
                <c:pt idx="299">
                  <c:v>246.221287210483</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3</c:v>
                </c:pt>
              </c:numCache>
            </c:numRef>
          </c:xVal>
          <c:yVal>
            <c:numRef>
              <c:f>Trajecto!$C$155</c:f>
              <c:numCache>
                <c:formatCode>General</c:formatCode>
                <c:ptCount val="1"/>
                <c:pt idx="0">
                  <c:v>121.288712513719</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12.25</c:v>
                </c:pt>
              </c:numCache>
            </c:numRef>
          </c:xVal>
          <c:yVal>
            <c:numRef>
              <c:f>Trajecto!$C$156</c:f>
              <c:numCache>
                <c:formatCode>General</c:formatCode>
                <c:ptCount val="1"/>
                <c:pt idx="0">
                  <c:v>157.889712924685</c:v>
                </c:pt>
              </c:numCache>
            </c:numRef>
          </c:yVal>
          <c:smooth val="1"/>
        </c:ser>
        <c:axId val="28839005"/>
        <c:axId val="29616528"/>
      </c:scatterChart>
      <c:valAx>
        <c:axId val="28839005"/>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689121637705"/>
              <c:y val="0.851141018139263"/>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9616528"/>
        <c:crosses val="autoZero"/>
        <c:crossBetween val="midCat"/>
      </c:valAx>
      <c:valAx>
        <c:axId val="29616528"/>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8595572482742"/>
              <c:y val="0.067758923346986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28839005"/>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29060484417"/>
          <c:y val="0.0947630922693267"/>
          <c:w val="0.864282170402778"/>
          <c:h val="0.74169838561491"/>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Calculs!$Q$4:$Q$1004</c:f>
              <c:numCache>
                <c:formatCode>General</c:formatCode>
                <c:ptCount val="1001"/>
                <c:pt idx="1">
                  <c:v>62.5</c:v>
                </c:pt>
                <c:pt idx="2">
                  <c:v>187.5</c:v>
                </c:pt>
                <c:pt idx="3">
                  <c:v>240</c:v>
                </c:pt>
                <c:pt idx="4">
                  <c:v>220</c:v>
                </c:pt>
                <c:pt idx="5">
                  <c:v>209.568965517241</c:v>
                </c:pt>
                <c:pt idx="6">
                  <c:v>208.706896551724</c:v>
                </c:pt>
                <c:pt idx="7">
                  <c:v>207.844827586207</c:v>
                </c:pt>
                <c:pt idx="8">
                  <c:v>206.98275862069</c:v>
                </c:pt>
                <c:pt idx="9">
                  <c:v>206.120689655172</c:v>
                </c:pt>
                <c:pt idx="10">
                  <c:v>205.258620689655</c:v>
                </c:pt>
                <c:pt idx="11">
                  <c:v>204.396551724138</c:v>
                </c:pt>
                <c:pt idx="12">
                  <c:v>203.534482758621</c:v>
                </c:pt>
                <c:pt idx="13">
                  <c:v>202.672413793103</c:v>
                </c:pt>
                <c:pt idx="14">
                  <c:v>201.810344827586</c:v>
                </c:pt>
                <c:pt idx="15">
                  <c:v>200.948275862069</c:v>
                </c:pt>
                <c:pt idx="16">
                  <c:v>200.086206896552</c:v>
                </c:pt>
                <c:pt idx="17">
                  <c:v>199.224137931034</c:v>
                </c:pt>
                <c:pt idx="18">
                  <c:v>198.362068965517</c:v>
                </c:pt>
                <c:pt idx="19">
                  <c:v>197.5</c:v>
                </c:pt>
                <c:pt idx="20">
                  <c:v>196.637931034483</c:v>
                </c:pt>
                <c:pt idx="21">
                  <c:v>195.775862068966</c:v>
                </c:pt>
                <c:pt idx="22">
                  <c:v>194.913793103448</c:v>
                </c:pt>
                <c:pt idx="23">
                  <c:v>194.051724137931</c:v>
                </c:pt>
                <c:pt idx="24">
                  <c:v>193.189655172414</c:v>
                </c:pt>
                <c:pt idx="25">
                  <c:v>192.327586206897</c:v>
                </c:pt>
                <c:pt idx="26">
                  <c:v>191.465517241379</c:v>
                </c:pt>
                <c:pt idx="27">
                  <c:v>190.603448275862</c:v>
                </c:pt>
                <c:pt idx="28">
                  <c:v>189.741379310345</c:v>
                </c:pt>
                <c:pt idx="29">
                  <c:v>188.879310344828</c:v>
                </c:pt>
                <c:pt idx="30">
                  <c:v>188.01724137931</c:v>
                </c:pt>
                <c:pt idx="31">
                  <c:v>187.155172413793</c:v>
                </c:pt>
                <c:pt idx="32">
                  <c:v>186.293103448276</c:v>
                </c:pt>
                <c:pt idx="33">
                  <c:v>185.431034482759</c:v>
                </c:pt>
                <c:pt idx="34">
                  <c:v>184.568965517241</c:v>
                </c:pt>
                <c:pt idx="35">
                  <c:v>183.706896551724</c:v>
                </c:pt>
                <c:pt idx="36">
                  <c:v>182.844827586207</c:v>
                </c:pt>
                <c:pt idx="37">
                  <c:v>181.98275862069</c:v>
                </c:pt>
                <c:pt idx="38">
                  <c:v>181.120689655172</c:v>
                </c:pt>
                <c:pt idx="39">
                  <c:v>180.258620689655</c:v>
                </c:pt>
                <c:pt idx="40">
                  <c:v>179.396551724138</c:v>
                </c:pt>
                <c:pt idx="41">
                  <c:v>178.534482758621</c:v>
                </c:pt>
                <c:pt idx="42">
                  <c:v>177.672413793103</c:v>
                </c:pt>
                <c:pt idx="43">
                  <c:v>176.810344827586</c:v>
                </c:pt>
                <c:pt idx="44">
                  <c:v>175.948275862069</c:v>
                </c:pt>
                <c:pt idx="45">
                  <c:v>175.086206896552</c:v>
                </c:pt>
                <c:pt idx="46">
                  <c:v>174.224137931034</c:v>
                </c:pt>
                <c:pt idx="47">
                  <c:v>173.362068965517</c:v>
                </c:pt>
                <c:pt idx="48">
                  <c:v>172.5</c:v>
                </c:pt>
                <c:pt idx="49">
                  <c:v>171.637931034483</c:v>
                </c:pt>
                <c:pt idx="50">
                  <c:v>170.775862068966</c:v>
                </c:pt>
                <c:pt idx="51">
                  <c:v>169.913793103448</c:v>
                </c:pt>
                <c:pt idx="52">
                  <c:v>169.051724137931</c:v>
                </c:pt>
                <c:pt idx="53">
                  <c:v>168.189655172414</c:v>
                </c:pt>
                <c:pt idx="54">
                  <c:v>167.327586206897</c:v>
                </c:pt>
                <c:pt idx="55">
                  <c:v>166.465517241379</c:v>
                </c:pt>
                <c:pt idx="56">
                  <c:v>165.603448275862</c:v>
                </c:pt>
                <c:pt idx="57">
                  <c:v>164.741379310345</c:v>
                </c:pt>
                <c:pt idx="58">
                  <c:v>163.879310344828</c:v>
                </c:pt>
                <c:pt idx="59">
                  <c:v>163.01724137931</c:v>
                </c:pt>
                <c:pt idx="60">
                  <c:v>162.155172413793</c:v>
                </c:pt>
                <c:pt idx="61">
                  <c:v>161.293103448276</c:v>
                </c:pt>
                <c:pt idx="62">
                  <c:v>160.431034482759</c:v>
                </c:pt>
                <c:pt idx="63">
                  <c:v>158.75</c:v>
                </c:pt>
                <c:pt idx="64">
                  <c:v>156.25</c:v>
                </c:pt>
                <c:pt idx="65">
                  <c:v>153.75</c:v>
                </c:pt>
                <c:pt idx="66">
                  <c:v>151.25</c:v>
                </c:pt>
                <c:pt idx="67">
                  <c:v>148</c:v>
                </c:pt>
                <c:pt idx="68">
                  <c:v>144</c:v>
                </c:pt>
                <c:pt idx="69">
                  <c:v>138.666666666666</c:v>
                </c:pt>
                <c:pt idx="70">
                  <c:v>132</c:v>
                </c:pt>
                <c:pt idx="71">
                  <c:v>125.333333333333</c:v>
                </c:pt>
                <c:pt idx="72">
                  <c:v>118.666666666666</c:v>
                </c:pt>
                <c:pt idx="73">
                  <c:v>112</c:v>
                </c:pt>
                <c:pt idx="74">
                  <c:v>105.333333333333</c:v>
                </c:pt>
                <c:pt idx="75">
                  <c:v>98.6666666666664</c:v>
                </c:pt>
                <c:pt idx="76">
                  <c:v>91.9999999999997</c:v>
                </c:pt>
                <c:pt idx="77">
                  <c:v>85.3333333333331</c:v>
                </c:pt>
                <c:pt idx="78">
                  <c:v>78.6666666666664</c:v>
                </c:pt>
                <c:pt idx="79">
                  <c:v>71.9999999999997</c:v>
                </c:pt>
                <c:pt idx="80">
                  <c:v>65.333333333333</c:v>
                </c:pt>
                <c:pt idx="81">
                  <c:v>60.2499999999998</c:v>
                </c:pt>
                <c:pt idx="82">
                  <c:v>56.7499999999998</c:v>
                </c:pt>
                <c:pt idx="83">
                  <c:v>53.2499999999998</c:v>
                </c:pt>
                <c:pt idx="84">
                  <c:v>49.7499999999998</c:v>
                </c:pt>
                <c:pt idx="85">
                  <c:v>46.2499999999998</c:v>
                </c:pt>
                <c:pt idx="86">
                  <c:v>42.7499999999998</c:v>
                </c:pt>
                <c:pt idx="87">
                  <c:v>39.2499999999998</c:v>
                </c:pt>
                <c:pt idx="88">
                  <c:v>35.7499999999998</c:v>
                </c:pt>
                <c:pt idx="89">
                  <c:v>32.7499999999999</c:v>
                </c:pt>
                <c:pt idx="90">
                  <c:v>30.2499999999999</c:v>
                </c:pt>
                <c:pt idx="91">
                  <c:v>27.7499999999999</c:v>
                </c:pt>
                <c:pt idx="92">
                  <c:v>25.2499999999999</c:v>
                </c:pt>
                <c:pt idx="93">
                  <c:v>22.8749999999999</c:v>
                </c:pt>
                <c:pt idx="94">
                  <c:v>20.6249999999999</c:v>
                </c:pt>
                <c:pt idx="95">
                  <c:v>18.3749999999999</c:v>
                </c:pt>
                <c:pt idx="96">
                  <c:v>16.1249999999999</c:v>
                </c:pt>
                <c:pt idx="97">
                  <c:v>14.3749999999999</c:v>
                </c:pt>
                <c:pt idx="98">
                  <c:v>13.1249999999999</c:v>
                </c:pt>
                <c:pt idx="99">
                  <c:v>11.8749999999999</c:v>
                </c:pt>
                <c:pt idx="100">
                  <c:v>10.6249999999999</c:v>
                </c:pt>
                <c:pt idx="101">
                  <c:v>9.3749999999999</c:v>
                </c:pt>
                <c:pt idx="102">
                  <c:v>8.1249999999999</c:v>
                </c:pt>
                <c:pt idx="103">
                  <c:v>6.8749999999999</c:v>
                </c:pt>
                <c:pt idx="104">
                  <c:v>5.6249999999999</c:v>
                </c:pt>
                <c:pt idx="105">
                  <c:v>4.3749999999999</c:v>
                </c:pt>
                <c:pt idx="106">
                  <c:v>3.1249999999999</c:v>
                </c:pt>
                <c:pt idx="107">
                  <c:v>1.8749999999999</c:v>
                </c:pt>
                <c:pt idx="108">
                  <c:v>0.624999999999902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Calculs!$T$4:$T$1004</c:f>
              <c:numCache>
                <c:formatCode>General</c:formatCode>
                <c:ptCount val="1001"/>
                <c:pt idx="0">
                  <c:v>15.302619</c:v>
                </c:pt>
                <c:pt idx="1">
                  <c:v>15.2993648403538</c:v>
                </c:pt>
                <c:pt idx="2">
                  <c:v>15.2896023614153</c:v>
                </c:pt>
                <c:pt idx="3">
                  <c:v>15.2771063883741</c:v>
                </c:pt>
                <c:pt idx="4">
                  <c:v>15.2656517464195</c:v>
                </c:pt>
                <c:pt idx="5">
                  <c:v>15.2547402124887</c:v>
                </c:pt>
                <c:pt idx="6">
                  <c:v>15.2438735635186</c:v>
                </c:pt>
                <c:pt idx="7">
                  <c:v>15.233051799509</c:v>
                </c:pt>
                <c:pt idx="8">
                  <c:v>15.2222749204602</c:v>
                </c:pt>
                <c:pt idx="9">
                  <c:v>15.2115429263719</c:v>
                </c:pt>
                <c:pt idx="10">
                  <c:v>15.2008558172443</c:v>
                </c:pt>
                <c:pt idx="11">
                  <c:v>15.1902135930773</c:v>
                </c:pt>
                <c:pt idx="12">
                  <c:v>15.179616253871</c:v>
                </c:pt>
                <c:pt idx="13">
                  <c:v>15.1690637996253</c:v>
                </c:pt>
                <c:pt idx="14">
                  <c:v>15.1585562303402</c:v>
                </c:pt>
                <c:pt idx="15">
                  <c:v>15.1480935460157</c:v>
                </c:pt>
                <c:pt idx="16">
                  <c:v>15.137675746652</c:v>
                </c:pt>
                <c:pt idx="17">
                  <c:v>15.1273028322488</c:v>
                </c:pt>
                <c:pt idx="18">
                  <c:v>15.1169748028063</c:v>
                </c:pt>
                <c:pt idx="19">
                  <c:v>15.1066916583244</c:v>
                </c:pt>
                <c:pt idx="20">
                  <c:v>15.0964533988031</c:v>
                </c:pt>
                <c:pt idx="21">
                  <c:v>15.0862600242425</c:v>
                </c:pt>
                <c:pt idx="22">
                  <c:v>15.0761115346425</c:v>
                </c:pt>
                <c:pt idx="23">
                  <c:v>15.0660079300032</c:v>
                </c:pt>
                <c:pt idx="24">
                  <c:v>15.0559492103245</c:v>
                </c:pt>
                <c:pt idx="25">
                  <c:v>15.0459353756064</c:v>
                </c:pt>
                <c:pt idx="26">
                  <c:v>15.035966425849</c:v>
                </c:pt>
                <c:pt idx="27">
                  <c:v>15.0260423610522</c:v>
                </c:pt>
                <c:pt idx="28">
                  <c:v>15.016163181216</c:v>
                </c:pt>
                <c:pt idx="29">
                  <c:v>15.0063288863405</c:v>
                </c:pt>
                <c:pt idx="30">
                  <c:v>14.9965394764256</c:v>
                </c:pt>
                <c:pt idx="31">
                  <c:v>14.9867949514714</c:v>
                </c:pt>
                <c:pt idx="32">
                  <c:v>14.9770953114778</c:v>
                </c:pt>
                <c:pt idx="33">
                  <c:v>14.9674405564448</c:v>
                </c:pt>
                <c:pt idx="34">
                  <c:v>14.9578306863725</c:v>
                </c:pt>
                <c:pt idx="35">
                  <c:v>14.9482657012608</c:v>
                </c:pt>
                <c:pt idx="36">
                  <c:v>14.9387456011097</c:v>
                </c:pt>
                <c:pt idx="37">
                  <c:v>14.9292703859193</c:v>
                </c:pt>
                <c:pt idx="38">
                  <c:v>14.9198400556895</c:v>
                </c:pt>
                <c:pt idx="39">
                  <c:v>14.9104546104204</c:v>
                </c:pt>
                <c:pt idx="40">
                  <c:v>14.9011140501118</c:v>
                </c:pt>
                <c:pt idx="41">
                  <c:v>14.891818374764</c:v>
                </c:pt>
                <c:pt idx="42">
                  <c:v>14.8825675843767</c:v>
                </c:pt>
                <c:pt idx="43">
                  <c:v>14.8733616789501</c:v>
                </c:pt>
                <c:pt idx="44">
                  <c:v>14.8642006584842</c:v>
                </c:pt>
                <c:pt idx="45">
                  <c:v>14.8550845229788</c:v>
                </c:pt>
                <c:pt idx="46">
                  <c:v>14.8460132724341</c:v>
                </c:pt>
                <c:pt idx="47">
                  <c:v>14.8369869068501</c:v>
                </c:pt>
                <c:pt idx="48">
                  <c:v>14.8280054262266</c:v>
                </c:pt>
                <c:pt idx="49">
                  <c:v>14.8190688305639</c:v>
                </c:pt>
                <c:pt idx="50">
                  <c:v>14.8101771198617</c:v>
                </c:pt>
                <c:pt idx="51">
                  <c:v>14.8013302941202</c:v>
                </c:pt>
                <c:pt idx="52">
                  <c:v>14.7925283533393</c:v>
                </c:pt>
                <c:pt idx="53">
                  <c:v>14.7837712975191</c:v>
                </c:pt>
                <c:pt idx="54">
                  <c:v>14.7750591266595</c:v>
                </c:pt>
                <c:pt idx="55">
                  <c:v>14.7663918407605</c:v>
                </c:pt>
                <c:pt idx="56">
                  <c:v>14.7577694398222</c:v>
                </c:pt>
                <c:pt idx="57">
                  <c:v>14.7491919238445</c:v>
                </c:pt>
                <c:pt idx="58">
                  <c:v>14.7406592928275</c:v>
                </c:pt>
                <c:pt idx="59">
                  <c:v>14.732171546771</c:v>
                </c:pt>
                <c:pt idx="60">
                  <c:v>14.7237286856753</c:v>
                </c:pt>
                <c:pt idx="61">
                  <c:v>14.7153307095401</c:v>
                </c:pt>
                <c:pt idx="62">
                  <c:v>14.7069776183656</c:v>
                </c:pt>
                <c:pt idx="63">
                  <c:v>14.6987120528643</c:v>
                </c:pt>
                <c:pt idx="64">
                  <c:v>14.6905766537489</c:v>
                </c:pt>
                <c:pt idx="65">
                  <c:v>14.6825714210194</c:v>
                </c:pt>
                <c:pt idx="66">
                  <c:v>14.6746963546756</c:v>
                </c:pt>
                <c:pt idx="67">
                  <c:v>14.6669905046335</c:v>
                </c:pt>
                <c:pt idx="68">
                  <c:v>14.6594929208087</c:v>
                </c:pt>
                <c:pt idx="69">
                  <c:v>14.6522730252738</c:v>
                </c:pt>
                <c:pt idx="70">
                  <c:v>14.6454002401011</c:v>
                </c:pt>
                <c:pt idx="71">
                  <c:v>14.6388745652906</c:v>
                </c:pt>
                <c:pt idx="72">
                  <c:v>14.6326960008424</c:v>
                </c:pt>
                <c:pt idx="73">
                  <c:v>14.6268645467565</c:v>
                </c:pt>
                <c:pt idx="74">
                  <c:v>14.6213802030328</c:v>
                </c:pt>
                <c:pt idx="75">
                  <c:v>14.6162429696714</c:v>
                </c:pt>
                <c:pt idx="76">
                  <c:v>14.6114528466723</c:v>
                </c:pt>
                <c:pt idx="77">
                  <c:v>14.6070098340354</c:v>
                </c:pt>
                <c:pt idx="78">
                  <c:v>14.6029139317607</c:v>
                </c:pt>
                <c:pt idx="79">
                  <c:v>14.5991651398483</c:v>
                </c:pt>
                <c:pt idx="80">
                  <c:v>14.5957634582982</c:v>
                </c:pt>
                <c:pt idx="81">
                  <c:v>14.5926264483993</c:v>
                </c:pt>
                <c:pt idx="82">
                  <c:v>14.5896716714406</c:v>
                </c:pt>
                <c:pt idx="83">
                  <c:v>14.5868991274221</c:v>
                </c:pt>
                <c:pt idx="84">
                  <c:v>14.5843088163437</c:v>
                </c:pt>
                <c:pt idx="85">
                  <c:v>14.5819007382055</c:v>
                </c:pt>
                <c:pt idx="86">
                  <c:v>14.5796748930076</c:v>
                </c:pt>
                <c:pt idx="87">
                  <c:v>14.5776312807498</c:v>
                </c:pt>
                <c:pt idx="88">
                  <c:v>14.5757699014322</c:v>
                </c:pt>
                <c:pt idx="89">
                  <c:v>14.5740647217776</c:v>
                </c:pt>
                <c:pt idx="90">
                  <c:v>14.5724897085088</c:v>
                </c:pt>
                <c:pt idx="91">
                  <c:v>14.5710448616259</c:v>
                </c:pt>
                <c:pt idx="92">
                  <c:v>14.5697301811289</c:v>
                </c:pt>
                <c:pt idx="93">
                  <c:v>14.5685391586984</c:v>
                </c:pt>
                <c:pt idx="94">
                  <c:v>14.5674652860151</c:v>
                </c:pt>
                <c:pt idx="95">
                  <c:v>14.5665085630792</c:v>
                </c:pt>
                <c:pt idx="96">
                  <c:v>14.5656689898905</c:v>
                </c:pt>
                <c:pt idx="97">
                  <c:v>14.5649205331718</c:v>
                </c:pt>
                <c:pt idx="98">
                  <c:v>14.5642371596461</c:v>
                </c:pt>
                <c:pt idx="99">
                  <c:v>14.5636188693134</c:v>
                </c:pt>
                <c:pt idx="100">
                  <c:v>14.5630656621735</c:v>
                </c:pt>
                <c:pt idx="101">
                  <c:v>14.5625775382266</c:v>
                </c:pt>
                <c:pt idx="102">
                  <c:v>14.5621544974726</c:v>
                </c:pt>
                <c:pt idx="103">
                  <c:v>14.5617965399115</c:v>
                </c:pt>
                <c:pt idx="104">
                  <c:v>14.5615036655434</c:v>
                </c:pt>
                <c:pt idx="105">
                  <c:v>14.5612758743681</c:v>
                </c:pt>
                <c:pt idx="106">
                  <c:v>14.5611131663858</c:v>
                </c:pt>
                <c:pt idx="107">
                  <c:v>14.5610155415964</c:v>
                </c:pt>
                <c:pt idx="108">
                  <c:v>14.560983</c:v>
                </c:pt>
                <c:pt idx="109">
                  <c:v>14.560983</c:v>
                </c:pt>
                <c:pt idx="110">
                  <c:v>14.560983</c:v>
                </c:pt>
                <c:pt idx="111">
                  <c:v>14.560983</c:v>
                </c:pt>
                <c:pt idx="112">
                  <c:v>14.560983</c:v>
                </c:pt>
                <c:pt idx="113">
                  <c:v>14.560983</c:v>
                </c:pt>
                <c:pt idx="114">
                  <c:v>14.560983</c:v>
                </c:pt>
                <c:pt idx="115">
                  <c:v>14.560983</c:v>
                </c:pt>
                <c:pt idx="116">
                  <c:v>14.560983</c:v>
                </c:pt>
                <c:pt idx="117">
                  <c:v>14.560983</c:v>
                </c:pt>
                <c:pt idx="118">
                  <c:v>14.560983</c:v>
                </c:pt>
                <c:pt idx="119">
                  <c:v>14.560983</c:v>
                </c:pt>
                <c:pt idx="120">
                  <c:v>14.560983</c:v>
                </c:pt>
                <c:pt idx="121">
                  <c:v>14.560983</c:v>
                </c:pt>
                <c:pt idx="122">
                  <c:v>14.560983</c:v>
                </c:pt>
                <c:pt idx="123">
                  <c:v>14.560983</c:v>
                </c:pt>
                <c:pt idx="124">
                  <c:v>14.560983</c:v>
                </c:pt>
                <c:pt idx="125">
                  <c:v>14.560983</c:v>
                </c:pt>
                <c:pt idx="126">
                  <c:v>14.560983</c:v>
                </c:pt>
                <c:pt idx="127">
                  <c:v>14.560983</c:v>
                </c:pt>
                <c:pt idx="128">
                  <c:v>14.560983</c:v>
                </c:pt>
                <c:pt idx="129">
                  <c:v>14.560983</c:v>
                </c:pt>
                <c:pt idx="130">
                  <c:v>14.560983</c:v>
                </c:pt>
                <c:pt idx="131">
                  <c:v>14.560983</c:v>
                </c:pt>
                <c:pt idx="132">
                  <c:v>14.560983</c:v>
                </c:pt>
                <c:pt idx="133">
                  <c:v>14.560983</c:v>
                </c:pt>
                <c:pt idx="134">
                  <c:v>14.560983</c:v>
                </c:pt>
                <c:pt idx="135">
                  <c:v>14.560983</c:v>
                </c:pt>
                <c:pt idx="136">
                  <c:v>14.560983</c:v>
                </c:pt>
                <c:pt idx="137">
                  <c:v>14.560983</c:v>
                </c:pt>
                <c:pt idx="138">
                  <c:v>14.560983</c:v>
                </c:pt>
                <c:pt idx="139">
                  <c:v>14.560983</c:v>
                </c:pt>
                <c:pt idx="140">
                  <c:v>14.560983</c:v>
                </c:pt>
                <c:pt idx="141">
                  <c:v>14.560983</c:v>
                </c:pt>
                <c:pt idx="142">
                  <c:v>14.560983</c:v>
                </c:pt>
                <c:pt idx="143">
                  <c:v>14.560983</c:v>
                </c:pt>
                <c:pt idx="144">
                  <c:v>14.560983</c:v>
                </c:pt>
                <c:pt idx="145">
                  <c:v>14.560983</c:v>
                </c:pt>
                <c:pt idx="146">
                  <c:v>14.560983</c:v>
                </c:pt>
                <c:pt idx="147">
                  <c:v>14.560983</c:v>
                </c:pt>
                <c:pt idx="148">
                  <c:v>14.560983</c:v>
                </c:pt>
                <c:pt idx="149">
                  <c:v>14.560983</c:v>
                </c:pt>
                <c:pt idx="150">
                  <c:v>14.560983</c:v>
                </c:pt>
                <c:pt idx="151">
                  <c:v>14.560983</c:v>
                </c:pt>
                <c:pt idx="152">
                  <c:v>14.560983</c:v>
                </c:pt>
                <c:pt idx="153">
                  <c:v>14.560983</c:v>
                </c:pt>
                <c:pt idx="154">
                  <c:v>14.560983</c:v>
                </c:pt>
                <c:pt idx="155">
                  <c:v>14.560983</c:v>
                </c:pt>
                <c:pt idx="156">
                  <c:v>14.560983</c:v>
                </c:pt>
                <c:pt idx="157">
                  <c:v>14.560983</c:v>
                </c:pt>
                <c:pt idx="158">
                  <c:v>14.560983</c:v>
                </c:pt>
                <c:pt idx="159">
                  <c:v>14.560983</c:v>
                </c:pt>
                <c:pt idx="160">
                  <c:v>14.560983</c:v>
                </c:pt>
                <c:pt idx="161">
                  <c:v>14.560983</c:v>
                </c:pt>
                <c:pt idx="162">
                  <c:v>14.560983</c:v>
                </c:pt>
                <c:pt idx="163">
                  <c:v>14.560983</c:v>
                </c:pt>
                <c:pt idx="164">
                  <c:v>14.560983</c:v>
                </c:pt>
                <c:pt idx="165">
                  <c:v>14.560983</c:v>
                </c:pt>
                <c:pt idx="166">
                  <c:v>14.560983</c:v>
                </c:pt>
                <c:pt idx="167">
                  <c:v>14.560983</c:v>
                </c:pt>
                <c:pt idx="168">
                  <c:v>14.560983</c:v>
                </c:pt>
                <c:pt idx="169">
                  <c:v>14.560983</c:v>
                </c:pt>
                <c:pt idx="170">
                  <c:v>14.560983</c:v>
                </c:pt>
                <c:pt idx="171">
                  <c:v>14.560983</c:v>
                </c:pt>
                <c:pt idx="172">
                  <c:v>14.560983</c:v>
                </c:pt>
                <c:pt idx="173">
                  <c:v>14.560983</c:v>
                </c:pt>
                <c:pt idx="174">
                  <c:v>14.560983</c:v>
                </c:pt>
                <c:pt idx="175">
                  <c:v>14.560983</c:v>
                </c:pt>
                <c:pt idx="176">
                  <c:v>14.560983</c:v>
                </c:pt>
                <c:pt idx="177">
                  <c:v>14.560983</c:v>
                </c:pt>
                <c:pt idx="178">
                  <c:v>14.560983</c:v>
                </c:pt>
                <c:pt idx="179">
                  <c:v>14.560983</c:v>
                </c:pt>
                <c:pt idx="180">
                  <c:v>14.560983</c:v>
                </c:pt>
                <c:pt idx="181">
                  <c:v>14.560983</c:v>
                </c:pt>
                <c:pt idx="182">
                  <c:v>14.560983</c:v>
                </c:pt>
                <c:pt idx="183">
                  <c:v>14.560983</c:v>
                </c:pt>
                <c:pt idx="184">
                  <c:v>14.560983</c:v>
                </c:pt>
                <c:pt idx="185">
                  <c:v>14.560983</c:v>
                </c:pt>
                <c:pt idx="186">
                  <c:v>14.560983</c:v>
                </c:pt>
                <c:pt idx="187">
                  <c:v>14.560983</c:v>
                </c:pt>
                <c:pt idx="188">
                  <c:v>14.560983</c:v>
                </c:pt>
                <c:pt idx="189">
                  <c:v>14.560983</c:v>
                </c:pt>
                <c:pt idx="190">
                  <c:v>14.560983</c:v>
                </c:pt>
                <c:pt idx="191">
                  <c:v>14.560983</c:v>
                </c:pt>
                <c:pt idx="192">
                  <c:v>14.560983</c:v>
                </c:pt>
                <c:pt idx="193">
                  <c:v>14.560983</c:v>
                </c:pt>
                <c:pt idx="194">
                  <c:v>14.560983</c:v>
                </c:pt>
                <c:pt idx="195">
                  <c:v>14.560983</c:v>
                </c:pt>
                <c:pt idx="196">
                  <c:v>14.560983</c:v>
                </c:pt>
                <c:pt idx="197">
                  <c:v>14.560983</c:v>
                </c:pt>
                <c:pt idx="198">
                  <c:v>14.560983</c:v>
                </c:pt>
                <c:pt idx="199">
                  <c:v>14.560983</c:v>
                </c:pt>
                <c:pt idx="200">
                  <c:v>14.560983</c:v>
                </c:pt>
                <c:pt idx="201">
                  <c:v>14.560983</c:v>
                </c:pt>
                <c:pt idx="202">
                  <c:v>14.560983</c:v>
                </c:pt>
                <c:pt idx="203">
                  <c:v>14.560983</c:v>
                </c:pt>
                <c:pt idx="204">
                  <c:v>14.560983</c:v>
                </c:pt>
                <c:pt idx="205">
                  <c:v>14.560983</c:v>
                </c:pt>
                <c:pt idx="206">
                  <c:v>14.560983</c:v>
                </c:pt>
                <c:pt idx="207">
                  <c:v>14.560983</c:v>
                </c:pt>
                <c:pt idx="208">
                  <c:v>14.560983</c:v>
                </c:pt>
                <c:pt idx="209">
                  <c:v>14.560983</c:v>
                </c:pt>
                <c:pt idx="210">
                  <c:v>14.560983</c:v>
                </c:pt>
                <c:pt idx="211">
                  <c:v>14.560983</c:v>
                </c:pt>
                <c:pt idx="212">
                  <c:v>14.560983</c:v>
                </c:pt>
                <c:pt idx="213">
                  <c:v>14.560983</c:v>
                </c:pt>
                <c:pt idx="214">
                  <c:v>14.560983</c:v>
                </c:pt>
                <c:pt idx="215">
                  <c:v>14.560983</c:v>
                </c:pt>
                <c:pt idx="216">
                  <c:v>14.560983</c:v>
                </c:pt>
                <c:pt idx="217">
                  <c:v>14.560983</c:v>
                </c:pt>
                <c:pt idx="218">
                  <c:v>14.560983</c:v>
                </c:pt>
                <c:pt idx="219">
                  <c:v>14.560983</c:v>
                </c:pt>
                <c:pt idx="220">
                  <c:v>14.560983</c:v>
                </c:pt>
                <c:pt idx="221">
                  <c:v>14.560983</c:v>
                </c:pt>
                <c:pt idx="222">
                  <c:v>14.560983</c:v>
                </c:pt>
                <c:pt idx="223">
                  <c:v>14.560983</c:v>
                </c:pt>
                <c:pt idx="224">
                  <c:v>14.560983</c:v>
                </c:pt>
                <c:pt idx="225">
                  <c:v>14.560983</c:v>
                </c:pt>
                <c:pt idx="226">
                  <c:v>14.560983</c:v>
                </c:pt>
                <c:pt idx="227">
                  <c:v>14.560983</c:v>
                </c:pt>
                <c:pt idx="228">
                  <c:v>14.560983</c:v>
                </c:pt>
                <c:pt idx="229">
                  <c:v>14.560983</c:v>
                </c:pt>
                <c:pt idx="230">
                  <c:v>14.560983</c:v>
                </c:pt>
                <c:pt idx="231">
                  <c:v>14.560983</c:v>
                </c:pt>
                <c:pt idx="232">
                  <c:v>14.560983</c:v>
                </c:pt>
                <c:pt idx="233">
                  <c:v>14.560983</c:v>
                </c:pt>
                <c:pt idx="234">
                  <c:v>14.560983</c:v>
                </c:pt>
                <c:pt idx="235">
                  <c:v>14.560983</c:v>
                </c:pt>
                <c:pt idx="236">
                  <c:v>14.560983</c:v>
                </c:pt>
                <c:pt idx="237">
                  <c:v>14.560983</c:v>
                </c:pt>
                <c:pt idx="238">
                  <c:v>14.560983</c:v>
                </c:pt>
                <c:pt idx="239">
                  <c:v>14.560983</c:v>
                </c:pt>
                <c:pt idx="240">
                  <c:v>14.560983</c:v>
                </c:pt>
                <c:pt idx="241">
                  <c:v>14.560983</c:v>
                </c:pt>
                <c:pt idx="242">
                  <c:v>14.560983</c:v>
                </c:pt>
                <c:pt idx="243">
                  <c:v>14.560983</c:v>
                </c:pt>
                <c:pt idx="244">
                  <c:v>14.560983</c:v>
                </c:pt>
                <c:pt idx="245">
                  <c:v>14.560983</c:v>
                </c:pt>
                <c:pt idx="246">
                  <c:v>14.560983</c:v>
                </c:pt>
                <c:pt idx="247">
                  <c:v>14.560983</c:v>
                </c:pt>
                <c:pt idx="248">
                  <c:v>14.560983</c:v>
                </c:pt>
                <c:pt idx="249">
                  <c:v>14.560983</c:v>
                </c:pt>
                <c:pt idx="250">
                  <c:v>14.560983</c:v>
                </c:pt>
                <c:pt idx="251">
                  <c:v>14.560983</c:v>
                </c:pt>
                <c:pt idx="252">
                  <c:v>14.560983</c:v>
                </c:pt>
                <c:pt idx="253">
                  <c:v>14.560983</c:v>
                </c:pt>
                <c:pt idx="254">
                  <c:v>14.560983</c:v>
                </c:pt>
                <c:pt idx="255">
                  <c:v>14.560983</c:v>
                </c:pt>
                <c:pt idx="256">
                  <c:v>14.560983</c:v>
                </c:pt>
                <c:pt idx="257">
                  <c:v>14.560983</c:v>
                </c:pt>
                <c:pt idx="258">
                  <c:v>14.560983</c:v>
                </c:pt>
                <c:pt idx="259">
                  <c:v>14.560983</c:v>
                </c:pt>
                <c:pt idx="260">
                  <c:v>14.560983</c:v>
                </c:pt>
                <c:pt idx="261">
                  <c:v>14.560983</c:v>
                </c:pt>
                <c:pt idx="262">
                  <c:v>14.560983</c:v>
                </c:pt>
                <c:pt idx="263">
                  <c:v>14.560983</c:v>
                </c:pt>
                <c:pt idx="264">
                  <c:v>14.560983</c:v>
                </c:pt>
                <c:pt idx="265">
                  <c:v>14.560983</c:v>
                </c:pt>
                <c:pt idx="266">
                  <c:v>14.560983</c:v>
                </c:pt>
                <c:pt idx="267">
                  <c:v>14.560983</c:v>
                </c:pt>
                <c:pt idx="268">
                  <c:v>14.560983</c:v>
                </c:pt>
                <c:pt idx="269">
                  <c:v>14.560983</c:v>
                </c:pt>
                <c:pt idx="270">
                  <c:v>14.560983</c:v>
                </c:pt>
                <c:pt idx="271">
                  <c:v>14.560983</c:v>
                </c:pt>
                <c:pt idx="272">
                  <c:v>14.560983</c:v>
                </c:pt>
                <c:pt idx="273">
                  <c:v>14.560983</c:v>
                </c:pt>
                <c:pt idx="274">
                  <c:v>14.560983</c:v>
                </c:pt>
                <c:pt idx="275">
                  <c:v>14.560983</c:v>
                </c:pt>
                <c:pt idx="276">
                  <c:v>14.560983</c:v>
                </c:pt>
                <c:pt idx="277">
                  <c:v>14.560983</c:v>
                </c:pt>
                <c:pt idx="278">
                  <c:v>14.560983</c:v>
                </c:pt>
                <c:pt idx="279">
                  <c:v>14.560983</c:v>
                </c:pt>
                <c:pt idx="280">
                  <c:v>14.560983</c:v>
                </c:pt>
                <c:pt idx="281">
                  <c:v>14.560983</c:v>
                </c:pt>
                <c:pt idx="282">
                  <c:v>14.560983</c:v>
                </c:pt>
                <c:pt idx="283">
                  <c:v>14.560983</c:v>
                </c:pt>
                <c:pt idx="284">
                  <c:v>14.560983</c:v>
                </c:pt>
                <c:pt idx="285">
                  <c:v>14.560983</c:v>
                </c:pt>
                <c:pt idx="286">
                  <c:v>14.560983</c:v>
                </c:pt>
                <c:pt idx="287">
                  <c:v>14.560983</c:v>
                </c:pt>
                <c:pt idx="288">
                  <c:v>14.560983</c:v>
                </c:pt>
                <c:pt idx="289">
                  <c:v>14.560983</c:v>
                </c:pt>
                <c:pt idx="290">
                  <c:v>14.560983</c:v>
                </c:pt>
                <c:pt idx="291">
                  <c:v>14.560983</c:v>
                </c:pt>
                <c:pt idx="292">
                  <c:v>14.560983</c:v>
                </c:pt>
                <c:pt idx="293">
                  <c:v>14.560983</c:v>
                </c:pt>
                <c:pt idx="294">
                  <c:v>14.560983</c:v>
                </c:pt>
                <c:pt idx="295">
                  <c:v>14.560983</c:v>
                </c:pt>
                <c:pt idx="296">
                  <c:v>14.560983</c:v>
                </c:pt>
                <c:pt idx="297">
                  <c:v>14.560983</c:v>
                </c:pt>
                <c:pt idx="298">
                  <c:v>14.560983</c:v>
                </c:pt>
                <c:pt idx="299">
                  <c:v>14.560983</c:v>
                </c:pt>
                <c:pt idx="300">
                  <c:v>14.560983</c:v>
                </c:pt>
                <c:pt idx="301">
                  <c:v>14.560983</c:v>
                </c:pt>
                <c:pt idx="302">
                  <c:v>14.560983</c:v>
                </c:pt>
                <c:pt idx="303">
                  <c:v>14.560983</c:v>
                </c:pt>
                <c:pt idx="304">
                  <c:v>14.560983</c:v>
                </c:pt>
                <c:pt idx="305">
                  <c:v>14.560983</c:v>
                </c:pt>
                <c:pt idx="306">
                  <c:v>14.560983</c:v>
                </c:pt>
                <c:pt idx="307">
                  <c:v>14.560983</c:v>
                </c:pt>
                <c:pt idx="308">
                  <c:v>14.560983</c:v>
                </c:pt>
                <c:pt idx="309">
                  <c:v>14.560983</c:v>
                </c:pt>
                <c:pt idx="310">
                  <c:v>14.560983</c:v>
                </c:pt>
                <c:pt idx="311">
                  <c:v>14.560983</c:v>
                </c:pt>
                <c:pt idx="312">
                  <c:v>14.560983</c:v>
                </c:pt>
                <c:pt idx="313">
                  <c:v>14.560983</c:v>
                </c:pt>
                <c:pt idx="314">
                  <c:v>14.560983</c:v>
                </c:pt>
                <c:pt idx="315">
                  <c:v>14.560983</c:v>
                </c:pt>
                <c:pt idx="316">
                  <c:v>14.560983</c:v>
                </c:pt>
                <c:pt idx="317">
                  <c:v>14.560983</c:v>
                </c:pt>
                <c:pt idx="318">
                  <c:v>14.560983</c:v>
                </c:pt>
                <c:pt idx="319">
                  <c:v>14.560983</c:v>
                </c:pt>
                <c:pt idx="320">
                  <c:v>14.560983</c:v>
                </c:pt>
                <c:pt idx="321">
                  <c:v>14.560983</c:v>
                </c:pt>
                <c:pt idx="322">
                  <c:v>14.560983</c:v>
                </c:pt>
                <c:pt idx="323">
                  <c:v>14.560983</c:v>
                </c:pt>
                <c:pt idx="324">
                  <c:v>14.560983</c:v>
                </c:pt>
                <c:pt idx="325">
                  <c:v>14.560983</c:v>
                </c:pt>
                <c:pt idx="326">
                  <c:v>14.560983</c:v>
                </c:pt>
                <c:pt idx="327">
                  <c:v>14.560983</c:v>
                </c:pt>
                <c:pt idx="328">
                  <c:v>14.560983</c:v>
                </c:pt>
                <c:pt idx="329">
                  <c:v>14.560983</c:v>
                </c:pt>
                <c:pt idx="330">
                  <c:v>14.560983</c:v>
                </c:pt>
                <c:pt idx="331">
                  <c:v>14.560983</c:v>
                </c:pt>
                <c:pt idx="332">
                  <c:v>14.560983</c:v>
                </c:pt>
                <c:pt idx="333">
                  <c:v>14.560983</c:v>
                </c:pt>
                <c:pt idx="334">
                  <c:v>14.560983</c:v>
                </c:pt>
                <c:pt idx="335">
                  <c:v>14.560983</c:v>
                </c:pt>
                <c:pt idx="336">
                  <c:v>14.560983</c:v>
                </c:pt>
                <c:pt idx="337">
                  <c:v>14.560983</c:v>
                </c:pt>
                <c:pt idx="338">
                  <c:v>14.560983</c:v>
                </c:pt>
                <c:pt idx="339">
                  <c:v>14.560983</c:v>
                </c:pt>
                <c:pt idx="340">
                  <c:v>14.560983</c:v>
                </c:pt>
                <c:pt idx="341">
                  <c:v>14.560983</c:v>
                </c:pt>
                <c:pt idx="342">
                  <c:v>14.560983</c:v>
                </c:pt>
                <c:pt idx="343">
                  <c:v>14.560983</c:v>
                </c:pt>
                <c:pt idx="344">
                  <c:v>14.560983</c:v>
                </c:pt>
                <c:pt idx="345">
                  <c:v>14.560983</c:v>
                </c:pt>
                <c:pt idx="346">
                  <c:v>14.560983</c:v>
                </c:pt>
                <c:pt idx="347">
                  <c:v>14.560983</c:v>
                </c:pt>
                <c:pt idx="348">
                  <c:v>14.560983</c:v>
                </c:pt>
                <c:pt idx="349">
                  <c:v>14.560983</c:v>
                </c:pt>
                <c:pt idx="350">
                  <c:v>14.560983</c:v>
                </c:pt>
                <c:pt idx="351">
                  <c:v>14.560983</c:v>
                </c:pt>
                <c:pt idx="352">
                  <c:v>14.560983</c:v>
                </c:pt>
                <c:pt idx="353">
                  <c:v>14.560983</c:v>
                </c:pt>
                <c:pt idx="354">
                  <c:v>14.560983</c:v>
                </c:pt>
                <c:pt idx="355">
                  <c:v>14.560983</c:v>
                </c:pt>
                <c:pt idx="356">
                  <c:v>14.560983</c:v>
                </c:pt>
                <c:pt idx="357">
                  <c:v>14.560983</c:v>
                </c:pt>
                <c:pt idx="358">
                  <c:v>14.560983</c:v>
                </c:pt>
                <c:pt idx="359">
                  <c:v>14.560983</c:v>
                </c:pt>
                <c:pt idx="360">
                  <c:v>14.560983</c:v>
                </c:pt>
                <c:pt idx="361">
                  <c:v>14.560983</c:v>
                </c:pt>
                <c:pt idx="362">
                  <c:v>14.560983</c:v>
                </c:pt>
                <c:pt idx="363">
                  <c:v>14.560983</c:v>
                </c:pt>
                <c:pt idx="364">
                  <c:v>14.560983</c:v>
                </c:pt>
                <c:pt idx="365">
                  <c:v>14.560983</c:v>
                </c:pt>
                <c:pt idx="366">
                  <c:v>14.560983</c:v>
                </c:pt>
                <c:pt idx="367">
                  <c:v>14.560983</c:v>
                </c:pt>
                <c:pt idx="368">
                  <c:v>14.560983</c:v>
                </c:pt>
                <c:pt idx="369">
                  <c:v>14.560983</c:v>
                </c:pt>
                <c:pt idx="370">
                  <c:v>14.560983</c:v>
                </c:pt>
                <c:pt idx="371">
                  <c:v>14.560983</c:v>
                </c:pt>
                <c:pt idx="372">
                  <c:v>14.560983</c:v>
                </c:pt>
                <c:pt idx="373">
                  <c:v>14.560983</c:v>
                </c:pt>
                <c:pt idx="374">
                  <c:v>14.560983</c:v>
                </c:pt>
                <c:pt idx="375">
                  <c:v>14.560983</c:v>
                </c:pt>
                <c:pt idx="376">
                  <c:v>14.560983</c:v>
                </c:pt>
                <c:pt idx="377">
                  <c:v>14.560983</c:v>
                </c:pt>
                <c:pt idx="378">
                  <c:v>14.560983</c:v>
                </c:pt>
                <c:pt idx="379">
                  <c:v>14.560983</c:v>
                </c:pt>
                <c:pt idx="380">
                  <c:v>14.560983</c:v>
                </c:pt>
                <c:pt idx="381">
                  <c:v>14.560983</c:v>
                </c:pt>
                <c:pt idx="382">
                  <c:v>14.560983</c:v>
                </c:pt>
                <c:pt idx="383">
                  <c:v>14.560983</c:v>
                </c:pt>
                <c:pt idx="384">
                  <c:v>14.560983</c:v>
                </c:pt>
                <c:pt idx="385">
                  <c:v>14.560983</c:v>
                </c:pt>
                <c:pt idx="386">
                  <c:v>14.560983</c:v>
                </c:pt>
                <c:pt idx="387">
                  <c:v>14.560983</c:v>
                </c:pt>
                <c:pt idx="388">
                  <c:v>14.560983</c:v>
                </c:pt>
                <c:pt idx="389">
                  <c:v>14.560983</c:v>
                </c:pt>
                <c:pt idx="390">
                  <c:v>14.560983</c:v>
                </c:pt>
                <c:pt idx="391">
                  <c:v>14.560983</c:v>
                </c:pt>
                <c:pt idx="392">
                  <c:v>14.560983</c:v>
                </c:pt>
                <c:pt idx="393">
                  <c:v>14.560983</c:v>
                </c:pt>
                <c:pt idx="394">
                  <c:v>14.560983</c:v>
                </c:pt>
                <c:pt idx="395">
                  <c:v>14.560983</c:v>
                </c:pt>
                <c:pt idx="396">
                  <c:v>14.560983</c:v>
                </c:pt>
                <c:pt idx="397">
                  <c:v>14.560983</c:v>
                </c:pt>
                <c:pt idx="398">
                  <c:v>14.560983</c:v>
                </c:pt>
                <c:pt idx="399">
                  <c:v>14.560983</c:v>
                </c:pt>
                <c:pt idx="400">
                  <c:v>14.560983</c:v>
                </c:pt>
                <c:pt idx="401">
                  <c:v>14.560983</c:v>
                </c:pt>
                <c:pt idx="402">
                  <c:v>14.560983</c:v>
                </c:pt>
                <c:pt idx="403">
                  <c:v>14.560983</c:v>
                </c:pt>
                <c:pt idx="404">
                  <c:v>14.560983</c:v>
                </c:pt>
                <c:pt idx="405">
                  <c:v>14.560983</c:v>
                </c:pt>
                <c:pt idx="406">
                  <c:v>14.560983</c:v>
                </c:pt>
                <c:pt idx="407">
                  <c:v>14.560983</c:v>
                </c:pt>
                <c:pt idx="408">
                  <c:v>14.560983</c:v>
                </c:pt>
                <c:pt idx="409">
                  <c:v>14.560983</c:v>
                </c:pt>
                <c:pt idx="410">
                  <c:v>14.560983</c:v>
                </c:pt>
                <c:pt idx="411">
                  <c:v>14.560983</c:v>
                </c:pt>
                <c:pt idx="412">
                  <c:v>14.560983</c:v>
                </c:pt>
                <c:pt idx="413">
                  <c:v>14.560983</c:v>
                </c:pt>
                <c:pt idx="414">
                  <c:v>14.560983</c:v>
                </c:pt>
                <c:pt idx="415">
                  <c:v>14.560983</c:v>
                </c:pt>
                <c:pt idx="416">
                  <c:v>14.560983</c:v>
                </c:pt>
                <c:pt idx="417">
                  <c:v>14.560983</c:v>
                </c:pt>
                <c:pt idx="418">
                  <c:v>14.560983</c:v>
                </c:pt>
                <c:pt idx="419">
                  <c:v>14.560983</c:v>
                </c:pt>
                <c:pt idx="420">
                  <c:v>14.560983</c:v>
                </c:pt>
                <c:pt idx="421">
                  <c:v>14.560983</c:v>
                </c:pt>
                <c:pt idx="422">
                  <c:v>14.560983</c:v>
                </c:pt>
                <c:pt idx="423">
                  <c:v>14.560983</c:v>
                </c:pt>
                <c:pt idx="424">
                  <c:v>14.560983</c:v>
                </c:pt>
                <c:pt idx="425">
                  <c:v>14.560983</c:v>
                </c:pt>
                <c:pt idx="426">
                  <c:v>14.560983</c:v>
                </c:pt>
                <c:pt idx="427">
                  <c:v>14.560983</c:v>
                </c:pt>
                <c:pt idx="428">
                  <c:v>14.560983</c:v>
                </c:pt>
                <c:pt idx="429">
                  <c:v>14.560983</c:v>
                </c:pt>
                <c:pt idx="430">
                  <c:v>14.560983</c:v>
                </c:pt>
                <c:pt idx="431">
                  <c:v>14.560983</c:v>
                </c:pt>
                <c:pt idx="432">
                  <c:v>14.560983</c:v>
                </c:pt>
                <c:pt idx="433">
                  <c:v>14.560983</c:v>
                </c:pt>
                <c:pt idx="434">
                  <c:v>14.560983</c:v>
                </c:pt>
                <c:pt idx="435">
                  <c:v>14.560983</c:v>
                </c:pt>
                <c:pt idx="436">
                  <c:v>14.560983</c:v>
                </c:pt>
                <c:pt idx="437">
                  <c:v>14.560983</c:v>
                </c:pt>
                <c:pt idx="438">
                  <c:v>14.560983</c:v>
                </c:pt>
                <c:pt idx="439">
                  <c:v>14.560983</c:v>
                </c:pt>
                <c:pt idx="440">
                  <c:v>14.560983</c:v>
                </c:pt>
                <c:pt idx="441">
                  <c:v>14.560983</c:v>
                </c:pt>
                <c:pt idx="442">
                  <c:v>14.560983</c:v>
                </c:pt>
                <c:pt idx="443">
                  <c:v>14.560983</c:v>
                </c:pt>
                <c:pt idx="444">
                  <c:v>14.560983</c:v>
                </c:pt>
                <c:pt idx="445">
                  <c:v>14.560983</c:v>
                </c:pt>
                <c:pt idx="446">
                  <c:v>14.560983</c:v>
                </c:pt>
                <c:pt idx="447">
                  <c:v>14.560983</c:v>
                </c:pt>
                <c:pt idx="448">
                  <c:v>14.560983</c:v>
                </c:pt>
                <c:pt idx="449">
                  <c:v>14.560983</c:v>
                </c:pt>
                <c:pt idx="450">
                  <c:v>14.560983</c:v>
                </c:pt>
                <c:pt idx="451">
                  <c:v>14.560983</c:v>
                </c:pt>
                <c:pt idx="452">
                  <c:v>14.560983</c:v>
                </c:pt>
                <c:pt idx="453">
                  <c:v>14.560983</c:v>
                </c:pt>
                <c:pt idx="454">
                  <c:v>14.560983</c:v>
                </c:pt>
                <c:pt idx="455">
                  <c:v>14.560983</c:v>
                </c:pt>
                <c:pt idx="456">
                  <c:v>14.560983</c:v>
                </c:pt>
                <c:pt idx="457">
                  <c:v>14.560983</c:v>
                </c:pt>
                <c:pt idx="458">
                  <c:v>14.560983</c:v>
                </c:pt>
                <c:pt idx="459">
                  <c:v>14.560983</c:v>
                </c:pt>
                <c:pt idx="460">
                  <c:v>14.560983</c:v>
                </c:pt>
                <c:pt idx="461">
                  <c:v>14.560983</c:v>
                </c:pt>
                <c:pt idx="462">
                  <c:v>14.560983</c:v>
                </c:pt>
                <c:pt idx="463">
                  <c:v>14.560983</c:v>
                </c:pt>
                <c:pt idx="464">
                  <c:v>14.560983</c:v>
                </c:pt>
                <c:pt idx="465">
                  <c:v>14.560983</c:v>
                </c:pt>
                <c:pt idx="466">
                  <c:v>14.560983</c:v>
                </c:pt>
                <c:pt idx="467">
                  <c:v>14.560983</c:v>
                </c:pt>
                <c:pt idx="468">
                  <c:v>14.560983</c:v>
                </c:pt>
                <c:pt idx="469">
                  <c:v>14.560983</c:v>
                </c:pt>
                <c:pt idx="470">
                  <c:v>14.560983</c:v>
                </c:pt>
                <c:pt idx="471">
                  <c:v>14.560983</c:v>
                </c:pt>
                <c:pt idx="472">
                  <c:v>14.560983</c:v>
                </c:pt>
                <c:pt idx="473">
                  <c:v>14.560983</c:v>
                </c:pt>
                <c:pt idx="474">
                  <c:v>14.560983</c:v>
                </c:pt>
                <c:pt idx="475">
                  <c:v>14.560983</c:v>
                </c:pt>
                <c:pt idx="476">
                  <c:v>14.560983</c:v>
                </c:pt>
                <c:pt idx="477">
                  <c:v>14.560983</c:v>
                </c:pt>
                <c:pt idx="478">
                  <c:v>14.560983</c:v>
                </c:pt>
                <c:pt idx="479">
                  <c:v>14.560983</c:v>
                </c:pt>
                <c:pt idx="480">
                  <c:v>14.560983</c:v>
                </c:pt>
                <c:pt idx="481">
                  <c:v>14.560983</c:v>
                </c:pt>
                <c:pt idx="482">
                  <c:v>14.560983</c:v>
                </c:pt>
                <c:pt idx="483">
                  <c:v>14.560983</c:v>
                </c:pt>
                <c:pt idx="484">
                  <c:v>14.560983</c:v>
                </c:pt>
                <c:pt idx="485">
                  <c:v>14.560983</c:v>
                </c:pt>
                <c:pt idx="486">
                  <c:v>14.560983</c:v>
                </c:pt>
                <c:pt idx="487">
                  <c:v>14.560983</c:v>
                </c:pt>
                <c:pt idx="488">
                  <c:v>14.560983</c:v>
                </c:pt>
                <c:pt idx="489">
                  <c:v>14.560983</c:v>
                </c:pt>
                <c:pt idx="490">
                  <c:v>14.560983</c:v>
                </c:pt>
                <c:pt idx="491">
                  <c:v>14.560983</c:v>
                </c:pt>
                <c:pt idx="492">
                  <c:v>14.560983</c:v>
                </c:pt>
                <c:pt idx="493">
                  <c:v>14.560983</c:v>
                </c:pt>
                <c:pt idx="494">
                  <c:v>14.560983</c:v>
                </c:pt>
                <c:pt idx="495">
                  <c:v>14.560983</c:v>
                </c:pt>
                <c:pt idx="496">
                  <c:v>14.560983</c:v>
                </c:pt>
                <c:pt idx="497">
                  <c:v>14.560983</c:v>
                </c:pt>
                <c:pt idx="498">
                  <c:v>14.560983</c:v>
                </c:pt>
                <c:pt idx="499">
                  <c:v>14.560983</c:v>
                </c:pt>
                <c:pt idx="500">
                  <c:v>14.560983</c:v>
                </c:pt>
                <c:pt idx="501">
                  <c:v>14.560983</c:v>
                </c:pt>
                <c:pt idx="502">
                  <c:v>14.560983</c:v>
                </c:pt>
                <c:pt idx="503">
                  <c:v>14.560983</c:v>
                </c:pt>
                <c:pt idx="504">
                  <c:v>14.560983</c:v>
                </c:pt>
                <c:pt idx="505">
                  <c:v>14.560983</c:v>
                </c:pt>
                <c:pt idx="506">
                  <c:v>14.560983</c:v>
                </c:pt>
                <c:pt idx="507">
                  <c:v>14.560983</c:v>
                </c:pt>
                <c:pt idx="508">
                  <c:v>14.560983</c:v>
                </c:pt>
                <c:pt idx="509">
                  <c:v>14.560983</c:v>
                </c:pt>
                <c:pt idx="510">
                  <c:v>14.560983</c:v>
                </c:pt>
                <c:pt idx="511">
                  <c:v>14.560983</c:v>
                </c:pt>
                <c:pt idx="512">
                  <c:v>14.560983</c:v>
                </c:pt>
                <c:pt idx="513">
                  <c:v>14.560983</c:v>
                </c:pt>
                <c:pt idx="514">
                  <c:v>14.560983</c:v>
                </c:pt>
                <c:pt idx="515">
                  <c:v>14.560983</c:v>
                </c:pt>
                <c:pt idx="516">
                  <c:v>14.560983</c:v>
                </c:pt>
                <c:pt idx="517">
                  <c:v>14.560983</c:v>
                </c:pt>
                <c:pt idx="518">
                  <c:v>14.560983</c:v>
                </c:pt>
                <c:pt idx="519">
                  <c:v>14.560983</c:v>
                </c:pt>
                <c:pt idx="520">
                  <c:v>14.560983</c:v>
                </c:pt>
                <c:pt idx="521">
                  <c:v>14.560983</c:v>
                </c:pt>
                <c:pt idx="522">
                  <c:v>14.560983</c:v>
                </c:pt>
                <c:pt idx="523">
                  <c:v>14.560983</c:v>
                </c:pt>
                <c:pt idx="524">
                  <c:v>14.560983</c:v>
                </c:pt>
                <c:pt idx="525">
                  <c:v>14.560983</c:v>
                </c:pt>
                <c:pt idx="526">
                  <c:v>14.560983</c:v>
                </c:pt>
                <c:pt idx="527">
                  <c:v>14.560983</c:v>
                </c:pt>
                <c:pt idx="528">
                  <c:v>14.560983</c:v>
                </c:pt>
                <c:pt idx="529">
                  <c:v>14.560983</c:v>
                </c:pt>
                <c:pt idx="530">
                  <c:v>14.560983</c:v>
                </c:pt>
                <c:pt idx="531">
                  <c:v>14.560983</c:v>
                </c:pt>
                <c:pt idx="532">
                  <c:v>14.560983</c:v>
                </c:pt>
                <c:pt idx="533">
                  <c:v>14.560983</c:v>
                </c:pt>
                <c:pt idx="534">
                  <c:v>14.560983</c:v>
                </c:pt>
                <c:pt idx="535">
                  <c:v>14.560983</c:v>
                </c:pt>
                <c:pt idx="536">
                  <c:v>14.560983</c:v>
                </c:pt>
                <c:pt idx="537">
                  <c:v>14.560983</c:v>
                </c:pt>
                <c:pt idx="538">
                  <c:v>14.560983</c:v>
                </c:pt>
                <c:pt idx="539">
                  <c:v>14.560983</c:v>
                </c:pt>
                <c:pt idx="540">
                  <c:v>14.560983</c:v>
                </c:pt>
                <c:pt idx="541">
                  <c:v>14.560983</c:v>
                </c:pt>
                <c:pt idx="542">
                  <c:v>14.560983</c:v>
                </c:pt>
                <c:pt idx="543">
                  <c:v>14.560983</c:v>
                </c:pt>
                <c:pt idx="544">
                  <c:v>14.560983</c:v>
                </c:pt>
                <c:pt idx="545">
                  <c:v>14.560983</c:v>
                </c:pt>
                <c:pt idx="546">
                  <c:v>14.560983</c:v>
                </c:pt>
                <c:pt idx="547">
                  <c:v>14.560983</c:v>
                </c:pt>
                <c:pt idx="548">
                  <c:v>14.560983</c:v>
                </c:pt>
                <c:pt idx="549">
                  <c:v>14.560983</c:v>
                </c:pt>
                <c:pt idx="550">
                  <c:v>14.560983</c:v>
                </c:pt>
                <c:pt idx="551">
                  <c:v>14.560983</c:v>
                </c:pt>
                <c:pt idx="552">
                  <c:v>14.560983</c:v>
                </c:pt>
                <c:pt idx="553">
                  <c:v>14.560983</c:v>
                </c:pt>
                <c:pt idx="554">
                  <c:v>14.560983</c:v>
                </c:pt>
                <c:pt idx="555">
                  <c:v>14.560983</c:v>
                </c:pt>
                <c:pt idx="556">
                  <c:v>14.560983</c:v>
                </c:pt>
                <c:pt idx="557">
                  <c:v>14.560983</c:v>
                </c:pt>
                <c:pt idx="558">
                  <c:v>14.560983</c:v>
                </c:pt>
                <c:pt idx="559">
                  <c:v>14.560983</c:v>
                </c:pt>
                <c:pt idx="560">
                  <c:v>14.560983</c:v>
                </c:pt>
                <c:pt idx="561">
                  <c:v>14.560983</c:v>
                </c:pt>
                <c:pt idx="562">
                  <c:v>14.560983</c:v>
                </c:pt>
                <c:pt idx="563">
                  <c:v>14.560983</c:v>
                </c:pt>
                <c:pt idx="564">
                  <c:v>14.560983</c:v>
                </c:pt>
                <c:pt idx="565">
                  <c:v>14.560983</c:v>
                </c:pt>
                <c:pt idx="566">
                  <c:v>14.560983</c:v>
                </c:pt>
                <c:pt idx="567">
                  <c:v>14.560983</c:v>
                </c:pt>
                <c:pt idx="568">
                  <c:v>14.560983</c:v>
                </c:pt>
                <c:pt idx="569">
                  <c:v>14.560983</c:v>
                </c:pt>
                <c:pt idx="570">
                  <c:v>14.560983</c:v>
                </c:pt>
                <c:pt idx="571">
                  <c:v>14.560983</c:v>
                </c:pt>
                <c:pt idx="572">
                  <c:v>14.560983</c:v>
                </c:pt>
                <c:pt idx="573">
                  <c:v>14.560983</c:v>
                </c:pt>
                <c:pt idx="574">
                  <c:v>14.560983</c:v>
                </c:pt>
                <c:pt idx="575">
                  <c:v>14.560983</c:v>
                </c:pt>
                <c:pt idx="576">
                  <c:v>14.560983</c:v>
                </c:pt>
                <c:pt idx="577">
                  <c:v>14.560983</c:v>
                </c:pt>
                <c:pt idx="578">
                  <c:v>14.560983</c:v>
                </c:pt>
                <c:pt idx="579">
                  <c:v>14.560983</c:v>
                </c:pt>
                <c:pt idx="580">
                  <c:v>14.560983</c:v>
                </c:pt>
                <c:pt idx="581">
                  <c:v>14.560983</c:v>
                </c:pt>
                <c:pt idx="582">
                  <c:v>14.560983</c:v>
                </c:pt>
                <c:pt idx="583">
                  <c:v>14.560983</c:v>
                </c:pt>
                <c:pt idx="584">
                  <c:v>14.560983</c:v>
                </c:pt>
                <c:pt idx="585">
                  <c:v>14.560983</c:v>
                </c:pt>
                <c:pt idx="586">
                  <c:v>14.560983</c:v>
                </c:pt>
                <c:pt idx="587">
                  <c:v>14.560983</c:v>
                </c:pt>
                <c:pt idx="588">
                  <c:v>14.560983</c:v>
                </c:pt>
                <c:pt idx="589">
                  <c:v>14.560983</c:v>
                </c:pt>
                <c:pt idx="590">
                  <c:v>14.560983</c:v>
                </c:pt>
                <c:pt idx="591">
                  <c:v>14.560983</c:v>
                </c:pt>
                <c:pt idx="592">
                  <c:v>14.560983</c:v>
                </c:pt>
                <c:pt idx="593">
                  <c:v>14.560983</c:v>
                </c:pt>
                <c:pt idx="594">
                  <c:v>14.560983</c:v>
                </c:pt>
                <c:pt idx="595">
                  <c:v>14.560983</c:v>
                </c:pt>
                <c:pt idx="596">
                  <c:v>14.560983</c:v>
                </c:pt>
                <c:pt idx="597">
                  <c:v>14.560983</c:v>
                </c:pt>
                <c:pt idx="598">
                  <c:v>14.560983</c:v>
                </c:pt>
                <c:pt idx="599">
                  <c:v>14.560983</c:v>
                </c:pt>
                <c:pt idx="600">
                  <c:v>14.560983</c:v>
                </c:pt>
                <c:pt idx="601">
                  <c:v>14.560983</c:v>
                </c:pt>
                <c:pt idx="602">
                  <c:v>14.560983</c:v>
                </c:pt>
                <c:pt idx="603">
                  <c:v>14.560983</c:v>
                </c:pt>
                <c:pt idx="604">
                  <c:v>14.560983</c:v>
                </c:pt>
                <c:pt idx="605">
                  <c:v>14.560983</c:v>
                </c:pt>
                <c:pt idx="606">
                  <c:v>14.560983</c:v>
                </c:pt>
                <c:pt idx="607">
                  <c:v>14.560983</c:v>
                </c:pt>
                <c:pt idx="608">
                  <c:v>14.560983</c:v>
                </c:pt>
                <c:pt idx="609">
                  <c:v>14.560983</c:v>
                </c:pt>
                <c:pt idx="610">
                  <c:v>14.560983</c:v>
                </c:pt>
                <c:pt idx="611">
                  <c:v>14.560983</c:v>
                </c:pt>
                <c:pt idx="612">
                  <c:v>14.560983</c:v>
                </c:pt>
                <c:pt idx="613">
                  <c:v>14.560983</c:v>
                </c:pt>
                <c:pt idx="614">
                  <c:v>14.560983</c:v>
                </c:pt>
                <c:pt idx="615">
                  <c:v>14.560983</c:v>
                </c:pt>
                <c:pt idx="616">
                  <c:v>14.560983</c:v>
                </c:pt>
                <c:pt idx="617">
                  <c:v>14.560983</c:v>
                </c:pt>
                <c:pt idx="618">
                  <c:v>14.560983</c:v>
                </c:pt>
                <c:pt idx="619">
                  <c:v>14.560983</c:v>
                </c:pt>
                <c:pt idx="620">
                  <c:v>14.560983</c:v>
                </c:pt>
                <c:pt idx="621">
                  <c:v>14.560983</c:v>
                </c:pt>
                <c:pt idx="622">
                  <c:v>14.560983</c:v>
                </c:pt>
                <c:pt idx="623">
                  <c:v>14.560983</c:v>
                </c:pt>
                <c:pt idx="624">
                  <c:v>14.560983</c:v>
                </c:pt>
                <c:pt idx="625">
                  <c:v>14.560983</c:v>
                </c:pt>
                <c:pt idx="626">
                  <c:v>14.560983</c:v>
                </c:pt>
                <c:pt idx="627">
                  <c:v>14.560983</c:v>
                </c:pt>
                <c:pt idx="628">
                  <c:v>14.560983</c:v>
                </c:pt>
                <c:pt idx="629">
                  <c:v>14.560983</c:v>
                </c:pt>
                <c:pt idx="630">
                  <c:v>14.560983</c:v>
                </c:pt>
                <c:pt idx="631">
                  <c:v>14.560983</c:v>
                </c:pt>
                <c:pt idx="632">
                  <c:v>14.560983</c:v>
                </c:pt>
                <c:pt idx="633">
                  <c:v>14.560983</c:v>
                </c:pt>
                <c:pt idx="634">
                  <c:v>14.560983</c:v>
                </c:pt>
                <c:pt idx="635">
                  <c:v>14.560983</c:v>
                </c:pt>
                <c:pt idx="636">
                  <c:v>14.560983</c:v>
                </c:pt>
                <c:pt idx="637">
                  <c:v>14.560983</c:v>
                </c:pt>
                <c:pt idx="638">
                  <c:v>14.560983</c:v>
                </c:pt>
                <c:pt idx="639">
                  <c:v>14.560983</c:v>
                </c:pt>
                <c:pt idx="640">
                  <c:v>14.560983</c:v>
                </c:pt>
                <c:pt idx="641">
                  <c:v>14.560983</c:v>
                </c:pt>
                <c:pt idx="642">
                  <c:v>14.560983</c:v>
                </c:pt>
                <c:pt idx="643">
                  <c:v>14.560983</c:v>
                </c:pt>
                <c:pt idx="644">
                  <c:v>14.560983</c:v>
                </c:pt>
                <c:pt idx="645">
                  <c:v>14.560983</c:v>
                </c:pt>
                <c:pt idx="646">
                  <c:v>14.560983</c:v>
                </c:pt>
                <c:pt idx="647">
                  <c:v>14.560983</c:v>
                </c:pt>
                <c:pt idx="648">
                  <c:v>14.560983</c:v>
                </c:pt>
                <c:pt idx="649">
                  <c:v>14.560983</c:v>
                </c:pt>
                <c:pt idx="650">
                  <c:v>14.560983</c:v>
                </c:pt>
                <c:pt idx="651">
                  <c:v>14.560983</c:v>
                </c:pt>
                <c:pt idx="652">
                  <c:v>14.560983</c:v>
                </c:pt>
                <c:pt idx="653">
                  <c:v>14.560983</c:v>
                </c:pt>
                <c:pt idx="654">
                  <c:v>14.560983</c:v>
                </c:pt>
                <c:pt idx="655">
                  <c:v>14.560983</c:v>
                </c:pt>
                <c:pt idx="656">
                  <c:v>14.560983</c:v>
                </c:pt>
                <c:pt idx="657">
                  <c:v>14.560983</c:v>
                </c:pt>
                <c:pt idx="658">
                  <c:v>14.560983</c:v>
                </c:pt>
                <c:pt idx="659">
                  <c:v>14.560983</c:v>
                </c:pt>
                <c:pt idx="660">
                  <c:v>14.560983</c:v>
                </c:pt>
                <c:pt idx="661">
                  <c:v>14.560983</c:v>
                </c:pt>
                <c:pt idx="662">
                  <c:v>14.560983</c:v>
                </c:pt>
                <c:pt idx="663">
                  <c:v>14.560983</c:v>
                </c:pt>
                <c:pt idx="664">
                  <c:v>14.560983</c:v>
                </c:pt>
                <c:pt idx="665">
                  <c:v>14.560983</c:v>
                </c:pt>
                <c:pt idx="666">
                  <c:v>14.560983</c:v>
                </c:pt>
                <c:pt idx="667">
                  <c:v>14.560983</c:v>
                </c:pt>
                <c:pt idx="668">
                  <c:v>14.560983</c:v>
                </c:pt>
                <c:pt idx="669">
                  <c:v>14.560983</c:v>
                </c:pt>
                <c:pt idx="670">
                  <c:v>14.560983</c:v>
                </c:pt>
                <c:pt idx="671">
                  <c:v>14.560983</c:v>
                </c:pt>
                <c:pt idx="672">
                  <c:v>14.560983</c:v>
                </c:pt>
                <c:pt idx="673">
                  <c:v>14.560983</c:v>
                </c:pt>
                <c:pt idx="674">
                  <c:v>14.560983</c:v>
                </c:pt>
                <c:pt idx="675">
                  <c:v>14.560983</c:v>
                </c:pt>
                <c:pt idx="676">
                  <c:v>14.560983</c:v>
                </c:pt>
                <c:pt idx="677">
                  <c:v>14.560983</c:v>
                </c:pt>
                <c:pt idx="678">
                  <c:v>14.560983</c:v>
                </c:pt>
                <c:pt idx="679">
                  <c:v>14.560983</c:v>
                </c:pt>
                <c:pt idx="680">
                  <c:v>14.560983</c:v>
                </c:pt>
                <c:pt idx="681">
                  <c:v>14.560983</c:v>
                </c:pt>
                <c:pt idx="682">
                  <c:v>14.560983</c:v>
                </c:pt>
                <c:pt idx="683">
                  <c:v>14.560983</c:v>
                </c:pt>
                <c:pt idx="684">
                  <c:v>14.560983</c:v>
                </c:pt>
                <c:pt idx="685">
                  <c:v>14.560983</c:v>
                </c:pt>
                <c:pt idx="686">
                  <c:v>14.560983</c:v>
                </c:pt>
                <c:pt idx="687">
                  <c:v>14.560983</c:v>
                </c:pt>
                <c:pt idx="688">
                  <c:v>14.560983</c:v>
                </c:pt>
                <c:pt idx="689">
                  <c:v>14.560983</c:v>
                </c:pt>
                <c:pt idx="690">
                  <c:v>14.560983</c:v>
                </c:pt>
                <c:pt idx="691">
                  <c:v>14.560983</c:v>
                </c:pt>
                <c:pt idx="692">
                  <c:v>14.560983</c:v>
                </c:pt>
                <c:pt idx="693">
                  <c:v>14.560983</c:v>
                </c:pt>
                <c:pt idx="694">
                  <c:v>14.560983</c:v>
                </c:pt>
                <c:pt idx="695">
                  <c:v>14.560983</c:v>
                </c:pt>
                <c:pt idx="696">
                  <c:v>14.560983</c:v>
                </c:pt>
                <c:pt idx="697">
                  <c:v>14.560983</c:v>
                </c:pt>
                <c:pt idx="698">
                  <c:v>14.560983</c:v>
                </c:pt>
                <c:pt idx="699">
                  <c:v>14.560983</c:v>
                </c:pt>
                <c:pt idx="700">
                  <c:v>14.560983</c:v>
                </c:pt>
                <c:pt idx="701">
                  <c:v>14.560983</c:v>
                </c:pt>
                <c:pt idx="702">
                  <c:v>14.560983</c:v>
                </c:pt>
                <c:pt idx="703">
                  <c:v>14.560983</c:v>
                </c:pt>
                <c:pt idx="704">
                  <c:v>14.560983</c:v>
                </c:pt>
                <c:pt idx="705">
                  <c:v>14.560983</c:v>
                </c:pt>
                <c:pt idx="706">
                  <c:v>14.560983</c:v>
                </c:pt>
                <c:pt idx="707">
                  <c:v>14.560983</c:v>
                </c:pt>
                <c:pt idx="708">
                  <c:v>14.560983</c:v>
                </c:pt>
                <c:pt idx="709">
                  <c:v>14.560983</c:v>
                </c:pt>
                <c:pt idx="710">
                  <c:v>14.560983</c:v>
                </c:pt>
                <c:pt idx="711">
                  <c:v>14.560983</c:v>
                </c:pt>
                <c:pt idx="712">
                  <c:v>14.560983</c:v>
                </c:pt>
                <c:pt idx="713">
                  <c:v>14.560983</c:v>
                </c:pt>
                <c:pt idx="714">
                  <c:v>14.560983</c:v>
                </c:pt>
                <c:pt idx="715">
                  <c:v>14.560983</c:v>
                </c:pt>
                <c:pt idx="716">
                  <c:v>14.560983</c:v>
                </c:pt>
                <c:pt idx="717">
                  <c:v>14.560983</c:v>
                </c:pt>
                <c:pt idx="718">
                  <c:v>14.560983</c:v>
                </c:pt>
                <c:pt idx="719">
                  <c:v>14.560983</c:v>
                </c:pt>
                <c:pt idx="720">
                  <c:v>14.560983</c:v>
                </c:pt>
                <c:pt idx="721">
                  <c:v>14.560983</c:v>
                </c:pt>
                <c:pt idx="722">
                  <c:v>14.560983</c:v>
                </c:pt>
                <c:pt idx="723">
                  <c:v>14.560983</c:v>
                </c:pt>
                <c:pt idx="724">
                  <c:v>14.560983</c:v>
                </c:pt>
                <c:pt idx="725">
                  <c:v>14.560983</c:v>
                </c:pt>
                <c:pt idx="726">
                  <c:v>14.560983</c:v>
                </c:pt>
                <c:pt idx="727">
                  <c:v>14.560983</c:v>
                </c:pt>
                <c:pt idx="728">
                  <c:v>14.560983</c:v>
                </c:pt>
                <c:pt idx="729">
                  <c:v>14.560983</c:v>
                </c:pt>
                <c:pt idx="730">
                  <c:v>14.560983</c:v>
                </c:pt>
                <c:pt idx="731">
                  <c:v>14.560983</c:v>
                </c:pt>
                <c:pt idx="732">
                  <c:v>14.560983</c:v>
                </c:pt>
                <c:pt idx="733">
                  <c:v>14.560983</c:v>
                </c:pt>
                <c:pt idx="734">
                  <c:v>14.560983</c:v>
                </c:pt>
                <c:pt idx="735">
                  <c:v>14.560983</c:v>
                </c:pt>
                <c:pt idx="736">
                  <c:v>14.560983</c:v>
                </c:pt>
                <c:pt idx="737">
                  <c:v>14.560983</c:v>
                </c:pt>
                <c:pt idx="738">
                  <c:v>14.560983</c:v>
                </c:pt>
                <c:pt idx="739">
                  <c:v>14.560983</c:v>
                </c:pt>
                <c:pt idx="740">
                  <c:v>14.560983</c:v>
                </c:pt>
                <c:pt idx="741">
                  <c:v>14.560983</c:v>
                </c:pt>
                <c:pt idx="742">
                  <c:v>14.560983</c:v>
                </c:pt>
                <c:pt idx="743">
                  <c:v>14.560983</c:v>
                </c:pt>
                <c:pt idx="744">
                  <c:v>14.560983</c:v>
                </c:pt>
                <c:pt idx="745">
                  <c:v>14.560983</c:v>
                </c:pt>
                <c:pt idx="746">
                  <c:v>14.560983</c:v>
                </c:pt>
                <c:pt idx="747">
                  <c:v>14.560983</c:v>
                </c:pt>
                <c:pt idx="748">
                  <c:v>14.560983</c:v>
                </c:pt>
                <c:pt idx="749">
                  <c:v>14.560983</c:v>
                </c:pt>
                <c:pt idx="750">
                  <c:v>14.560983</c:v>
                </c:pt>
                <c:pt idx="751">
                  <c:v>14.560983</c:v>
                </c:pt>
                <c:pt idx="752">
                  <c:v>14.560983</c:v>
                </c:pt>
                <c:pt idx="753">
                  <c:v>14.560983</c:v>
                </c:pt>
                <c:pt idx="754">
                  <c:v>14.560983</c:v>
                </c:pt>
                <c:pt idx="755">
                  <c:v>14.560983</c:v>
                </c:pt>
                <c:pt idx="756">
                  <c:v>14.560983</c:v>
                </c:pt>
                <c:pt idx="757">
                  <c:v>14.560983</c:v>
                </c:pt>
                <c:pt idx="758">
                  <c:v>14.560983</c:v>
                </c:pt>
                <c:pt idx="759">
                  <c:v>14.560983</c:v>
                </c:pt>
                <c:pt idx="760">
                  <c:v>14.560983</c:v>
                </c:pt>
                <c:pt idx="761">
                  <c:v>14.560983</c:v>
                </c:pt>
                <c:pt idx="762">
                  <c:v>14.560983</c:v>
                </c:pt>
                <c:pt idx="763">
                  <c:v>14.560983</c:v>
                </c:pt>
                <c:pt idx="764">
                  <c:v>14.560983</c:v>
                </c:pt>
                <c:pt idx="765">
                  <c:v>14.560983</c:v>
                </c:pt>
                <c:pt idx="766">
                  <c:v>14.560983</c:v>
                </c:pt>
                <c:pt idx="767">
                  <c:v>14.560983</c:v>
                </c:pt>
                <c:pt idx="768">
                  <c:v>14.560983</c:v>
                </c:pt>
                <c:pt idx="769">
                  <c:v>14.560983</c:v>
                </c:pt>
                <c:pt idx="770">
                  <c:v>14.560983</c:v>
                </c:pt>
                <c:pt idx="771">
                  <c:v>14.560983</c:v>
                </c:pt>
                <c:pt idx="772">
                  <c:v>14.560983</c:v>
                </c:pt>
                <c:pt idx="773">
                  <c:v>14.560983</c:v>
                </c:pt>
                <c:pt idx="774">
                  <c:v>14.560983</c:v>
                </c:pt>
                <c:pt idx="775">
                  <c:v>14.560983</c:v>
                </c:pt>
                <c:pt idx="776">
                  <c:v>14.560983</c:v>
                </c:pt>
                <c:pt idx="777">
                  <c:v>14.560983</c:v>
                </c:pt>
                <c:pt idx="778">
                  <c:v>14.560983</c:v>
                </c:pt>
                <c:pt idx="779">
                  <c:v>14.560983</c:v>
                </c:pt>
                <c:pt idx="780">
                  <c:v>14.560983</c:v>
                </c:pt>
                <c:pt idx="781">
                  <c:v>14.560983</c:v>
                </c:pt>
                <c:pt idx="782">
                  <c:v>14.560983</c:v>
                </c:pt>
                <c:pt idx="783">
                  <c:v>14.560983</c:v>
                </c:pt>
                <c:pt idx="784">
                  <c:v>14.560983</c:v>
                </c:pt>
                <c:pt idx="785">
                  <c:v>14.560983</c:v>
                </c:pt>
                <c:pt idx="786">
                  <c:v>14.560983</c:v>
                </c:pt>
                <c:pt idx="787">
                  <c:v>14.560983</c:v>
                </c:pt>
                <c:pt idx="788">
                  <c:v>14.560983</c:v>
                </c:pt>
                <c:pt idx="789">
                  <c:v>14.560983</c:v>
                </c:pt>
                <c:pt idx="790">
                  <c:v>14.560983</c:v>
                </c:pt>
                <c:pt idx="791">
                  <c:v>14.560983</c:v>
                </c:pt>
                <c:pt idx="792">
                  <c:v>14.560983</c:v>
                </c:pt>
                <c:pt idx="793">
                  <c:v>14.560983</c:v>
                </c:pt>
                <c:pt idx="794">
                  <c:v>14.560983</c:v>
                </c:pt>
                <c:pt idx="795">
                  <c:v>14.560983</c:v>
                </c:pt>
                <c:pt idx="796">
                  <c:v>14.560983</c:v>
                </c:pt>
                <c:pt idx="797">
                  <c:v>14.560983</c:v>
                </c:pt>
                <c:pt idx="798">
                  <c:v>14.560983</c:v>
                </c:pt>
                <c:pt idx="799">
                  <c:v>14.560983</c:v>
                </c:pt>
                <c:pt idx="800">
                  <c:v>14.560983</c:v>
                </c:pt>
                <c:pt idx="801">
                  <c:v>14.560983</c:v>
                </c:pt>
                <c:pt idx="802">
                  <c:v>14.560983</c:v>
                </c:pt>
                <c:pt idx="803">
                  <c:v>14.560983</c:v>
                </c:pt>
                <c:pt idx="804">
                  <c:v>14.560983</c:v>
                </c:pt>
                <c:pt idx="805">
                  <c:v>14.560983</c:v>
                </c:pt>
                <c:pt idx="806">
                  <c:v>14.560983</c:v>
                </c:pt>
                <c:pt idx="807">
                  <c:v>14.560983</c:v>
                </c:pt>
                <c:pt idx="808">
                  <c:v>14.560983</c:v>
                </c:pt>
                <c:pt idx="809">
                  <c:v>14.560983</c:v>
                </c:pt>
                <c:pt idx="810">
                  <c:v>14.560983</c:v>
                </c:pt>
                <c:pt idx="811">
                  <c:v>14.560983</c:v>
                </c:pt>
                <c:pt idx="812">
                  <c:v>14.560983</c:v>
                </c:pt>
                <c:pt idx="813">
                  <c:v>14.560983</c:v>
                </c:pt>
                <c:pt idx="814">
                  <c:v>14.560983</c:v>
                </c:pt>
                <c:pt idx="815">
                  <c:v>14.560983</c:v>
                </c:pt>
                <c:pt idx="816">
                  <c:v>14.560983</c:v>
                </c:pt>
                <c:pt idx="817">
                  <c:v>14.560983</c:v>
                </c:pt>
                <c:pt idx="818">
                  <c:v>14.560983</c:v>
                </c:pt>
                <c:pt idx="819">
                  <c:v>14.560983</c:v>
                </c:pt>
                <c:pt idx="820">
                  <c:v>14.560983</c:v>
                </c:pt>
                <c:pt idx="821">
                  <c:v>14.560983</c:v>
                </c:pt>
                <c:pt idx="822">
                  <c:v>14.560983</c:v>
                </c:pt>
                <c:pt idx="823">
                  <c:v>14.560983</c:v>
                </c:pt>
                <c:pt idx="824">
                  <c:v>14.560983</c:v>
                </c:pt>
                <c:pt idx="825">
                  <c:v>14.560983</c:v>
                </c:pt>
                <c:pt idx="826">
                  <c:v>14.560983</c:v>
                </c:pt>
                <c:pt idx="827">
                  <c:v>14.560983</c:v>
                </c:pt>
                <c:pt idx="828">
                  <c:v>14.560983</c:v>
                </c:pt>
                <c:pt idx="829">
                  <c:v>14.560983</c:v>
                </c:pt>
                <c:pt idx="830">
                  <c:v>14.560983</c:v>
                </c:pt>
                <c:pt idx="831">
                  <c:v>14.560983</c:v>
                </c:pt>
                <c:pt idx="832">
                  <c:v>14.560983</c:v>
                </c:pt>
                <c:pt idx="833">
                  <c:v>14.560983</c:v>
                </c:pt>
                <c:pt idx="834">
                  <c:v>14.560983</c:v>
                </c:pt>
                <c:pt idx="835">
                  <c:v>14.560983</c:v>
                </c:pt>
                <c:pt idx="836">
                  <c:v>14.560983</c:v>
                </c:pt>
                <c:pt idx="837">
                  <c:v>14.560983</c:v>
                </c:pt>
                <c:pt idx="838">
                  <c:v>14.560983</c:v>
                </c:pt>
                <c:pt idx="839">
                  <c:v>14.560983</c:v>
                </c:pt>
                <c:pt idx="840">
                  <c:v>14.560983</c:v>
                </c:pt>
                <c:pt idx="841">
                  <c:v>14.560983</c:v>
                </c:pt>
                <c:pt idx="842">
                  <c:v>14.560983</c:v>
                </c:pt>
                <c:pt idx="843">
                  <c:v>14.560983</c:v>
                </c:pt>
                <c:pt idx="844">
                  <c:v>14.560983</c:v>
                </c:pt>
                <c:pt idx="845">
                  <c:v>14.560983</c:v>
                </c:pt>
                <c:pt idx="846">
                  <c:v>14.560983</c:v>
                </c:pt>
                <c:pt idx="847">
                  <c:v>14.560983</c:v>
                </c:pt>
                <c:pt idx="848">
                  <c:v>14.560983</c:v>
                </c:pt>
                <c:pt idx="849">
                  <c:v>14.560983</c:v>
                </c:pt>
                <c:pt idx="850">
                  <c:v>14.560983</c:v>
                </c:pt>
                <c:pt idx="851">
                  <c:v>14.560983</c:v>
                </c:pt>
                <c:pt idx="852">
                  <c:v>14.560983</c:v>
                </c:pt>
                <c:pt idx="853">
                  <c:v>14.560983</c:v>
                </c:pt>
                <c:pt idx="854">
                  <c:v>14.560983</c:v>
                </c:pt>
                <c:pt idx="855">
                  <c:v>14.560983</c:v>
                </c:pt>
                <c:pt idx="856">
                  <c:v>14.560983</c:v>
                </c:pt>
                <c:pt idx="857">
                  <c:v>14.560983</c:v>
                </c:pt>
                <c:pt idx="858">
                  <c:v>14.560983</c:v>
                </c:pt>
                <c:pt idx="859">
                  <c:v>14.560983</c:v>
                </c:pt>
                <c:pt idx="860">
                  <c:v>14.560983</c:v>
                </c:pt>
                <c:pt idx="861">
                  <c:v>14.560983</c:v>
                </c:pt>
                <c:pt idx="862">
                  <c:v>14.560983</c:v>
                </c:pt>
                <c:pt idx="863">
                  <c:v>14.560983</c:v>
                </c:pt>
                <c:pt idx="864">
                  <c:v>14.560983</c:v>
                </c:pt>
                <c:pt idx="865">
                  <c:v>14.560983</c:v>
                </c:pt>
                <c:pt idx="866">
                  <c:v>14.560983</c:v>
                </c:pt>
                <c:pt idx="867">
                  <c:v>14.560983</c:v>
                </c:pt>
                <c:pt idx="868">
                  <c:v>14.560983</c:v>
                </c:pt>
                <c:pt idx="869">
                  <c:v>14.560983</c:v>
                </c:pt>
                <c:pt idx="870">
                  <c:v>14.560983</c:v>
                </c:pt>
                <c:pt idx="871">
                  <c:v>14.560983</c:v>
                </c:pt>
                <c:pt idx="872">
                  <c:v>14.560983</c:v>
                </c:pt>
                <c:pt idx="873">
                  <c:v>14.560983</c:v>
                </c:pt>
                <c:pt idx="874">
                  <c:v>14.560983</c:v>
                </c:pt>
                <c:pt idx="875">
                  <c:v>14.560983</c:v>
                </c:pt>
                <c:pt idx="876">
                  <c:v>14.560983</c:v>
                </c:pt>
                <c:pt idx="877">
                  <c:v>14.560983</c:v>
                </c:pt>
                <c:pt idx="878">
                  <c:v>14.560983</c:v>
                </c:pt>
                <c:pt idx="879">
                  <c:v>14.560983</c:v>
                </c:pt>
                <c:pt idx="880">
                  <c:v>14.560983</c:v>
                </c:pt>
                <c:pt idx="881">
                  <c:v>14.560983</c:v>
                </c:pt>
                <c:pt idx="882">
                  <c:v>14.560983</c:v>
                </c:pt>
                <c:pt idx="883">
                  <c:v>14.560983</c:v>
                </c:pt>
                <c:pt idx="884">
                  <c:v>14.560983</c:v>
                </c:pt>
                <c:pt idx="885">
                  <c:v>14.560983</c:v>
                </c:pt>
                <c:pt idx="886">
                  <c:v>14.560983</c:v>
                </c:pt>
                <c:pt idx="887">
                  <c:v>14.560983</c:v>
                </c:pt>
                <c:pt idx="888">
                  <c:v>14.560983</c:v>
                </c:pt>
                <c:pt idx="889">
                  <c:v>14.560983</c:v>
                </c:pt>
                <c:pt idx="890">
                  <c:v>14.560983</c:v>
                </c:pt>
                <c:pt idx="891">
                  <c:v>14.560983</c:v>
                </c:pt>
                <c:pt idx="892">
                  <c:v>14.560983</c:v>
                </c:pt>
                <c:pt idx="893">
                  <c:v>14.560983</c:v>
                </c:pt>
                <c:pt idx="894">
                  <c:v>14.560983</c:v>
                </c:pt>
                <c:pt idx="895">
                  <c:v>14.560983</c:v>
                </c:pt>
                <c:pt idx="896">
                  <c:v>14.560983</c:v>
                </c:pt>
                <c:pt idx="897">
                  <c:v>14.560983</c:v>
                </c:pt>
                <c:pt idx="898">
                  <c:v>14.560983</c:v>
                </c:pt>
                <c:pt idx="899">
                  <c:v>14.560983</c:v>
                </c:pt>
                <c:pt idx="900">
                  <c:v>14.560983</c:v>
                </c:pt>
                <c:pt idx="901">
                  <c:v>14.560983</c:v>
                </c:pt>
                <c:pt idx="902">
                  <c:v>14.560983</c:v>
                </c:pt>
                <c:pt idx="903">
                  <c:v>14.560983</c:v>
                </c:pt>
                <c:pt idx="904">
                  <c:v>14.560983</c:v>
                </c:pt>
                <c:pt idx="905">
                  <c:v>14.560983</c:v>
                </c:pt>
                <c:pt idx="906">
                  <c:v>14.560983</c:v>
                </c:pt>
                <c:pt idx="907">
                  <c:v>14.560983</c:v>
                </c:pt>
                <c:pt idx="908">
                  <c:v>14.560983</c:v>
                </c:pt>
                <c:pt idx="909">
                  <c:v>14.560983</c:v>
                </c:pt>
                <c:pt idx="910">
                  <c:v>14.560983</c:v>
                </c:pt>
                <c:pt idx="911">
                  <c:v>14.560983</c:v>
                </c:pt>
                <c:pt idx="912">
                  <c:v>14.560983</c:v>
                </c:pt>
                <c:pt idx="913">
                  <c:v>14.560983</c:v>
                </c:pt>
                <c:pt idx="914">
                  <c:v>14.560983</c:v>
                </c:pt>
                <c:pt idx="915">
                  <c:v>14.560983</c:v>
                </c:pt>
                <c:pt idx="916">
                  <c:v>14.560983</c:v>
                </c:pt>
                <c:pt idx="917">
                  <c:v>14.560983</c:v>
                </c:pt>
                <c:pt idx="918">
                  <c:v>14.560983</c:v>
                </c:pt>
                <c:pt idx="919">
                  <c:v>14.560983</c:v>
                </c:pt>
                <c:pt idx="920">
                  <c:v>14.560983</c:v>
                </c:pt>
                <c:pt idx="921">
                  <c:v>14.560983</c:v>
                </c:pt>
                <c:pt idx="922">
                  <c:v>14.560983</c:v>
                </c:pt>
                <c:pt idx="923">
                  <c:v>14.560983</c:v>
                </c:pt>
                <c:pt idx="924">
                  <c:v>14.560983</c:v>
                </c:pt>
                <c:pt idx="925">
                  <c:v>14.560983</c:v>
                </c:pt>
                <c:pt idx="926">
                  <c:v>14.560983</c:v>
                </c:pt>
                <c:pt idx="927">
                  <c:v>14.560983</c:v>
                </c:pt>
                <c:pt idx="928">
                  <c:v>14.560983</c:v>
                </c:pt>
                <c:pt idx="929">
                  <c:v>14.560983</c:v>
                </c:pt>
                <c:pt idx="930">
                  <c:v>14.560983</c:v>
                </c:pt>
                <c:pt idx="931">
                  <c:v>14.560983</c:v>
                </c:pt>
                <c:pt idx="932">
                  <c:v>14.560983</c:v>
                </c:pt>
                <c:pt idx="933">
                  <c:v>14.560983</c:v>
                </c:pt>
                <c:pt idx="934">
                  <c:v>14.560983</c:v>
                </c:pt>
                <c:pt idx="935">
                  <c:v>14.560983</c:v>
                </c:pt>
                <c:pt idx="936">
                  <c:v>14.560983</c:v>
                </c:pt>
                <c:pt idx="937">
                  <c:v>14.560983</c:v>
                </c:pt>
                <c:pt idx="938">
                  <c:v>14.560983</c:v>
                </c:pt>
                <c:pt idx="939">
                  <c:v>14.560983</c:v>
                </c:pt>
                <c:pt idx="940">
                  <c:v>14.560983</c:v>
                </c:pt>
                <c:pt idx="941">
                  <c:v>14.560983</c:v>
                </c:pt>
                <c:pt idx="942">
                  <c:v>14.560983</c:v>
                </c:pt>
                <c:pt idx="943">
                  <c:v>14.560983</c:v>
                </c:pt>
                <c:pt idx="944">
                  <c:v>14.560983</c:v>
                </c:pt>
                <c:pt idx="945">
                  <c:v>14.560983</c:v>
                </c:pt>
                <c:pt idx="946">
                  <c:v>14.560983</c:v>
                </c:pt>
                <c:pt idx="947">
                  <c:v>14.560983</c:v>
                </c:pt>
                <c:pt idx="948">
                  <c:v>14.560983</c:v>
                </c:pt>
                <c:pt idx="949">
                  <c:v>14.560983</c:v>
                </c:pt>
                <c:pt idx="950">
                  <c:v>14.560983</c:v>
                </c:pt>
                <c:pt idx="951">
                  <c:v>14.560983</c:v>
                </c:pt>
                <c:pt idx="952">
                  <c:v>14.560983</c:v>
                </c:pt>
                <c:pt idx="953">
                  <c:v>14.560983</c:v>
                </c:pt>
                <c:pt idx="954">
                  <c:v>14.560983</c:v>
                </c:pt>
                <c:pt idx="955">
                  <c:v>14.560983</c:v>
                </c:pt>
                <c:pt idx="956">
                  <c:v>14.560983</c:v>
                </c:pt>
                <c:pt idx="957">
                  <c:v>14.560983</c:v>
                </c:pt>
                <c:pt idx="958">
                  <c:v>14.560983</c:v>
                </c:pt>
                <c:pt idx="959">
                  <c:v>14.560983</c:v>
                </c:pt>
                <c:pt idx="960">
                  <c:v>14.560983</c:v>
                </c:pt>
                <c:pt idx="961">
                  <c:v>14.560983</c:v>
                </c:pt>
                <c:pt idx="962">
                  <c:v>14.560983</c:v>
                </c:pt>
                <c:pt idx="963">
                  <c:v>14.560983</c:v>
                </c:pt>
                <c:pt idx="964">
                  <c:v>14.560983</c:v>
                </c:pt>
                <c:pt idx="965">
                  <c:v>14.560983</c:v>
                </c:pt>
                <c:pt idx="966">
                  <c:v>14.560983</c:v>
                </c:pt>
                <c:pt idx="967">
                  <c:v>14.560983</c:v>
                </c:pt>
                <c:pt idx="968">
                  <c:v>14.560983</c:v>
                </c:pt>
                <c:pt idx="969">
                  <c:v>14.560983</c:v>
                </c:pt>
                <c:pt idx="970">
                  <c:v>14.560983</c:v>
                </c:pt>
                <c:pt idx="971">
                  <c:v>14.560983</c:v>
                </c:pt>
                <c:pt idx="972">
                  <c:v>14.560983</c:v>
                </c:pt>
                <c:pt idx="973">
                  <c:v>14.560983</c:v>
                </c:pt>
                <c:pt idx="974">
                  <c:v>14.560983</c:v>
                </c:pt>
                <c:pt idx="975">
                  <c:v>14.560983</c:v>
                </c:pt>
                <c:pt idx="976">
                  <c:v>14.560983</c:v>
                </c:pt>
                <c:pt idx="977">
                  <c:v>14.560983</c:v>
                </c:pt>
                <c:pt idx="978">
                  <c:v>14.560983</c:v>
                </c:pt>
                <c:pt idx="979">
                  <c:v>14.560983</c:v>
                </c:pt>
                <c:pt idx="980">
                  <c:v>14.560983</c:v>
                </c:pt>
                <c:pt idx="981">
                  <c:v>14.560983</c:v>
                </c:pt>
                <c:pt idx="982">
                  <c:v>14.560983</c:v>
                </c:pt>
                <c:pt idx="983">
                  <c:v>14.560983</c:v>
                </c:pt>
                <c:pt idx="984">
                  <c:v>14.560983</c:v>
                </c:pt>
                <c:pt idx="985">
                  <c:v>14.560983</c:v>
                </c:pt>
                <c:pt idx="986">
                  <c:v>14.560983</c:v>
                </c:pt>
                <c:pt idx="987">
                  <c:v>14.560983</c:v>
                </c:pt>
                <c:pt idx="988">
                  <c:v>14.560983</c:v>
                </c:pt>
                <c:pt idx="989">
                  <c:v>14.560983</c:v>
                </c:pt>
                <c:pt idx="990">
                  <c:v>14.560983</c:v>
                </c:pt>
                <c:pt idx="991">
                  <c:v>14.560983</c:v>
                </c:pt>
                <c:pt idx="992">
                  <c:v>14.560983</c:v>
                </c:pt>
                <c:pt idx="993">
                  <c:v>14.560983</c:v>
                </c:pt>
                <c:pt idx="994">
                  <c:v>14.560983</c:v>
                </c:pt>
                <c:pt idx="995">
                  <c:v>14.560983</c:v>
                </c:pt>
                <c:pt idx="996">
                  <c:v>14.560983</c:v>
                </c:pt>
                <c:pt idx="997">
                  <c:v>14.560983</c:v>
                </c:pt>
                <c:pt idx="998">
                  <c:v>14.560983</c:v>
                </c:pt>
                <c:pt idx="999">
                  <c:v>14.560983</c:v>
                </c:pt>
                <c:pt idx="1000">
                  <c:v>14.560983</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Calculs!$W$4:$W$1004</c:f>
              <c:numCache>
                <c:formatCode>General</c:formatCode>
                <c:ptCount val="1001"/>
                <c:pt idx="0">
                  <c:v>0</c:v>
                </c:pt>
                <c:pt idx="1">
                  <c:v>9.98868673793163E-005</c:v>
                </c:pt>
                <c:pt idx="2">
                  <c:v>0.00214849687924646</c:v>
                </c:pt>
                <c:pt idx="3">
                  <c:v>0.00880206238133366</c:v>
                </c:pt>
                <c:pt idx="4">
                  <c:v>0.0187963432997168</c:v>
                </c:pt>
                <c:pt idx="5">
                  <c:v>0.0317576566351154</c:v>
                </c:pt>
                <c:pt idx="6">
                  <c:v>0.0480311054829479</c:v>
                </c:pt>
                <c:pt idx="7">
                  <c:v>0.0675783131996424</c:v>
                </c:pt>
                <c:pt idx="8">
                  <c:v>0.0903606848688475</c:v>
                </c:pt>
                <c:pt idx="9">
                  <c:v>0.116339414184161</c:v>
                </c:pt>
                <c:pt idx="10">
                  <c:v>0.145475490361046</c:v>
                </c:pt>
                <c:pt idx="11">
                  <c:v>0.177729705075805</c:v>
                </c:pt>
                <c:pt idx="12">
                  <c:v>0.21306265942945</c:v>
                </c:pt>
                <c:pt idx="13">
                  <c:v>0.251434770934349</c:v>
                </c:pt>
                <c:pt idx="14">
                  <c:v>0.292806280521482</c:v>
                </c:pt>
                <c:pt idx="15">
                  <c:v>0.33713725956618</c:v>
                </c:pt>
                <c:pt idx="16">
                  <c:v>0.384387616930194</c:v>
                </c:pt>
                <c:pt idx="17">
                  <c:v>0.434517106017955</c:v>
                </c:pt>
                <c:pt idx="18">
                  <c:v>0.487485331844899</c:v>
                </c:pt>
                <c:pt idx="19">
                  <c:v>0.543251758115718</c:v>
                </c:pt>
                <c:pt idx="20">
                  <c:v>0.601775714310401</c:v>
                </c:pt>
                <c:pt idx="21">
                  <c:v>0.66301640277598</c:v>
                </c:pt>
                <c:pt idx="22">
                  <c:v>0.726933211233063</c:v>
                </c:pt>
                <c:pt idx="23">
                  <c:v>0.793485477404674</c:v>
                </c:pt>
                <c:pt idx="24">
                  <c:v>0.862632123997917</c:v>
                </c:pt>
                <c:pt idx="25">
                  <c:v>0.934331972322221</c:v>
                </c:pt>
                <c:pt idx="26">
                  <c:v>1.00854374955311</c:v>
                </c:pt>
                <c:pt idx="27">
                  <c:v>1.08522609597254</c:v>
                </c:pt>
                <c:pt idx="28">
                  <c:v>1.16433757218283</c:v>
                </c:pt>
                <c:pt idx="29">
                  <c:v>1.24583666629495</c:v>
                </c:pt>
                <c:pt idx="30">
                  <c:v>1.32968180109079</c:v>
                </c:pt>
                <c:pt idx="31">
                  <c:v>1.41583134115949</c:v>
                </c:pt>
                <c:pt idx="32">
                  <c:v>1.50424360000705</c:v>
                </c:pt>
                <c:pt idx="33">
                  <c:v>1.59487684713861</c:v>
                </c:pt>
                <c:pt idx="34">
                  <c:v>1.68768931511233</c:v>
                </c:pt>
                <c:pt idx="35">
                  <c:v>1.78263920656397</c:v>
                </c:pt>
                <c:pt idx="36">
                  <c:v>1.87968470120098</c:v>
                </c:pt>
                <c:pt idx="37">
                  <c:v>1.97878396276476</c:v>
                </c:pt>
                <c:pt idx="38">
                  <c:v>2.07989514595999</c:v>
                </c:pt>
                <c:pt idx="39">
                  <c:v>2.18297640334946</c:v>
                </c:pt>
                <c:pt idx="40">
                  <c:v>2.28798589221317</c:v>
                </c:pt>
                <c:pt idx="41">
                  <c:v>2.39488178137024</c:v>
                </c:pt>
                <c:pt idx="42">
                  <c:v>2.50362225796216</c:v>
                </c:pt>
                <c:pt idx="43">
                  <c:v>2.61416553419597</c:v>
                </c:pt>
                <c:pt idx="44">
                  <c:v>2.72646985404586</c:v>
                </c:pt>
                <c:pt idx="45">
                  <c:v>2.84049349991179</c:v>
                </c:pt>
                <c:pt idx="46">
                  <c:v>2.95619479923368</c:v>
                </c:pt>
                <c:pt idx="47">
                  <c:v>3.07353213105963</c:v>
                </c:pt>
                <c:pt idx="48">
                  <c:v>3.19246393256677</c:v>
                </c:pt>
                <c:pt idx="49">
                  <c:v>3.31294870553343</c:v>
                </c:pt>
                <c:pt idx="50">
                  <c:v>3.43494502276093</c:v>
                </c:pt>
                <c:pt idx="51">
                  <c:v>3.55841153444397</c:v>
                </c:pt>
                <c:pt idx="52">
                  <c:v>3.68330697448789</c:v>
                </c:pt>
                <c:pt idx="53">
                  <c:v>3.80959016677164</c:v>
                </c:pt>
                <c:pt idx="54">
                  <c:v>3.9372200313551</c:v>
                </c:pt>
                <c:pt idx="55">
                  <c:v>4.06615559062938</c:v>
                </c:pt>
                <c:pt idx="56">
                  <c:v>4.19635597540887</c:v>
                </c:pt>
                <c:pt idx="57">
                  <c:v>4.32778043096374</c:v>
                </c:pt>
                <c:pt idx="58">
                  <c:v>4.46038832299167</c:v>
                </c:pt>
                <c:pt idx="59">
                  <c:v>4.59413914352767</c:v>
                </c:pt>
                <c:pt idx="60">
                  <c:v>4.72899251679061</c:v>
                </c:pt>
                <c:pt idx="61">
                  <c:v>4.86490820496561</c:v>
                </c:pt>
                <c:pt idx="62">
                  <c:v>5.00184611392094</c:v>
                </c:pt>
                <c:pt idx="63">
                  <c:v>5.13895241016589</c:v>
                </c:pt>
                <c:pt idx="64">
                  <c:v>5.27532926550394</c:v>
                </c:pt>
                <c:pt idx="65">
                  <c:v>5.41087254386376</c:v>
                </c:pt>
                <c:pt idx="66">
                  <c:v>5.54548002664581</c:v>
                </c:pt>
                <c:pt idx="67">
                  <c:v>5.67826639416023</c:v>
                </c:pt>
                <c:pt idx="68">
                  <c:v>5.80831158028036</c:v>
                </c:pt>
                <c:pt idx="69">
                  <c:v>5.93403884595701</c:v>
                </c:pt>
                <c:pt idx="70">
                  <c:v>6.0538172714503</c:v>
                </c:pt>
                <c:pt idx="71">
                  <c:v>6.16742678187865</c:v>
                </c:pt>
                <c:pt idx="72">
                  <c:v>6.27466118511107</c:v>
                </c:pt>
                <c:pt idx="73">
                  <c:v>6.37532820315126</c:v>
                </c:pt>
                <c:pt idx="74">
                  <c:v>6.46924949555287</c:v>
                </c:pt>
                <c:pt idx="75">
                  <c:v>6.55626067505827</c:v>
                </c:pt>
                <c:pt idx="76">
                  <c:v>6.63621131565928</c:v>
                </c:pt>
                <c:pt idx="77">
                  <c:v>6.70896495328432</c:v>
                </c:pt>
                <c:pt idx="78">
                  <c:v>6.77439907932186</c:v>
                </c:pt>
                <c:pt idx="79">
                  <c:v>6.83240512719477</c:v>
                </c:pt>
                <c:pt idx="80">
                  <c:v>6.88288845220531</c:v>
                </c:pt>
                <c:pt idx="81">
                  <c:v>6.92760643673459</c:v>
                </c:pt>
                <c:pt idx="82">
                  <c:v>6.96834923363254</c:v>
                </c:pt>
                <c:pt idx="83">
                  <c:v>7.0050835931593</c:v>
                </c:pt>
                <c:pt idx="84">
                  <c:v>7.03778014508709</c:v>
                </c:pt>
                <c:pt idx="85">
                  <c:v>7.06641338696472</c:v>
                </c:pt>
                <c:pt idx="86">
                  <c:v>7.09096167144609</c:v>
                </c:pt>
                <c:pt idx="87">
                  <c:v>7.11140719271774</c:v>
                </c:pt>
                <c:pt idx="88">
                  <c:v>7.12773597206078</c:v>
                </c:pt>
                <c:pt idx="89">
                  <c:v>7.14052769194046</c:v>
                </c:pt>
                <c:pt idx="90">
                  <c:v>7.15036670989585</c:v>
                </c:pt>
                <c:pt idx="91">
                  <c:v>7.15725001021465</c:v>
                </c:pt>
                <c:pt idx="92">
                  <c:v>7.1611765074251</c:v>
                </c:pt>
                <c:pt idx="93">
                  <c:v>7.16229475381424</c:v>
                </c:pt>
                <c:pt idx="94">
                  <c:v>7.16075497242732</c:v>
                </c:pt>
                <c:pt idx="95">
                  <c:v>7.15656108924435</c:v>
                </c:pt>
                <c:pt idx="96">
                  <c:v>7.14971856344636</c:v>
                </c:pt>
                <c:pt idx="97">
                  <c:v>7.14082438377105</c:v>
                </c:pt>
                <c:pt idx="98">
                  <c:v>7.130474463734</c:v>
                </c:pt>
                <c:pt idx="99">
                  <c:v>7.11867377156087</c:v>
                </c:pt>
                <c:pt idx="100">
                  <c:v>7.10542773118732</c:v>
                </c:pt>
                <c:pt idx="101">
                  <c:v>7.09074221972429</c:v>
                </c:pt>
                <c:pt idx="102">
                  <c:v>7.07462356491226</c:v>
                </c:pt>
                <c:pt idx="103">
                  <c:v>7.05707854256608</c:v>
                </c:pt>
                <c:pt idx="104">
                  <c:v>7.03811437401188</c:v>
                </c:pt>
                <c:pt idx="105">
                  <c:v>7.01773872351721</c:v>
                </c:pt>
                <c:pt idx="106">
                  <c:v>6.99595969571616</c:v>
                </c:pt>
                <c:pt idx="107">
                  <c:v>6.97278583303065</c:v>
                </c:pt>
                <c:pt idx="108">
                  <c:v>6.94822611308926</c:v>
                </c:pt>
                <c:pt idx="109">
                  <c:v>6.9230159264483</c:v>
                </c:pt>
                <c:pt idx="110">
                  <c:v>6.89788457343125</c:v>
                </c:pt>
                <c:pt idx="111">
                  <c:v>6.87283177579786</c:v>
                </c:pt>
                <c:pt idx="112">
                  <c:v>6.84785725663785</c:v>
                </c:pt>
                <c:pt idx="113">
                  <c:v>6.82296074036357</c:v>
                </c:pt>
                <c:pt idx="114">
                  <c:v>6.79814195270256</c:v>
                </c:pt>
                <c:pt idx="115">
                  <c:v>6.77340062069027</c:v>
                </c:pt>
                <c:pt idx="116">
                  <c:v>6.74873647266281</c:v>
                </c:pt>
                <c:pt idx="117">
                  <c:v>6.72414923824969</c:v>
                </c:pt>
                <c:pt idx="118">
                  <c:v>6.6996386483667</c:v>
                </c:pt>
                <c:pt idx="119">
                  <c:v>6.67520443520873</c:v>
                </c:pt>
                <c:pt idx="120">
                  <c:v>6.65084633224273</c:v>
                </c:pt>
                <c:pt idx="121">
                  <c:v>6.62656407420066</c:v>
                </c:pt>
                <c:pt idx="122">
                  <c:v>6.60235739707253</c:v>
                </c:pt>
                <c:pt idx="123">
                  <c:v>6.57822603809944</c:v>
                </c:pt>
                <c:pt idx="124">
                  <c:v>6.55416973576666</c:v>
                </c:pt>
                <c:pt idx="125">
                  <c:v>6.53018822979684</c:v>
                </c:pt>
                <c:pt idx="126">
                  <c:v>6.50628126114318</c:v>
                </c:pt>
                <c:pt idx="127">
                  <c:v>6.48244857198264</c:v>
                </c:pt>
                <c:pt idx="128">
                  <c:v>6.45868990570928</c:v>
                </c:pt>
                <c:pt idx="129">
                  <c:v>6.43500500692753</c:v>
                </c:pt>
                <c:pt idx="130">
                  <c:v>6.41139362144562</c:v>
                </c:pt>
                <c:pt idx="131">
                  <c:v>6.38785549626893</c:v>
                </c:pt>
                <c:pt idx="132">
                  <c:v>6.3643903795935</c:v>
                </c:pt>
                <c:pt idx="133">
                  <c:v>6.34099802079953</c:v>
                </c:pt>
                <c:pt idx="134">
                  <c:v>6.31767817044486</c:v>
                </c:pt>
                <c:pt idx="135">
                  <c:v>6.29443058025863</c:v>
                </c:pt>
                <c:pt idx="136">
                  <c:v>6.27125500313485</c:v>
                </c:pt>
                <c:pt idx="137">
                  <c:v>6.24815119312612</c:v>
                </c:pt>
                <c:pt idx="138">
                  <c:v>6.22511890543725</c:v>
                </c:pt>
                <c:pt idx="139">
                  <c:v>6.20215789641913</c:v>
                </c:pt>
                <c:pt idx="140">
                  <c:v>6.17926792356239</c:v>
                </c:pt>
                <c:pt idx="141">
                  <c:v>6.15644874549133</c:v>
                </c:pt>
                <c:pt idx="142">
                  <c:v>6.13370012195773</c:v>
                </c:pt>
                <c:pt idx="143">
                  <c:v>6.11102181383477</c:v>
                </c:pt>
                <c:pt idx="144">
                  <c:v>6.088413583111</c:v>
                </c:pt>
                <c:pt idx="145">
                  <c:v>6.06587519288428</c:v>
                </c:pt>
                <c:pt idx="146">
                  <c:v>6.04340640735585</c:v>
                </c:pt>
                <c:pt idx="147">
                  <c:v>6.02100699182437</c:v>
                </c:pt>
                <c:pt idx="148">
                  <c:v>5.99867671268002</c:v>
                </c:pt>
                <c:pt idx="149">
                  <c:v>5.97641533739864</c:v>
                </c:pt>
                <c:pt idx="150">
                  <c:v>5.9542226345359</c:v>
                </c:pt>
                <c:pt idx="151">
                  <c:v>5.93209837372152</c:v>
                </c:pt>
                <c:pt idx="152">
                  <c:v>5.91004232565354</c:v>
                </c:pt>
                <c:pt idx="153">
                  <c:v>5.88805426209255</c:v>
                </c:pt>
                <c:pt idx="154">
                  <c:v>5.86613395585608</c:v>
                </c:pt>
                <c:pt idx="155">
                  <c:v>5.8442811808129</c:v>
                </c:pt>
                <c:pt idx="156">
                  <c:v>5.82249571187745</c:v>
                </c:pt>
                <c:pt idx="157">
                  <c:v>5.80077732500426</c:v>
                </c:pt>
                <c:pt idx="158">
                  <c:v>5.77912579718243</c:v>
                </c:pt>
                <c:pt idx="159">
                  <c:v>5.7575409064301</c:v>
                </c:pt>
                <c:pt idx="160">
                  <c:v>5.73602243178901</c:v>
                </c:pt>
                <c:pt idx="161">
                  <c:v>5.71457015331905</c:v>
                </c:pt>
                <c:pt idx="162">
                  <c:v>5.69318385209291</c:v>
                </c:pt>
                <c:pt idx="163">
                  <c:v>5.67186331019064</c:v>
                </c:pt>
                <c:pt idx="164">
                  <c:v>5.65060831069441</c:v>
                </c:pt>
                <c:pt idx="165">
                  <c:v>5.62941863768315</c:v>
                </c:pt>
                <c:pt idx="166">
                  <c:v>5.60829407622733</c:v>
                </c:pt>
                <c:pt idx="167">
                  <c:v>5.58723441238369</c:v>
                </c:pt>
                <c:pt idx="168">
                  <c:v>5.56623943319011</c:v>
                </c:pt>
                <c:pt idx="169">
                  <c:v>5.54530892666039</c:v>
                </c:pt>
                <c:pt idx="170">
                  <c:v>5.52444268177912</c:v>
                </c:pt>
                <c:pt idx="171">
                  <c:v>5.50364048849665</c:v>
                </c:pt>
                <c:pt idx="172">
                  <c:v>5.48290213772395</c:v>
                </c:pt>
                <c:pt idx="173">
                  <c:v>5.4622274213276</c:v>
                </c:pt>
                <c:pt idx="174">
                  <c:v>5.44161613212481</c:v>
                </c:pt>
                <c:pt idx="175">
                  <c:v>5.42106806387841</c:v>
                </c:pt>
                <c:pt idx="176">
                  <c:v>5.40058301129197</c:v>
                </c:pt>
                <c:pt idx="177">
                  <c:v>5.38016077000481</c:v>
                </c:pt>
                <c:pt idx="178">
                  <c:v>5.35980113658721</c:v>
                </c:pt>
                <c:pt idx="179">
                  <c:v>5.33950390853548</c:v>
                </c:pt>
                <c:pt idx="180">
                  <c:v>5.31926888426721</c:v>
                </c:pt>
                <c:pt idx="181">
                  <c:v>5.29909586311643</c:v>
                </c:pt>
                <c:pt idx="182">
                  <c:v>5.2789846453289</c:v>
                </c:pt>
                <c:pt idx="183">
                  <c:v>5.25893503205733</c:v>
                </c:pt>
                <c:pt idx="184">
                  <c:v>5.23894682535673</c:v>
                </c:pt>
                <c:pt idx="185">
                  <c:v>5.21901982817973</c:v>
                </c:pt>
                <c:pt idx="186">
                  <c:v>5.19915384437189</c:v>
                </c:pt>
                <c:pt idx="187">
                  <c:v>5.17934867866716</c:v>
                </c:pt>
                <c:pt idx="188">
                  <c:v>5.15960413668326</c:v>
                </c:pt>
                <c:pt idx="189">
                  <c:v>5.13992002491712</c:v>
                </c:pt>
                <c:pt idx="190">
                  <c:v>5.12029615074035</c:v>
                </c:pt>
                <c:pt idx="191">
                  <c:v>5.10073232239479</c:v>
                </c:pt>
                <c:pt idx="192">
                  <c:v>5.08122834898796</c:v>
                </c:pt>
                <c:pt idx="193">
                  <c:v>5.0617840404887</c:v>
                </c:pt>
                <c:pt idx="194">
                  <c:v>5.04239920772267</c:v>
                </c:pt>
                <c:pt idx="195">
                  <c:v>5.02307366236804</c:v>
                </c:pt>
                <c:pt idx="196">
                  <c:v>5.00380721695107</c:v>
                </c:pt>
                <c:pt idx="197">
                  <c:v>4.98459968484181</c:v>
                </c:pt>
                <c:pt idx="198">
                  <c:v>4.96545088024976</c:v>
                </c:pt>
                <c:pt idx="199">
                  <c:v>4.94636061821962</c:v>
                </c:pt>
                <c:pt idx="200">
                  <c:v>4.92732871462701</c:v>
                </c:pt>
                <c:pt idx="201">
                  <c:v>4.73936863189512</c:v>
                </c:pt>
                <c:pt idx="202">
                  <c:v>4.55711186921127</c:v>
                </c:pt>
                <c:pt idx="203">
                  <c:v>4.38038359724989</c:v>
                </c:pt>
                <c:pt idx="204">
                  <c:v>4.2090166630112</c:v>
                </c:pt>
                <c:pt idx="205">
                  <c:v>4.04285121329646</c:v>
                </c:pt>
                <c:pt idx="206">
                  <c:v>3.88173434035926</c:v>
                </c:pt>
                <c:pt idx="207">
                  <c:v>3.72551974827289</c:v>
                </c:pt>
                <c:pt idx="208">
                  <c:v>3.57406743866249</c:v>
                </c:pt>
                <c:pt idx="209">
                  <c:v>3.42724341454952</c:v>
                </c:pt>
                <c:pt idx="210">
                  <c:v>3.28491940114794</c:v>
                </c:pt>
                <c:pt idx="211">
                  <c:v>3.1469725825351</c:v>
                </c:pt>
                <c:pt idx="212">
                  <c:v>3.01328535319789</c:v>
                </c:pt>
                <c:pt idx="213">
                  <c:v>2.88374508352569</c:v>
                </c:pt>
                <c:pt idx="214">
                  <c:v>2.75824389838732</c:v>
                </c:pt>
                <c:pt idx="215">
                  <c:v>2.63667846798973</c:v>
                </c:pt>
                <c:pt idx="216">
                  <c:v>2.51894981027165</c:v>
                </c:pt>
                <c:pt idx="217">
                  <c:v>2.4049631041373</c:v>
                </c:pt>
                <c:pt idx="218">
                  <c:v>2.29462751288235</c:v>
                </c:pt>
                <c:pt idx="219">
                  <c:v>2.18785601720852</c:v>
                </c:pt>
                <c:pt idx="220">
                  <c:v>2.0845652572636</c:v>
                </c:pt>
                <c:pt idx="221">
                  <c:v>1.9846753831811</c:v>
                </c:pt>
                <c:pt idx="222">
                  <c:v>1.8881099136285</c:v>
                </c:pt>
                <c:pt idx="223">
                  <c:v>1.79479560190486</c:v>
                </c:pt>
                <c:pt idx="224">
                  <c:v>1.70466230915821</c:v>
                </c:pt>
                <c:pt idx="225">
                  <c:v>1.6176428843203</c:v>
                </c:pt>
                <c:pt idx="226">
                  <c:v>1.53367305038132</c:v>
                </c:pt>
                <c:pt idx="227">
                  <c:v>1.45269129665041</c:v>
                </c:pt>
                <c:pt idx="228">
                  <c:v>1.37463877666881</c:v>
                </c:pt>
                <c:pt idx="229">
                  <c:v>1.29945921146179</c:v>
                </c:pt>
                <c:pt idx="230">
                  <c:v>1.22709879783319</c:v>
                </c:pt>
                <c:pt idx="231">
                  <c:v>1.15750612142192</c:v>
                </c:pt>
                <c:pt idx="232">
                  <c:v>1.09063207425415</c:v>
                </c:pt>
                <c:pt idx="233">
                  <c:v>1.02642977653691</c:v>
                </c:pt>
                <c:pt idx="234">
                  <c:v>0.964854502449469</c:v>
                </c:pt>
                <c:pt idx="235">
                  <c:v>0.905863609697395</c:v>
                </c:pt>
                <c:pt idx="236">
                  <c:v>0.849416472600545</c:v>
                </c:pt>
                <c:pt idx="237">
                  <c:v>0.795474418490624</c:v>
                </c:pt>
                <c:pt idx="238">
                  <c:v>0.744000667195388</c:v>
                </c:pt>
                <c:pt idx="239">
                  <c:v>0.694960273385333</c:v>
                </c:pt>
                <c:pt idx="240">
                  <c:v>0.648320071553923</c:v>
                </c:pt>
                <c:pt idx="241">
                  <c:v>0.604048623393567</c:v>
                </c:pt>
                <c:pt idx="242">
                  <c:v>0.562116167316018</c:v>
                </c:pt>
                <c:pt idx="243">
                  <c:v>0.522494569846486</c:v>
                </c:pt>
                <c:pt idx="244">
                  <c:v>0.485157278594616</c:v>
                </c:pt>
                <c:pt idx="245">
                  <c:v>0.450079276471217</c:v>
                </c:pt>
                <c:pt idx="246">
                  <c:v>0.417237036775791</c:v>
                </c:pt>
                <c:pt idx="247">
                  <c:v>0.386608478725028</c:v>
                </c:pt>
                <c:pt idx="248">
                  <c:v>0.358172922925145</c:v>
                </c:pt>
                <c:pt idx="249">
                  <c:v>0.331911046210283</c:v>
                </c:pt>
                <c:pt idx="250">
                  <c:v>0.307804835175109</c:v>
                </c:pt>
                <c:pt idx="251">
                  <c:v>0.285837537624299</c:v>
                </c:pt>
                <c:pt idx="252">
                  <c:v>0.26599361104918</c:v>
                </c:pt>
                <c:pt idx="253">
                  <c:v>0.248258667132126</c:v>
                </c:pt>
                <c:pt idx="254">
                  <c:v>0.232619411187623</c:v>
                </c:pt>
                <c:pt idx="255">
                  <c:v>0.219063575398855</c:v>
                </c:pt>
                <c:pt idx="256">
                  <c:v>0.207579844731864</c:v>
                </c:pt>
                <c:pt idx="257">
                  <c:v>0.198157774543655</c:v>
                </c:pt>
                <c:pt idx="258">
                  <c:v>0.190787699184252</c:v>
                </c:pt>
                <c:pt idx="259">
                  <c:v>0.185460631352016</c:v>
                </c:pt>
                <c:pt idx="260">
                  <c:v>0.182168152596216</c:v>
                </c:pt>
                <c:pt idx="261">
                  <c:v>0.180902296127723</c:v>
                </c:pt>
                <c:pt idx="262">
                  <c:v>0.181655423905056</c:v>
                </c:pt>
                <c:pt idx="263">
                  <c:v>0.184420100677087</c:v>
                </c:pt>
                <c:pt idx="264">
                  <c:v>0.189188968144989</c:v>
                </c:pt>
                <c:pt idx="265">
                  <c:v>0.195954622549255</c:v>
                </c:pt>
                <c:pt idx="266">
                  <c:v>0.204709498759734</c:v>
                </c:pt>
                <c:pt idx="267">
                  <c:v>0.215445763399325</c:v>
                </c:pt>
                <c:pt idx="268">
                  <c:v>0.228155218782747</c:v>
                </c:pt>
                <c:pt idx="269">
                  <c:v>0.24282921864312</c:v>
                </c:pt>
                <c:pt idx="270">
                  <c:v>0.259458595876504</c:v>
                </c:pt>
                <c:pt idx="271">
                  <c:v>0.278033601939951</c:v>
                </c:pt>
                <c:pt idx="272">
                  <c:v>0.298543857124382</c:v>
                </c:pt>
                <c:pt idx="273">
                  <c:v>0.320978310682172</c:v>
                </c:pt>
                <c:pt idx="274">
                  <c:v>0.345325209689893</c:v>
                </c:pt>
                <c:pt idx="275">
                  <c:v>0.371572075529904</c:v>
                </c:pt>
                <c:pt idx="276">
                  <c:v>0.399705686943075</c:v>
                </c:pt>
                <c:pt idx="277">
                  <c:v>0.429712068708913</c:v>
                </c:pt>
                <c:pt idx="278">
                  <c:v>0.461576485126935</c:v>
                </c:pt>
                <c:pt idx="279">
                  <c:v>0.495283437590415</c:v>
                </c:pt>
                <c:pt idx="280">
                  <c:v>0.530816665652531</c:v>
                </c:pt>
                <c:pt idx="281">
                  <c:v>0.568159151081608</c:v>
                </c:pt>
                <c:pt idx="282">
                  <c:v>0.607293124485302</c:v>
                </c:pt>
                <c:pt idx="283">
                  <c:v>0.648200074153736</c:v>
                </c:pt>
                <c:pt idx="284">
                  <c:v>0.690860756829747</c:v>
                </c:pt>
                <c:pt idx="285">
                  <c:v>0.735255210162243</c:v>
                </c:pt>
                <c:pt idx="286">
                  <c:v>0.781362766637642</c:v>
                </c:pt>
                <c:pt idx="287">
                  <c:v>0.829162068816002</c:v>
                </c:pt>
                <c:pt idx="288">
                  <c:v>0.878631085724052</c:v>
                </c:pt>
                <c:pt idx="289">
                  <c:v>0.929747130278022</c:v>
                </c:pt>
                <c:pt idx="290">
                  <c:v>0.982486877625852</c:v>
                </c:pt>
                <c:pt idx="291">
                  <c:v>1.03682638431189</c:v>
                </c:pt>
                <c:pt idx="292">
                  <c:v>1.09274110817808</c:v>
                </c:pt>
                <c:pt idx="293">
                  <c:v>1.1502059289246</c:v>
                </c:pt>
                <c:pt idx="294">
                  <c:v>1.20919516926</c:v>
                </c:pt>
                <c:pt idx="295">
                  <c:v>1.26968261657702</c:v>
                </c:pt>
                <c:pt idx="296">
                  <c:v>1.33164154509482</c:v>
                </c:pt>
                <c:pt idx="297">
                  <c:v>1.39504473841287</c:v>
                </c:pt>
                <c:pt idx="298">
                  <c:v>1.45986451242457</c:v>
                </c:pt>
                <c:pt idx="299">
                  <c:v>1.52607273854201</c:v>
                </c:pt>
                <c:pt idx="300">
                  <c:v>1.59364086718534</c:v>
                </c:pt>
                <c:pt idx="301">
                  <c:v>1.66253995149264</c:v>
                </c:pt>
                <c:pt idx="302">
                  <c:v>1.73274067120779</c:v>
                </c:pt>
                <c:pt idx="303">
                  <c:v>1.80421335670549</c:v>
                </c:pt>
                <c:pt idx="304">
                  <c:v>1.87692801311441</c:v>
                </c:pt>
                <c:pt idx="305">
                  <c:v>1.95085434450018</c:v>
                </c:pt>
                <c:pt idx="306">
                  <c:v>2.02596177807192</c:v>
                </c:pt>
                <c:pt idx="307">
                  <c:v>2.10221948837661</c:v>
                </c:pt>
                <c:pt idx="308">
                  <c:v>2.17959642144719</c:v>
                </c:pt>
                <c:pt idx="309">
                  <c:v>2.2580613188711</c:v>
                </c:pt>
                <c:pt idx="310">
                  <c:v>2.33758274174722</c:v>
                </c:pt>
                <c:pt idx="311">
                  <c:v>2.41812909450029</c:v>
                </c:pt>
                <c:pt idx="312">
                  <c:v>2.49966864852274</c:v>
                </c:pt>
                <c:pt idx="313">
                  <c:v>2.58216956561522</c:v>
                </c:pt>
                <c:pt idx="314">
                  <c:v>2.66559992119795</c:v>
                </c:pt>
                <c:pt idx="315">
                  <c:v>2.74992772726624</c:v>
                </c:pt>
                <c:pt idx="316">
                  <c:v>2.83512095506449</c:v>
                </c:pt>
                <c:pt idx="317">
                  <c:v>2.92114755745421</c:v>
                </c:pt>
                <c:pt idx="318">
                  <c:v>3.00797549095254</c:v>
                </c:pt>
                <c:pt idx="319">
                  <c:v>3.09557273741893</c:v>
                </c:pt>
                <c:pt idx="320">
                  <c:v>3.1839073253688</c:v>
                </c:pt>
                <c:pt idx="321">
                  <c:v>3.27294735089393</c:v>
                </c:pt>
                <c:pt idx="322">
                  <c:v>3.36266099817066</c:v>
                </c:pt>
                <c:pt idx="323">
                  <c:v>3.45301655953805</c:v>
                </c:pt>
                <c:pt idx="324">
                  <c:v>3.54398245512897</c:v>
                </c:pt>
                <c:pt idx="325">
                  <c:v>3.63552725203884</c:v>
                </c:pt>
                <c:pt idx="326">
                  <c:v>3.72761968301708</c:v>
                </c:pt>
                <c:pt idx="327">
                  <c:v>3.82022866466814</c:v>
                </c:pt>
                <c:pt idx="328">
                  <c:v>3.91332331514962</c:v>
                </c:pt>
                <c:pt idx="329">
                  <c:v>4.00687297135632</c:v>
                </c:pt>
                <c:pt idx="330">
                  <c:v>4.10084720557998</c:v>
                </c:pt>
                <c:pt idx="331">
                  <c:v>4.19521584163581</c:v>
                </c:pt>
                <c:pt idx="332">
                  <c:v>4.2899489704476</c:v>
                </c:pt>
                <c:pt idx="333">
                  <c:v>4.38501696508465</c:v>
                </c:pt>
                <c:pt idx="334">
                  <c:v>4.48039049524441</c:v>
                </c:pt>
                <c:pt idx="335">
                  <c:v>4.57604054117604</c:v>
                </c:pt>
                <c:pt idx="336">
                  <c:v>4.67193840704091</c:v>
                </c:pt>
                <c:pt idx="337">
                  <c:v>4.76805573370702</c:v>
                </c:pt>
                <c:pt idx="338">
                  <c:v>4.86436451097546</c:v>
                </c:pt>
                <c:pt idx="339">
                  <c:v>4.96083708923772</c:v>
                </c:pt>
                <c:pt idx="340">
                  <c:v>5.05744619056359</c:v>
                </c:pt>
                <c:pt idx="341">
                  <c:v>5.15416491922046</c:v>
                </c:pt>
                <c:pt idx="342">
                  <c:v>5.25096677162544</c:v>
                </c:pt>
                <c:pt idx="343">
                  <c:v>5.34782564573265</c:v>
                </c:pt>
                <c:pt idx="344">
                  <c:v>5.44471584985868</c:v>
                </c:pt>
                <c:pt idx="345">
                  <c:v>5.54161211095025</c:v>
                </c:pt>
                <c:pt idx="346">
                  <c:v>5.54170849733581</c:v>
                </c:pt>
                <c:pt idx="347">
                  <c:v>5.54180488369841</c:v>
                </c:pt>
                <c:pt idx="348">
                  <c:v>5.54190127003802</c:v>
                </c:pt>
                <c:pt idx="349">
                  <c:v>5.54199765635463</c:v>
                </c:pt>
                <c:pt idx="350">
                  <c:v>5.5420940426482</c:v>
                </c:pt>
                <c:pt idx="351">
                  <c:v>5.5421904289187</c:v>
                </c:pt>
                <c:pt idx="352">
                  <c:v>5.54228681516613</c:v>
                </c:pt>
                <c:pt idx="353">
                  <c:v>5.54238320139045</c:v>
                </c:pt>
                <c:pt idx="354">
                  <c:v>5.54247958759163</c:v>
                </c:pt>
                <c:pt idx="355">
                  <c:v>5.54257597376966</c:v>
                </c:pt>
                <c:pt idx="356">
                  <c:v>5.54267235992451</c:v>
                </c:pt>
                <c:pt idx="357">
                  <c:v>5.54276874605616</c:v>
                </c:pt>
                <c:pt idx="358">
                  <c:v>5.54286513216457</c:v>
                </c:pt>
                <c:pt idx="359">
                  <c:v>5.54296151824974</c:v>
                </c:pt>
                <c:pt idx="360">
                  <c:v>5.54305790431163</c:v>
                </c:pt>
                <c:pt idx="361">
                  <c:v>5.54315429035021</c:v>
                </c:pt>
                <c:pt idx="362">
                  <c:v>5.54325067636547</c:v>
                </c:pt>
                <c:pt idx="363">
                  <c:v>5.54334706235739</c:v>
                </c:pt>
                <c:pt idx="364">
                  <c:v>5.54344344832592</c:v>
                </c:pt>
                <c:pt idx="365">
                  <c:v>5.54353983427106</c:v>
                </c:pt>
                <c:pt idx="366">
                  <c:v>5.54363622019278</c:v>
                </c:pt>
                <c:pt idx="367">
                  <c:v>5.54373260609105</c:v>
                </c:pt>
                <c:pt idx="368">
                  <c:v>5.54382899196585</c:v>
                </c:pt>
                <c:pt idx="369">
                  <c:v>5.54392537781716</c:v>
                </c:pt>
                <c:pt idx="370">
                  <c:v>5.54402176364494</c:v>
                </c:pt>
                <c:pt idx="371">
                  <c:v>5.54411814944918</c:v>
                </c:pt>
                <c:pt idx="372">
                  <c:v>5.54421453522986</c:v>
                </c:pt>
                <c:pt idx="373">
                  <c:v>5.54431092098694</c:v>
                </c:pt>
                <c:pt idx="374">
                  <c:v>5.54440730672041</c:v>
                </c:pt>
                <c:pt idx="375">
                  <c:v>5.54450369243024</c:v>
                </c:pt>
                <c:pt idx="376">
                  <c:v>5.5446000781164</c:v>
                </c:pt>
                <c:pt idx="377">
                  <c:v>5.54469646377888</c:v>
                </c:pt>
                <c:pt idx="378">
                  <c:v>5.54479284941764</c:v>
                </c:pt>
                <c:pt idx="379">
                  <c:v>5.54488923503266</c:v>
                </c:pt>
                <c:pt idx="380">
                  <c:v>5.54498562062393</c:v>
                </c:pt>
                <c:pt idx="381">
                  <c:v>5.54508200619141</c:v>
                </c:pt>
                <c:pt idx="382">
                  <c:v>5.54517839173508</c:v>
                </c:pt>
                <c:pt idx="383">
                  <c:v>5.54527477725491</c:v>
                </c:pt>
                <c:pt idx="384">
                  <c:v>5.54537116275089</c:v>
                </c:pt>
                <c:pt idx="385">
                  <c:v>5.54546754822299</c:v>
                </c:pt>
                <c:pt idx="386">
                  <c:v>5.54556393367118</c:v>
                </c:pt>
                <c:pt idx="387">
                  <c:v>5.54566031909543</c:v>
                </c:pt>
                <c:pt idx="388">
                  <c:v>5.54575670449574</c:v>
                </c:pt>
                <c:pt idx="389">
                  <c:v>5.54585308987206</c:v>
                </c:pt>
                <c:pt idx="390">
                  <c:v>5.54594947522439</c:v>
                </c:pt>
                <c:pt idx="391">
                  <c:v>5.54604586055269</c:v>
                </c:pt>
                <c:pt idx="392">
                  <c:v>5.54614224585693</c:v>
                </c:pt>
                <c:pt idx="393">
                  <c:v>5.54623863113709</c:v>
                </c:pt>
                <c:pt idx="394">
                  <c:v>5.54633501639316</c:v>
                </c:pt>
                <c:pt idx="395">
                  <c:v>5.54643140162511</c:v>
                </c:pt>
                <c:pt idx="396">
                  <c:v>5.5465277868329</c:v>
                </c:pt>
                <c:pt idx="397">
                  <c:v>5.54662417201653</c:v>
                </c:pt>
                <c:pt idx="398">
                  <c:v>5.54672055717596</c:v>
                </c:pt>
                <c:pt idx="399">
                  <c:v>5.54681694231116</c:v>
                </c:pt>
                <c:pt idx="400">
                  <c:v>5.54691332742212</c:v>
                </c:pt>
                <c:pt idx="401">
                  <c:v>5.54700971250882</c:v>
                </c:pt>
                <c:pt idx="402">
                  <c:v>5.54710609757121</c:v>
                </c:pt>
                <c:pt idx="403">
                  <c:v>5.5472024826093</c:v>
                </c:pt>
                <c:pt idx="404">
                  <c:v>5.54729886762304</c:v>
                </c:pt>
                <c:pt idx="405">
                  <c:v>5.54739525261241</c:v>
                </c:pt>
                <c:pt idx="406">
                  <c:v>5.54749163757739</c:v>
                </c:pt>
                <c:pt idx="407">
                  <c:v>5.54758802251796</c:v>
                </c:pt>
                <c:pt idx="408">
                  <c:v>5.5476844074341</c:v>
                </c:pt>
                <c:pt idx="409">
                  <c:v>5.54778079232576</c:v>
                </c:pt>
                <c:pt idx="410">
                  <c:v>5.54787717719294</c:v>
                </c:pt>
                <c:pt idx="411">
                  <c:v>5.54797356203562</c:v>
                </c:pt>
                <c:pt idx="412">
                  <c:v>5.54806994685375</c:v>
                </c:pt>
                <c:pt idx="413">
                  <c:v>5.54816633164733</c:v>
                </c:pt>
                <c:pt idx="414">
                  <c:v>5.54826271641632</c:v>
                </c:pt>
                <c:pt idx="415">
                  <c:v>5.5483591011607</c:v>
                </c:pt>
                <c:pt idx="416">
                  <c:v>5.54845548588046</c:v>
                </c:pt>
                <c:pt idx="417">
                  <c:v>5.54855187057555</c:v>
                </c:pt>
                <c:pt idx="418">
                  <c:v>5.54864825524597</c:v>
                </c:pt>
                <c:pt idx="419">
                  <c:v>5.54874463989168</c:v>
                </c:pt>
                <c:pt idx="420">
                  <c:v>5.54884102451266</c:v>
                </c:pt>
                <c:pt idx="421">
                  <c:v>5.54893740910889</c:v>
                </c:pt>
                <c:pt idx="422">
                  <c:v>5.54903379368035</c:v>
                </c:pt>
                <c:pt idx="423">
                  <c:v>5.549130178227</c:v>
                </c:pt>
                <c:pt idx="424">
                  <c:v>5.54922656274883</c:v>
                </c:pt>
                <c:pt idx="425">
                  <c:v>5.5493229472458</c:v>
                </c:pt>
                <c:pt idx="426">
                  <c:v>5.54941933171791</c:v>
                </c:pt>
                <c:pt idx="427">
                  <c:v>5.54951571616511</c:v>
                </c:pt>
                <c:pt idx="428">
                  <c:v>5.54961210058739</c:v>
                </c:pt>
                <c:pt idx="429">
                  <c:v>5.54970848498473</c:v>
                </c:pt>
                <c:pt idx="430">
                  <c:v>5.5498048693571</c:v>
                </c:pt>
                <c:pt idx="431">
                  <c:v>5.54990125370447</c:v>
                </c:pt>
                <c:pt idx="432">
                  <c:v>5.54999763802682</c:v>
                </c:pt>
                <c:pt idx="433">
                  <c:v>5.55009402232413</c:v>
                </c:pt>
                <c:pt idx="434">
                  <c:v>5.55019040659637</c:v>
                </c:pt>
                <c:pt idx="435">
                  <c:v>5.55028679084352</c:v>
                </c:pt>
                <c:pt idx="436">
                  <c:v>5.55038317506556</c:v>
                </c:pt>
                <c:pt idx="437">
                  <c:v>5.55047955926245</c:v>
                </c:pt>
                <c:pt idx="438">
                  <c:v>5.55057594343419</c:v>
                </c:pt>
                <c:pt idx="439">
                  <c:v>5.55067232758073</c:v>
                </c:pt>
                <c:pt idx="440">
                  <c:v>5.55076871170206</c:v>
                </c:pt>
                <c:pt idx="441">
                  <c:v>5.55086509579816</c:v>
                </c:pt>
                <c:pt idx="442">
                  <c:v>5.55096147986899</c:v>
                </c:pt>
                <c:pt idx="443">
                  <c:v>5.55105786391454</c:v>
                </c:pt>
                <c:pt idx="444">
                  <c:v>5.55115424793478</c:v>
                </c:pt>
                <c:pt idx="445">
                  <c:v>5.55125063192969</c:v>
                </c:pt>
                <c:pt idx="446">
                  <c:v>5.55134701589924</c:v>
                </c:pt>
                <c:pt idx="447">
                  <c:v>5.55144339984341</c:v>
                </c:pt>
                <c:pt idx="448">
                  <c:v>5.55153978376217</c:v>
                </c:pt>
                <c:pt idx="449">
                  <c:v>5.55163616765551</c:v>
                </c:pt>
                <c:pt idx="450">
                  <c:v>5.55173255152339</c:v>
                </c:pt>
                <c:pt idx="451">
                  <c:v>5.55182893536579</c:v>
                </c:pt>
                <c:pt idx="452">
                  <c:v>5.55192531918269</c:v>
                </c:pt>
                <c:pt idx="453">
                  <c:v>5.55202170297406</c:v>
                </c:pt>
                <c:pt idx="454">
                  <c:v>5.55211808673988</c:v>
                </c:pt>
                <c:pt idx="455">
                  <c:v>5.55221447048013</c:v>
                </c:pt>
                <c:pt idx="456">
                  <c:v>5.55231085419478</c:v>
                </c:pt>
                <c:pt idx="457">
                  <c:v>5.5524072378838</c:v>
                </c:pt>
                <c:pt idx="458">
                  <c:v>5.55250362154718</c:v>
                </c:pt>
                <c:pt idx="459">
                  <c:v>5.55260000518489</c:v>
                </c:pt>
                <c:pt idx="460">
                  <c:v>5.5526963887969</c:v>
                </c:pt>
                <c:pt idx="461">
                  <c:v>5.55279277238319</c:v>
                </c:pt>
                <c:pt idx="462">
                  <c:v>5.55288915594374</c:v>
                </c:pt>
                <c:pt idx="463">
                  <c:v>5.55298553947852</c:v>
                </c:pt>
                <c:pt idx="464">
                  <c:v>5.5530819229875</c:v>
                </c:pt>
                <c:pt idx="465">
                  <c:v>5.55317830647067</c:v>
                </c:pt>
                <c:pt idx="466">
                  <c:v>5.553274689928</c:v>
                </c:pt>
                <c:pt idx="467">
                  <c:v>5.55337107335947</c:v>
                </c:pt>
                <c:pt idx="468">
                  <c:v>5.55346745676505</c:v>
                </c:pt>
                <c:pt idx="469">
                  <c:v>5.55356384014471</c:v>
                </c:pt>
                <c:pt idx="470">
                  <c:v>5.55366022349844</c:v>
                </c:pt>
                <c:pt idx="471">
                  <c:v>5.5537566068262</c:v>
                </c:pt>
                <c:pt idx="472">
                  <c:v>5.55385299012798</c:v>
                </c:pt>
                <c:pt idx="473">
                  <c:v>5.55394937340375</c:v>
                </c:pt>
                <c:pt idx="474">
                  <c:v>5.55404575665348</c:v>
                </c:pt>
                <c:pt idx="475">
                  <c:v>5.55414213987716</c:v>
                </c:pt>
                <c:pt idx="476">
                  <c:v>5.55423852307476</c:v>
                </c:pt>
                <c:pt idx="477">
                  <c:v>5.55433490624624</c:v>
                </c:pt>
                <c:pt idx="478">
                  <c:v>5.5544312893916</c:v>
                </c:pt>
                <c:pt idx="479">
                  <c:v>5.55452767251081</c:v>
                </c:pt>
                <c:pt idx="480">
                  <c:v>5.55462405560383</c:v>
                </c:pt>
                <c:pt idx="481">
                  <c:v>5.55472043867065</c:v>
                </c:pt>
                <c:pt idx="482">
                  <c:v>5.55481682171125</c:v>
                </c:pt>
                <c:pt idx="483">
                  <c:v>5.55491320472559</c:v>
                </c:pt>
                <c:pt idx="484">
                  <c:v>5.55500958771366</c:v>
                </c:pt>
                <c:pt idx="485">
                  <c:v>5.55510597067543</c:v>
                </c:pt>
                <c:pt idx="486">
                  <c:v>5.55520235361087</c:v>
                </c:pt>
                <c:pt idx="487">
                  <c:v>5.55529873651997</c:v>
                </c:pt>
                <c:pt idx="488">
                  <c:v>5.5553951194027</c:v>
                </c:pt>
                <c:pt idx="489">
                  <c:v>5.55549150225902</c:v>
                </c:pt>
                <c:pt idx="490">
                  <c:v>5.55558788508893</c:v>
                </c:pt>
                <c:pt idx="491">
                  <c:v>5.55568426789239</c:v>
                </c:pt>
                <c:pt idx="492">
                  <c:v>5.55578065066939</c:v>
                </c:pt>
                <c:pt idx="493">
                  <c:v>5.55587703341989</c:v>
                </c:pt>
                <c:pt idx="494">
                  <c:v>5.55597341614388</c:v>
                </c:pt>
                <c:pt idx="495">
                  <c:v>5.55606979884132</c:v>
                </c:pt>
                <c:pt idx="496">
                  <c:v>5.5561661815122</c:v>
                </c:pt>
                <c:pt idx="497">
                  <c:v>5.55626256415649</c:v>
                </c:pt>
                <c:pt idx="498">
                  <c:v>5.55635894677416</c:v>
                </c:pt>
                <c:pt idx="499">
                  <c:v>5.5564553293652</c:v>
                </c:pt>
                <c:pt idx="500">
                  <c:v>5.55655171192958</c:v>
                </c:pt>
                <c:pt idx="501">
                  <c:v>5.55664809446727</c:v>
                </c:pt>
                <c:pt idx="502">
                  <c:v>5.55674447697825</c:v>
                </c:pt>
                <c:pt idx="503">
                  <c:v>5.55684085946249</c:v>
                </c:pt>
                <c:pt idx="504">
                  <c:v>5.55693724191998</c:v>
                </c:pt>
                <c:pt idx="505">
                  <c:v>5.55703362435069</c:v>
                </c:pt>
                <c:pt idx="506">
                  <c:v>5.55713000675459</c:v>
                </c:pt>
                <c:pt idx="507">
                  <c:v>5.55722638913165</c:v>
                </c:pt>
                <c:pt idx="508">
                  <c:v>5.55732277148186</c:v>
                </c:pt>
                <c:pt idx="509">
                  <c:v>5.5574191538052</c:v>
                </c:pt>
                <c:pt idx="510">
                  <c:v>5.55751553610163</c:v>
                </c:pt>
                <c:pt idx="511">
                  <c:v>5.55761191837113</c:v>
                </c:pt>
                <c:pt idx="512">
                  <c:v>5.55770830061368</c:v>
                </c:pt>
                <c:pt idx="513">
                  <c:v>5.55780468282925</c:v>
                </c:pt>
                <c:pt idx="514">
                  <c:v>5.55790106501783</c:v>
                </c:pt>
                <c:pt idx="515">
                  <c:v>5.55799744717938</c:v>
                </c:pt>
                <c:pt idx="516">
                  <c:v>5.55809382931388</c:v>
                </c:pt>
                <c:pt idx="517">
                  <c:v>5.55819021142131</c:v>
                </c:pt>
                <c:pt idx="518">
                  <c:v>5.55828659350165</c:v>
                </c:pt>
                <c:pt idx="519">
                  <c:v>5.55838297555486</c:v>
                </c:pt>
                <c:pt idx="520">
                  <c:v>5.55847935758093</c:v>
                </c:pt>
                <c:pt idx="521">
                  <c:v>5.55857573957983</c:v>
                </c:pt>
                <c:pt idx="522">
                  <c:v>5.55867212155154</c:v>
                </c:pt>
                <c:pt idx="523">
                  <c:v>5.55876850349602</c:v>
                </c:pt>
                <c:pt idx="524">
                  <c:v>5.55886488541327</c:v>
                </c:pt>
                <c:pt idx="525">
                  <c:v>5.55896126730326</c:v>
                </c:pt>
                <c:pt idx="526">
                  <c:v>5.55905764916595</c:v>
                </c:pt>
                <c:pt idx="527">
                  <c:v>5.55915403100133</c:v>
                </c:pt>
                <c:pt idx="528">
                  <c:v>5.55925041280938</c:v>
                </c:pt>
                <c:pt idx="529">
                  <c:v>5.55934679459006</c:v>
                </c:pt>
                <c:pt idx="530">
                  <c:v>5.55944317634335</c:v>
                </c:pt>
                <c:pt idx="531">
                  <c:v>5.55953955806923</c:v>
                </c:pt>
                <c:pt idx="532">
                  <c:v>5.55963593976768</c:v>
                </c:pt>
                <c:pt idx="533">
                  <c:v>5.55973232143867</c:v>
                </c:pt>
                <c:pt idx="534">
                  <c:v>5.55982870308218</c:v>
                </c:pt>
                <c:pt idx="535">
                  <c:v>5.55992508469818</c:v>
                </c:pt>
                <c:pt idx="536">
                  <c:v>5.56002146628665</c:v>
                </c:pt>
                <c:pt idx="537">
                  <c:v>5.56011784784757</c:v>
                </c:pt>
                <c:pt idx="538">
                  <c:v>5.5602142293809</c:v>
                </c:pt>
                <c:pt idx="539">
                  <c:v>5.56031061088663</c:v>
                </c:pt>
                <c:pt idx="540">
                  <c:v>5.56040699236474</c:v>
                </c:pt>
                <c:pt idx="541">
                  <c:v>5.5605033738152</c:v>
                </c:pt>
                <c:pt idx="542">
                  <c:v>5.56059975523798</c:v>
                </c:pt>
                <c:pt idx="543">
                  <c:v>5.56069613663305</c:v>
                </c:pt>
                <c:pt idx="544">
                  <c:v>5.56079251800041</c:v>
                </c:pt>
                <c:pt idx="545">
                  <c:v>5.56088889934002</c:v>
                </c:pt>
                <c:pt idx="546">
                  <c:v>5.56098528065185</c:v>
                </c:pt>
                <c:pt idx="547">
                  <c:v>5.56108166193589</c:v>
                </c:pt>
                <c:pt idx="548">
                  <c:v>5.5611780431921</c:v>
                </c:pt>
                <c:pt idx="549">
                  <c:v>5.56127442442048</c:v>
                </c:pt>
                <c:pt idx="550">
                  <c:v>5.56137080562098</c:v>
                </c:pt>
                <c:pt idx="551">
                  <c:v>5.5614671867936</c:v>
                </c:pt>
                <c:pt idx="552">
                  <c:v>5.56156356793829</c:v>
                </c:pt>
                <c:pt idx="553">
                  <c:v>5.56165994905505</c:v>
                </c:pt>
                <c:pt idx="554">
                  <c:v>5.56175633014383</c:v>
                </c:pt>
                <c:pt idx="555">
                  <c:v>5.56185271120463</c:v>
                </c:pt>
                <c:pt idx="556">
                  <c:v>5.56194909223742</c:v>
                </c:pt>
                <c:pt idx="557">
                  <c:v>5.56204547324216</c:v>
                </c:pt>
                <c:pt idx="558">
                  <c:v>5.56214185421885</c:v>
                </c:pt>
                <c:pt idx="559">
                  <c:v>5.56223823516745</c:v>
                </c:pt>
                <c:pt idx="560">
                  <c:v>5.56233461608794</c:v>
                </c:pt>
                <c:pt idx="561">
                  <c:v>5.5624309969803</c:v>
                </c:pt>
                <c:pt idx="562">
                  <c:v>5.5625273778445</c:v>
                </c:pt>
                <c:pt idx="563">
                  <c:v>5.56262375868051</c:v>
                </c:pt>
                <c:pt idx="564">
                  <c:v>5.56272013948832</c:v>
                </c:pt>
                <c:pt idx="565">
                  <c:v>5.5628165202679</c:v>
                </c:pt>
                <c:pt idx="566">
                  <c:v>5.56291290101923</c:v>
                </c:pt>
                <c:pt idx="567">
                  <c:v>5.56300928174227</c:v>
                </c:pt>
                <c:pt idx="568">
                  <c:v>5.56310566243702</c:v>
                </c:pt>
                <c:pt idx="569">
                  <c:v>5.56320204310344</c:v>
                </c:pt>
                <c:pt idx="570">
                  <c:v>5.5632984237415</c:v>
                </c:pt>
                <c:pt idx="571">
                  <c:v>5.56339480435119</c:v>
                </c:pt>
                <c:pt idx="572">
                  <c:v>5.56349118493248</c:v>
                </c:pt>
                <c:pt idx="573">
                  <c:v>5.56358756548535</c:v>
                </c:pt>
                <c:pt idx="574">
                  <c:v>5.56368394600977</c:v>
                </c:pt>
                <c:pt idx="575">
                  <c:v>5.56378032650571</c:v>
                </c:pt>
                <c:pt idx="576">
                  <c:v>5.56387670697317</c:v>
                </c:pt>
                <c:pt idx="577">
                  <c:v>5.5639730874121</c:v>
                </c:pt>
                <c:pt idx="578">
                  <c:v>5.56406946782249</c:v>
                </c:pt>
                <c:pt idx="579">
                  <c:v>5.56416584820431</c:v>
                </c:pt>
                <c:pt idx="580">
                  <c:v>5.56426222855754</c:v>
                </c:pt>
                <c:pt idx="581">
                  <c:v>5.56435860888215</c:v>
                </c:pt>
                <c:pt idx="582">
                  <c:v>5.56445498917812</c:v>
                </c:pt>
                <c:pt idx="583">
                  <c:v>5.56455136944542</c:v>
                </c:pt>
                <c:pt idx="584">
                  <c:v>5.56464774968404</c:v>
                </c:pt>
                <c:pt idx="585">
                  <c:v>5.56474412989395</c:v>
                </c:pt>
                <c:pt idx="586">
                  <c:v>5.56484051007512</c:v>
                </c:pt>
                <c:pt idx="587">
                  <c:v>5.56493689022752</c:v>
                </c:pt>
                <c:pt idx="588">
                  <c:v>5.56503327035114</c:v>
                </c:pt>
                <c:pt idx="589">
                  <c:v>5.56512965044596</c:v>
                </c:pt>
                <c:pt idx="590">
                  <c:v>5.56522603051194</c:v>
                </c:pt>
                <c:pt idx="591">
                  <c:v>5.56532241054906</c:v>
                </c:pt>
                <c:pt idx="592">
                  <c:v>5.5654187905573</c:v>
                </c:pt>
                <c:pt idx="593">
                  <c:v>5.56551517053663</c:v>
                </c:pt>
                <c:pt idx="594">
                  <c:v>5.56561155048703</c:v>
                </c:pt>
                <c:pt idx="595">
                  <c:v>5.56570793040849</c:v>
                </c:pt>
                <c:pt idx="596">
                  <c:v>5.56580431030096</c:v>
                </c:pt>
                <c:pt idx="597">
                  <c:v>5.56590069016443</c:v>
                </c:pt>
                <c:pt idx="598">
                  <c:v>5.56599706999888</c:v>
                </c:pt>
                <c:pt idx="599">
                  <c:v>5.56609344980427</c:v>
                </c:pt>
                <c:pt idx="600">
                  <c:v>5.56618982958058</c:v>
                </c:pt>
                <c:pt idx="601">
                  <c:v>5.56628620932781</c:v>
                </c:pt>
                <c:pt idx="602">
                  <c:v>5.5663825890459</c:v>
                </c:pt>
                <c:pt idx="603">
                  <c:v>5.56647896873486</c:v>
                </c:pt>
                <c:pt idx="604">
                  <c:v>5.56657534839464</c:v>
                </c:pt>
                <c:pt idx="605">
                  <c:v>5.56667172802522</c:v>
                </c:pt>
                <c:pt idx="606">
                  <c:v>5.56676810762659</c:v>
                </c:pt>
                <c:pt idx="607">
                  <c:v>5.56686448719871</c:v>
                </c:pt>
                <c:pt idx="608">
                  <c:v>5.56696086674157</c:v>
                </c:pt>
                <c:pt idx="609">
                  <c:v>5.56705724625513</c:v>
                </c:pt>
                <c:pt idx="610">
                  <c:v>5.56715362573938</c:v>
                </c:pt>
                <c:pt idx="611">
                  <c:v>5.56725000519429</c:v>
                </c:pt>
                <c:pt idx="612">
                  <c:v>5.56734638461983</c:v>
                </c:pt>
                <c:pt idx="613">
                  <c:v>5.567442764016</c:v>
                </c:pt>
                <c:pt idx="614">
                  <c:v>5.56753914338274</c:v>
                </c:pt>
                <c:pt idx="615">
                  <c:v>5.56763552272005</c:v>
                </c:pt>
                <c:pt idx="616">
                  <c:v>5.5677319020279</c:v>
                </c:pt>
                <c:pt idx="617">
                  <c:v>5.56782828130627</c:v>
                </c:pt>
                <c:pt idx="618">
                  <c:v>5.56792466055513</c:v>
                </c:pt>
                <c:pt idx="619">
                  <c:v>5.56802103977446</c:v>
                </c:pt>
                <c:pt idx="620">
                  <c:v>5.56811741896423</c:v>
                </c:pt>
                <c:pt idx="621">
                  <c:v>5.56821379812442</c:v>
                </c:pt>
                <c:pt idx="622">
                  <c:v>5.568310177255</c:v>
                </c:pt>
                <c:pt idx="623">
                  <c:v>5.56840655635596</c:v>
                </c:pt>
                <c:pt idx="624">
                  <c:v>5.56850293542726</c:v>
                </c:pt>
                <c:pt idx="625">
                  <c:v>5.56859931446889</c:v>
                </c:pt>
                <c:pt idx="626">
                  <c:v>5.56869569348081</c:v>
                </c:pt>
                <c:pt idx="627">
                  <c:v>5.56879207246301</c:v>
                </c:pt>
                <c:pt idx="628">
                  <c:v>5.56888845141546</c:v>
                </c:pt>
                <c:pt idx="629">
                  <c:v>5.56898483033814</c:v>
                </c:pt>
                <c:pt idx="630">
                  <c:v>5.56908120923102</c:v>
                </c:pt>
                <c:pt idx="631">
                  <c:v>5.56917758809408</c:v>
                </c:pt>
                <c:pt idx="632">
                  <c:v>5.56927396692729</c:v>
                </c:pt>
                <c:pt idx="633">
                  <c:v>5.56937034573063</c:v>
                </c:pt>
                <c:pt idx="634">
                  <c:v>5.56946672450408</c:v>
                </c:pt>
                <c:pt idx="635">
                  <c:v>5.56956310324761</c:v>
                </c:pt>
                <c:pt idx="636">
                  <c:v>5.5696594819612</c:v>
                </c:pt>
                <c:pt idx="637">
                  <c:v>5.56975586064483</c:v>
                </c:pt>
                <c:pt idx="638">
                  <c:v>5.56985223929846</c:v>
                </c:pt>
                <c:pt idx="639">
                  <c:v>5.56994861792208</c:v>
                </c:pt>
                <c:pt idx="640">
                  <c:v>5.57004499651566</c:v>
                </c:pt>
                <c:pt idx="641">
                  <c:v>5.57014137507918</c:v>
                </c:pt>
                <c:pt idx="642">
                  <c:v>5.57023775361261</c:v>
                </c:pt>
                <c:pt idx="643">
                  <c:v>5.57033413211593</c:v>
                </c:pt>
                <c:pt idx="644">
                  <c:v>5.57043051058912</c:v>
                </c:pt>
                <c:pt idx="645">
                  <c:v>5.57052688903215</c:v>
                </c:pt>
                <c:pt idx="646">
                  <c:v>5.570623267445</c:v>
                </c:pt>
                <c:pt idx="647">
                  <c:v>5.57071964582764</c:v>
                </c:pt>
                <c:pt idx="648">
                  <c:v>5.57081602418004</c:v>
                </c:pt>
                <c:pt idx="649">
                  <c:v>5.5709124025022</c:v>
                </c:pt>
                <c:pt idx="650">
                  <c:v>5.57100878079407</c:v>
                </c:pt>
                <c:pt idx="651">
                  <c:v>5.57110515905565</c:v>
                </c:pt>
                <c:pt idx="652">
                  <c:v>5.57120153728689</c:v>
                </c:pt>
                <c:pt idx="653">
                  <c:v>5.57129791548778</c:v>
                </c:pt>
                <c:pt idx="654">
                  <c:v>5.5713942936583</c:v>
                </c:pt>
                <c:pt idx="655">
                  <c:v>5.57149067179842</c:v>
                </c:pt>
                <c:pt idx="656">
                  <c:v>5.57158704990811</c:v>
                </c:pt>
                <c:pt idx="657">
                  <c:v>5.57168342798736</c:v>
                </c:pt>
                <c:pt idx="658">
                  <c:v>5.57177980603614</c:v>
                </c:pt>
                <c:pt idx="659">
                  <c:v>5.57187618405442</c:v>
                </c:pt>
                <c:pt idx="660">
                  <c:v>5.57197256204217</c:v>
                </c:pt>
                <c:pt idx="661">
                  <c:v>5.57206893999939</c:v>
                </c:pt>
                <c:pt idx="662">
                  <c:v>5.57216531792604</c:v>
                </c:pt>
                <c:pt idx="663">
                  <c:v>5.5722616958221</c:v>
                </c:pt>
                <c:pt idx="664">
                  <c:v>5.57235807368753</c:v>
                </c:pt>
                <c:pt idx="665">
                  <c:v>5.57245445152233</c:v>
                </c:pt>
                <c:pt idx="666">
                  <c:v>5.57255082932646</c:v>
                </c:pt>
                <c:pt idx="667">
                  <c:v>5.57264720709991</c:v>
                </c:pt>
                <c:pt idx="668">
                  <c:v>5.57274358484264</c:v>
                </c:pt>
                <c:pt idx="669">
                  <c:v>5.57283996255464</c:v>
                </c:pt>
                <c:pt idx="670">
                  <c:v>5.57293634023588</c:v>
                </c:pt>
                <c:pt idx="671">
                  <c:v>5.57303271788633</c:v>
                </c:pt>
                <c:pt idx="672">
                  <c:v>5.57312909550597</c:v>
                </c:pt>
                <c:pt idx="673">
                  <c:v>5.57322547309478</c:v>
                </c:pt>
                <c:pt idx="674">
                  <c:v>5.57332185065273</c:v>
                </c:pt>
                <c:pt idx="675">
                  <c:v>5.57341822817981</c:v>
                </c:pt>
                <c:pt idx="676">
                  <c:v>5.57351460567597</c:v>
                </c:pt>
                <c:pt idx="677">
                  <c:v>5.57361098314121</c:v>
                </c:pt>
                <c:pt idx="678">
                  <c:v>5.57370736057549</c:v>
                </c:pt>
                <c:pt idx="679">
                  <c:v>5.5738037379788</c:v>
                </c:pt>
                <c:pt idx="680">
                  <c:v>5.5739001153511</c:v>
                </c:pt>
                <c:pt idx="681">
                  <c:v>5.57399649269238</c:v>
                </c:pt>
                <c:pt idx="682">
                  <c:v>5.57409287000261</c:v>
                </c:pt>
                <c:pt idx="683">
                  <c:v>5.57418924728177</c:v>
                </c:pt>
                <c:pt idx="684">
                  <c:v>5.57428562452983</c:v>
                </c:pt>
                <c:pt idx="685">
                  <c:v>5.57438200174677</c:v>
                </c:pt>
                <c:pt idx="686">
                  <c:v>5.57447837893256</c:v>
                </c:pt>
                <c:pt idx="687">
                  <c:v>5.57457475608718</c:v>
                </c:pt>
                <c:pt idx="688">
                  <c:v>5.57467113321061</c:v>
                </c:pt>
                <c:pt idx="689">
                  <c:v>5.57476751030282</c:v>
                </c:pt>
                <c:pt idx="690">
                  <c:v>5.57486388736379</c:v>
                </c:pt>
                <c:pt idx="691">
                  <c:v>5.57496026439349</c:v>
                </c:pt>
                <c:pt idx="692">
                  <c:v>5.5750566413919</c:v>
                </c:pt>
                <c:pt idx="693">
                  <c:v>5.575153018359</c:v>
                </c:pt>
                <c:pt idx="694">
                  <c:v>5.57524939529476</c:v>
                </c:pt>
                <c:pt idx="695">
                  <c:v>5.57534577219916</c:v>
                </c:pt>
                <c:pt idx="696">
                  <c:v>5.57544214907217</c:v>
                </c:pt>
                <c:pt idx="697">
                  <c:v>5.57553852591376</c:v>
                </c:pt>
                <c:pt idx="698">
                  <c:v>5.57563490272393</c:v>
                </c:pt>
                <c:pt idx="699">
                  <c:v>5.57573127950264</c:v>
                </c:pt>
                <c:pt idx="700">
                  <c:v>5.57582765624986</c:v>
                </c:pt>
                <c:pt idx="701">
                  <c:v>5.57592403296558</c:v>
                </c:pt>
                <c:pt idx="702">
                  <c:v>5.57602040964976</c:v>
                </c:pt>
                <c:pt idx="703">
                  <c:v>5.5761167863024</c:v>
                </c:pt>
                <c:pt idx="704">
                  <c:v>5.57621316292345</c:v>
                </c:pt>
                <c:pt idx="705">
                  <c:v>5.5763095395129</c:v>
                </c:pt>
                <c:pt idx="706">
                  <c:v>5.57640591607072</c:v>
                </c:pt>
                <c:pt idx="707">
                  <c:v>5.5765022925969</c:v>
                </c:pt>
                <c:pt idx="708">
                  <c:v>5.57659866909139</c:v>
                </c:pt>
                <c:pt idx="709">
                  <c:v>5.57669504555419</c:v>
                </c:pt>
                <c:pt idx="710">
                  <c:v>5.57679142198527</c:v>
                </c:pt>
                <c:pt idx="711">
                  <c:v>5.57688779838459</c:v>
                </c:pt>
                <c:pt idx="712">
                  <c:v>5.57698417475214</c:v>
                </c:pt>
                <c:pt idx="713">
                  <c:v>5.57708055108791</c:v>
                </c:pt>
                <c:pt idx="714">
                  <c:v>5.57717692739185</c:v>
                </c:pt>
                <c:pt idx="715">
                  <c:v>5.57727330366395</c:v>
                </c:pt>
                <c:pt idx="716">
                  <c:v>5.57736967990417</c:v>
                </c:pt>
                <c:pt idx="717">
                  <c:v>5.57746605611251</c:v>
                </c:pt>
                <c:pt idx="718">
                  <c:v>5.57756243228894</c:v>
                </c:pt>
                <c:pt idx="719">
                  <c:v>5.57765880843342</c:v>
                </c:pt>
                <c:pt idx="720">
                  <c:v>5.57775518454594</c:v>
                </c:pt>
                <c:pt idx="721">
                  <c:v>5.57785156062647</c:v>
                </c:pt>
                <c:pt idx="722">
                  <c:v>5.57794793667499</c:v>
                </c:pt>
                <c:pt idx="723">
                  <c:v>5.57804431269147</c:v>
                </c:pt>
                <c:pt idx="724">
                  <c:v>5.57814068867589</c:v>
                </c:pt>
                <c:pt idx="725">
                  <c:v>5.57823706462823</c:v>
                </c:pt>
                <c:pt idx="726">
                  <c:v>5.57833344054846</c:v>
                </c:pt>
                <c:pt idx="727">
                  <c:v>5.57842981643656</c:v>
                </c:pt>
                <c:pt idx="728">
                  <c:v>5.5785261922925</c:v>
                </c:pt>
                <c:pt idx="729">
                  <c:v>5.57862256811627</c:v>
                </c:pt>
                <c:pt idx="730">
                  <c:v>5.57871894390783</c:v>
                </c:pt>
                <c:pt idx="731">
                  <c:v>5.57881531966715</c:v>
                </c:pt>
                <c:pt idx="732">
                  <c:v>5.57891169539423</c:v>
                </c:pt>
                <c:pt idx="733">
                  <c:v>5.57900807108903</c:v>
                </c:pt>
                <c:pt idx="734">
                  <c:v>5.57910444675153</c:v>
                </c:pt>
                <c:pt idx="735">
                  <c:v>5.57920082238171</c:v>
                </c:pt>
                <c:pt idx="736">
                  <c:v>5.57929719797953</c:v>
                </c:pt>
                <c:pt idx="737">
                  <c:v>5.57939357354499</c:v>
                </c:pt>
                <c:pt idx="738">
                  <c:v>5.57948994907805</c:v>
                </c:pt>
                <c:pt idx="739">
                  <c:v>5.57958632457868</c:v>
                </c:pt>
                <c:pt idx="740">
                  <c:v>5.57968270004688</c:v>
                </c:pt>
                <c:pt idx="741">
                  <c:v>5.5797790754826</c:v>
                </c:pt>
                <c:pt idx="742">
                  <c:v>5.57987545088583</c:v>
                </c:pt>
                <c:pt idx="743">
                  <c:v>5.57997182625655</c:v>
                </c:pt>
                <c:pt idx="744">
                  <c:v>5.58006820159472</c:v>
                </c:pt>
                <c:pt idx="745">
                  <c:v>5.58016457690032</c:v>
                </c:pt>
                <c:pt idx="746">
                  <c:v>5.58026095217334</c:v>
                </c:pt>
                <c:pt idx="747">
                  <c:v>5.58035732741375</c:v>
                </c:pt>
                <c:pt idx="748">
                  <c:v>5.58045370262152</c:v>
                </c:pt>
                <c:pt idx="749">
                  <c:v>5.58055007779662</c:v>
                </c:pt>
                <c:pt idx="750">
                  <c:v>5.58064645293905</c:v>
                </c:pt>
                <c:pt idx="751">
                  <c:v>5.58074282804876</c:v>
                </c:pt>
                <c:pt idx="752">
                  <c:v>5.58083920312574</c:v>
                </c:pt>
                <c:pt idx="753">
                  <c:v>5.58093557816996</c:v>
                </c:pt>
                <c:pt idx="754">
                  <c:v>5.58103195318141</c:v>
                </c:pt>
                <c:pt idx="755">
                  <c:v>5.58112832816004</c:v>
                </c:pt>
                <c:pt idx="756">
                  <c:v>5.58122470310585</c:v>
                </c:pt>
                <c:pt idx="757">
                  <c:v>5.5813210780188</c:v>
                </c:pt>
                <c:pt idx="758">
                  <c:v>5.58141745289887</c:v>
                </c:pt>
                <c:pt idx="759">
                  <c:v>5.58151382774605</c:v>
                </c:pt>
                <c:pt idx="760">
                  <c:v>5.5816102025603</c:v>
                </c:pt>
                <c:pt idx="761">
                  <c:v>5.5817065773416</c:v>
                </c:pt>
                <c:pt idx="762">
                  <c:v>5.58180295208993</c:v>
                </c:pt>
                <c:pt idx="763">
                  <c:v>5.58189932680526</c:v>
                </c:pt>
                <c:pt idx="764">
                  <c:v>5.58199570148756</c:v>
                </c:pt>
                <c:pt idx="765">
                  <c:v>5.58209207613682</c:v>
                </c:pt>
                <c:pt idx="766">
                  <c:v>5.58218845075301</c:v>
                </c:pt>
                <c:pt idx="767">
                  <c:v>5.58228482533611</c:v>
                </c:pt>
                <c:pt idx="768">
                  <c:v>5.58238119988609</c:v>
                </c:pt>
                <c:pt idx="769">
                  <c:v>5.58247757440293</c:v>
                </c:pt>
                <c:pt idx="770">
                  <c:v>5.5825739488866</c:v>
                </c:pt>
                <c:pt idx="771">
                  <c:v>5.58267032333708</c:v>
                </c:pt>
                <c:pt idx="772">
                  <c:v>5.58276669775435</c:v>
                </c:pt>
                <c:pt idx="773">
                  <c:v>5.58286307213838</c:v>
                </c:pt>
                <c:pt idx="774">
                  <c:v>5.58295944648915</c:v>
                </c:pt>
                <c:pt idx="775">
                  <c:v>5.58305582080663</c:v>
                </c:pt>
                <c:pt idx="776">
                  <c:v>5.5831521950908</c:v>
                </c:pt>
                <c:pt idx="777">
                  <c:v>5.58324856934164</c:v>
                </c:pt>
                <c:pt idx="778">
                  <c:v>5.58334494355912</c:v>
                </c:pt>
                <c:pt idx="779">
                  <c:v>5.58344131774321</c:v>
                </c:pt>
                <c:pt idx="780">
                  <c:v>5.58353769189391</c:v>
                </c:pt>
                <c:pt idx="781">
                  <c:v>5.58363406601117</c:v>
                </c:pt>
                <c:pt idx="782">
                  <c:v>5.58373044009497</c:v>
                </c:pt>
                <c:pt idx="783">
                  <c:v>5.5838268141453</c:v>
                </c:pt>
                <c:pt idx="784">
                  <c:v>5.58392318816213</c:v>
                </c:pt>
                <c:pt idx="785">
                  <c:v>5.58401956214543</c:v>
                </c:pt>
                <c:pt idx="786">
                  <c:v>5.58411593609518</c:v>
                </c:pt>
                <c:pt idx="787">
                  <c:v>5.58421231001136</c:v>
                </c:pt>
                <c:pt idx="788">
                  <c:v>5.58430868389393</c:v>
                </c:pt>
                <c:pt idx="789">
                  <c:v>5.58440505774289</c:v>
                </c:pt>
                <c:pt idx="790">
                  <c:v>5.5845014315582</c:v>
                </c:pt>
                <c:pt idx="791">
                  <c:v>5.58459780533984</c:v>
                </c:pt>
                <c:pt idx="792">
                  <c:v>5.58469417908778</c:v>
                </c:pt>
                <c:pt idx="793">
                  <c:v>5.58479055280201</c:v>
                </c:pt>
                <c:pt idx="794">
                  <c:v>5.58488692648249</c:v>
                </c:pt>
                <c:pt idx="795">
                  <c:v>5.58498330012921</c:v>
                </c:pt>
                <c:pt idx="796">
                  <c:v>5.58507967374214</c:v>
                </c:pt>
                <c:pt idx="797">
                  <c:v>5.58517604732125</c:v>
                </c:pt>
                <c:pt idx="798">
                  <c:v>5.58527242086652</c:v>
                </c:pt>
                <c:pt idx="799">
                  <c:v>5.58536879437793</c:v>
                </c:pt>
                <c:pt idx="800">
                  <c:v>5.58546516785545</c:v>
                </c:pt>
                <c:pt idx="801">
                  <c:v>5.58556154129907</c:v>
                </c:pt>
                <c:pt idx="802">
                  <c:v>5.58565791470875</c:v>
                </c:pt>
                <c:pt idx="803">
                  <c:v>5.58575428808447</c:v>
                </c:pt>
                <c:pt idx="804">
                  <c:v>5.5858506614262</c:v>
                </c:pt>
                <c:pt idx="805">
                  <c:v>5.58594703473393</c:v>
                </c:pt>
                <c:pt idx="806">
                  <c:v>5.58604340800764</c:v>
                </c:pt>
                <c:pt idx="807">
                  <c:v>5.58613978124728</c:v>
                </c:pt>
                <c:pt idx="808">
                  <c:v>5.58623615445285</c:v>
                </c:pt>
                <c:pt idx="809">
                  <c:v>5.58633252762431</c:v>
                </c:pt>
                <c:pt idx="810">
                  <c:v>5.58642890076165</c:v>
                </c:pt>
                <c:pt idx="811">
                  <c:v>5.58652527386484</c:v>
                </c:pt>
                <c:pt idx="812">
                  <c:v>5.58662164693385</c:v>
                </c:pt>
                <c:pt idx="813">
                  <c:v>5.58671801996866</c:v>
                </c:pt>
                <c:pt idx="814">
                  <c:v>5.58681439296925</c:v>
                </c:pt>
                <c:pt idx="815">
                  <c:v>5.58691076593559</c:v>
                </c:pt>
                <c:pt idx="816">
                  <c:v>5.58700713886767</c:v>
                </c:pt>
                <c:pt idx="817">
                  <c:v>5.58710351176545</c:v>
                </c:pt>
                <c:pt idx="818">
                  <c:v>5.5871998846289</c:v>
                </c:pt>
                <c:pt idx="819">
                  <c:v>5.58729625745802</c:v>
                </c:pt>
                <c:pt idx="820">
                  <c:v>5.58739263025277</c:v>
                </c:pt>
                <c:pt idx="821">
                  <c:v>5.58748900301313</c:v>
                </c:pt>
                <c:pt idx="822">
                  <c:v>5.58758537573907</c:v>
                </c:pt>
                <c:pt idx="823">
                  <c:v>5.58768174843058</c:v>
                </c:pt>
                <c:pt idx="824">
                  <c:v>5.58777812108762</c:v>
                </c:pt>
                <c:pt idx="825">
                  <c:v>5.58787449371018</c:v>
                </c:pt>
                <c:pt idx="826">
                  <c:v>5.58797086629822</c:v>
                </c:pt>
                <c:pt idx="827">
                  <c:v>5.58806723885173</c:v>
                </c:pt>
                <c:pt idx="828">
                  <c:v>5.58816361137068</c:v>
                </c:pt>
                <c:pt idx="829">
                  <c:v>5.58825998385505</c:v>
                </c:pt>
                <c:pt idx="830">
                  <c:v>5.58835635630481</c:v>
                </c:pt>
                <c:pt idx="831">
                  <c:v>5.58845272871994</c:v>
                </c:pt>
                <c:pt idx="832">
                  <c:v>5.58854910110041</c:v>
                </c:pt>
                <c:pt idx="833">
                  <c:v>5.58864547344621</c:v>
                </c:pt>
                <c:pt idx="834">
                  <c:v>5.58874184575731</c:v>
                </c:pt>
                <c:pt idx="835">
                  <c:v>5.58883821803367</c:v>
                </c:pt>
                <c:pt idx="836">
                  <c:v>5.58893459027529</c:v>
                </c:pt>
                <c:pt idx="837">
                  <c:v>5.58903096248212</c:v>
                </c:pt>
                <c:pt idx="838">
                  <c:v>5.58912733465417</c:v>
                </c:pt>
                <c:pt idx="839">
                  <c:v>5.58922370679139</c:v>
                </c:pt>
                <c:pt idx="840">
                  <c:v>5.58932007889376</c:v>
                </c:pt>
                <c:pt idx="841">
                  <c:v>5.58941645096126</c:v>
                </c:pt>
                <c:pt idx="842">
                  <c:v>5.58951282299387</c:v>
                </c:pt>
                <c:pt idx="843">
                  <c:v>5.58960919499155</c:v>
                </c:pt>
                <c:pt idx="844">
                  <c:v>5.58970556695429</c:v>
                </c:pt>
                <c:pt idx="845">
                  <c:v>5.58980193888207</c:v>
                </c:pt>
                <c:pt idx="846">
                  <c:v>5.58989831077486</c:v>
                </c:pt>
                <c:pt idx="847">
                  <c:v>5.58999468263263</c:v>
                </c:pt>
                <c:pt idx="848">
                  <c:v>5.59009105445536</c:v>
                </c:pt>
                <c:pt idx="849">
                  <c:v>5.59018742624303</c:v>
                </c:pt>
                <c:pt idx="850">
                  <c:v>5.59028379799562</c:v>
                </c:pt>
                <c:pt idx="851">
                  <c:v>5.59038016971309</c:v>
                </c:pt>
                <c:pt idx="852">
                  <c:v>5.59047654139542</c:v>
                </c:pt>
                <c:pt idx="853">
                  <c:v>5.5905729130426</c:v>
                </c:pt>
                <c:pt idx="854">
                  <c:v>5.5906692846546</c:v>
                </c:pt>
                <c:pt idx="855">
                  <c:v>5.59076565623138</c:v>
                </c:pt>
                <c:pt idx="856">
                  <c:v>5.59086202777294</c:v>
                </c:pt>
                <c:pt idx="857">
                  <c:v>5.59095839927924</c:v>
                </c:pt>
                <c:pt idx="858">
                  <c:v>5.59105477075027</c:v>
                </c:pt>
                <c:pt idx="859">
                  <c:v>5.59115114218599</c:v>
                </c:pt>
                <c:pt idx="860">
                  <c:v>5.59124751358638</c:v>
                </c:pt>
                <c:pt idx="861">
                  <c:v>5.59134388495142</c:v>
                </c:pt>
                <c:pt idx="862">
                  <c:v>5.59144025628109</c:v>
                </c:pt>
                <c:pt idx="863">
                  <c:v>5.59153662757536</c:v>
                </c:pt>
                <c:pt idx="864">
                  <c:v>5.59163299883421</c:v>
                </c:pt>
                <c:pt idx="865">
                  <c:v>5.59172937005761</c:v>
                </c:pt>
                <c:pt idx="866">
                  <c:v>5.59182574124554</c:v>
                </c:pt>
                <c:pt idx="867">
                  <c:v>5.59192211239797</c:v>
                </c:pt>
                <c:pt idx="868">
                  <c:v>5.59201848351489</c:v>
                </c:pt>
                <c:pt idx="869">
                  <c:v>5.59211485459626</c:v>
                </c:pt>
                <c:pt idx="870">
                  <c:v>5.59221122564207</c:v>
                </c:pt>
                <c:pt idx="871">
                  <c:v>5.59230759665228</c:v>
                </c:pt>
                <c:pt idx="872">
                  <c:v>5.59240396762688</c:v>
                </c:pt>
                <c:pt idx="873">
                  <c:v>5.59250033856584</c:v>
                </c:pt>
                <c:pt idx="874">
                  <c:v>5.59259670946914</c:v>
                </c:pt>
                <c:pt idx="875">
                  <c:v>5.59269308033676</c:v>
                </c:pt>
                <c:pt idx="876">
                  <c:v>5.59278945116866</c:v>
                </c:pt>
                <c:pt idx="877">
                  <c:v>5.59288582196483</c:v>
                </c:pt>
                <c:pt idx="878">
                  <c:v>5.59298219272523</c:v>
                </c:pt>
                <c:pt idx="879">
                  <c:v>5.59307856344986</c:v>
                </c:pt>
                <c:pt idx="880">
                  <c:v>5.59317493413868</c:v>
                </c:pt>
                <c:pt idx="881">
                  <c:v>5.59327130479167</c:v>
                </c:pt>
                <c:pt idx="882">
                  <c:v>5.5933676754088</c:v>
                </c:pt>
                <c:pt idx="883">
                  <c:v>5.59346404599006</c:v>
                </c:pt>
                <c:pt idx="884">
                  <c:v>5.59356041653541</c:v>
                </c:pt>
                <c:pt idx="885">
                  <c:v>5.59365678704484</c:v>
                </c:pt>
                <c:pt idx="886">
                  <c:v>5.59375315751832</c:v>
                </c:pt>
                <c:pt idx="887">
                  <c:v>5.59384952795582</c:v>
                </c:pt>
                <c:pt idx="888">
                  <c:v>5.59394589835733</c:v>
                </c:pt>
                <c:pt idx="889">
                  <c:v>5.59404226872281</c:v>
                </c:pt>
                <c:pt idx="890">
                  <c:v>5.59413863905224</c:v>
                </c:pt>
                <c:pt idx="891">
                  <c:v>5.59423500934561</c:v>
                </c:pt>
                <c:pt idx="892">
                  <c:v>5.59433137960288</c:v>
                </c:pt>
                <c:pt idx="893">
                  <c:v>5.59442774982403</c:v>
                </c:pt>
                <c:pt idx="894">
                  <c:v>5.59452412000904</c:v>
                </c:pt>
                <c:pt idx="895">
                  <c:v>5.59462049015788</c:v>
                </c:pt>
                <c:pt idx="896">
                  <c:v>5.59471686027053</c:v>
                </c:pt>
                <c:pt idx="897">
                  <c:v>5.59481323034698</c:v>
                </c:pt>
                <c:pt idx="898">
                  <c:v>5.59490960038717</c:v>
                </c:pt>
                <c:pt idx="899">
                  <c:v>5.59500597039111</c:v>
                </c:pt>
                <c:pt idx="900">
                  <c:v>5.59510234035877</c:v>
                </c:pt>
                <c:pt idx="901">
                  <c:v>5.59519871029011</c:v>
                </c:pt>
                <c:pt idx="902">
                  <c:v>5.59529508018512</c:v>
                </c:pt>
                <c:pt idx="903">
                  <c:v>5.59539145004377</c:v>
                </c:pt>
                <c:pt idx="904">
                  <c:v>5.59548781986604</c:v>
                </c:pt>
                <c:pt idx="905">
                  <c:v>5.5955841896519</c:v>
                </c:pt>
                <c:pt idx="906">
                  <c:v>5.59568055940133</c:v>
                </c:pt>
                <c:pt idx="907">
                  <c:v>5.59577692911431</c:v>
                </c:pt>
                <c:pt idx="908">
                  <c:v>5.59587329879081</c:v>
                </c:pt>
                <c:pt idx="909">
                  <c:v>5.59596966843081</c:v>
                </c:pt>
                <c:pt idx="910">
                  <c:v>5.59606603803429</c:v>
                </c:pt>
                <c:pt idx="911">
                  <c:v>5.5961624076012</c:v>
                </c:pt>
                <c:pt idx="912">
                  <c:v>5.59625877713156</c:v>
                </c:pt>
                <c:pt idx="913">
                  <c:v>5.59635514662531</c:v>
                </c:pt>
                <c:pt idx="914">
                  <c:v>5.59645151608244</c:v>
                </c:pt>
                <c:pt idx="915">
                  <c:v>5.59654788550292</c:v>
                </c:pt>
                <c:pt idx="916">
                  <c:v>5.59664425488674</c:v>
                </c:pt>
                <c:pt idx="917">
                  <c:v>5.59674062423385</c:v>
                </c:pt>
                <c:pt idx="918">
                  <c:v>5.59683699354426</c:v>
                </c:pt>
                <c:pt idx="919">
                  <c:v>5.59693336281792</c:v>
                </c:pt>
                <c:pt idx="920">
                  <c:v>5.59702973205482</c:v>
                </c:pt>
                <c:pt idx="921">
                  <c:v>5.59712610125492</c:v>
                </c:pt>
                <c:pt idx="922">
                  <c:v>5.59722247041822</c:v>
                </c:pt>
                <c:pt idx="923">
                  <c:v>5.59731883954467</c:v>
                </c:pt>
                <c:pt idx="924">
                  <c:v>5.59741520863427</c:v>
                </c:pt>
                <c:pt idx="925">
                  <c:v>5.59751157768698</c:v>
                </c:pt>
                <c:pt idx="926">
                  <c:v>5.59760794670277</c:v>
                </c:pt>
                <c:pt idx="927">
                  <c:v>5.59770431568164</c:v>
                </c:pt>
                <c:pt idx="928">
                  <c:v>5.59780068462355</c:v>
                </c:pt>
                <c:pt idx="929">
                  <c:v>5.59789705352848</c:v>
                </c:pt>
                <c:pt idx="930">
                  <c:v>5.5979934223964</c:v>
                </c:pt>
                <c:pt idx="931">
                  <c:v>5.59808979122729</c:v>
                </c:pt>
                <c:pt idx="932">
                  <c:v>5.59818616002113</c:v>
                </c:pt>
                <c:pt idx="933">
                  <c:v>5.5982825287779</c:v>
                </c:pt>
                <c:pt idx="934">
                  <c:v>5.59837889749756</c:v>
                </c:pt>
                <c:pt idx="935">
                  <c:v>5.5984752661801</c:v>
                </c:pt>
                <c:pt idx="936">
                  <c:v>5.59857163482549</c:v>
                </c:pt>
                <c:pt idx="937">
                  <c:v>5.5986680034337</c:v>
                </c:pt>
                <c:pt idx="938">
                  <c:v>5.59876437200472</c:v>
                </c:pt>
                <c:pt idx="939">
                  <c:v>5.59886074053852</c:v>
                </c:pt>
                <c:pt idx="940">
                  <c:v>5.59895710903508</c:v>
                </c:pt>
                <c:pt idx="941">
                  <c:v>5.59905347749436</c:v>
                </c:pt>
                <c:pt idx="942">
                  <c:v>5.59914984591635</c:v>
                </c:pt>
                <c:pt idx="943">
                  <c:v>5.59924621430103</c:v>
                </c:pt>
                <c:pt idx="944">
                  <c:v>5.59934258264836</c:v>
                </c:pt>
                <c:pt idx="945">
                  <c:v>5.59943895095833</c:v>
                </c:pt>
                <c:pt idx="946">
                  <c:v>5.59953531923092</c:v>
                </c:pt>
                <c:pt idx="947">
                  <c:v>5.59963168746609</c:v>
                </c:pt>
                <c:pt idx="948">
                  <c:v>5.59972805566382</c:v>
                </c:pt>
                <c:pt idx="949">
                  <c:v>5.59982442382409</c:v>
                </c:pt>
                <c:pt idx="950">
                  <c:v>5.59992079194688</c:v>
                </c:pt>
                <c:pt idx="951">
                  <c:v>5.60001716003216</c:v>
                </c:pt>
                <c:pt idx="952">
                  <c:v>5.60011352807991</c:v>
                </c:pt>
                <c:pt idx="953">
                  <c:v>5.6002098960901</c:v>
                </c:pt>
                <c:pt idx="954">
                  <c:v>5.60030626406271</c:v>
                </c:pt>
                <c:pt idx="955">
                  <c:v>5.60040263199772</c:v>
                </c:pt>
                <c:pt idx="956">
                  <c:v>5.6004989998951</c:v>
                </c:pt>
                <c:pt idx="957">
                  <c:v>5.60059536775483</c:v>
                </c:pt>
                <c:pt idx="958">
                  <c:v>5.60069173557688</c:v>
                </c:pt>
                <c:pt idx="959">
                  <c:v>5.60078810336123</c:v>
                </c:pt>
                <c:pt idx="960">
                  <c:v>5.60088447110786</c:v>
                </c:pt>
                <c:pt idx="961">
                  <c:v>5.60098083881674</c:v>
                </c:pt>
                <c:pt idx="962">
                  <c:v>5.60107720648785</c:v>
                </c:pt>
                <c:pt idx="963">
                  <c:v>5.60117357412116</c:v>
                </c:pt>
                <c:pt idx="964">
                  <c:v>5.60126994171666</c:v>
                </c:pt>
                <c:pt idx="965">
                  <c:v>5.60136630927431</c:v>
                </c:pt>
                <c:pt idx="966">
                  <c:v>5.60146267679409</c:v>
                </c:pt>
                <c:pt idx="967">
                  <c:v>5.60155904427598</c:v>
                </c:pt>
                <c:pt idx="968">
                  <c:v>5.60165541171996</c:v>
                </c:pt>
                <c:pt idx="969">
                  <c:v>5.601751779126</c:v>
                </c:pt>
                <c:pt idx="970">
                  <c:v>5.60184814649407</c:v>
                </c:pt>
                <c:pt idx="971">
                  <c:v>5.60194451382416</c:v>
                </c:pt>
                <c:pt idx="972">
                  <c:v>5.60204088111623</c:v>
                </c:pt>
                <c:pt idx="973">
                  <c:v>5.60213724837027</c:v>
                </c:pt>
                <c:pt idx="974">
                  <c:v>5.60223361558625</c:v>
                </c:pt>
                <c:pt idx="975">
                  <c:v>5.60232998276415</c:v>
                </c:pt>
                <c:pt idx="976">
                  <c:v>5.60242634990394</c:v>
                </c:pt>
                <c:pt idx="977">
                  <c:v>5.6025227170056</c:v>
                </c:pt>
                <c:pt idx="978">
                  <c:v>5.60261908406911</c:v>
                </c:pt>
                <c:pt idx="979">
                  <c:v>5.60271545109443</c:v>
                </c:pt>
                <c:pt idx="980">
                  <c:v>5.60281181808156</c:v>
                </c:pt>
                <c:pt idx="981">
                  <c:v>5.60290818503046</c:v>
                </c:pt>
                <c:pt idx="982">
                  <c:v>5.6030045519411</c:v>
                </c:pt>
                <c:pt idx="983">
                  <c:v>5.60310091881347</c:v>
                </c:pt>
                <c:pt idx="984">
                  <c:v>5.60319728564755</c:v>
                </c:pt>
                <c:pt idx="985">
                  <c:v>5.6032936524433</c:v>
                </c:pt>
                <c:pt idx="986">
                  <c:v>5.60339001920071</c:v>
                </c:pt>
                <c:pt idx="987">
                  <c:v>5.60348638591974</c:v>
                </c:pt>
                <c:pt idx="988">
                  <c:v>5.60358275260038</c:v>
                </c:pt>
                <c:pt idx="989">
                  <c:v>5.60367911924261</c:v>
                </c:pt>
                <c:pt idx="990">
                  <c:v>5.60377548584639</c:v>
                </c:pt>
                <c:pt idx="991">
                  <c:v>5.6038718524117</c:v>
                </c:pt>
                <c:pt idx="992">
                  <c:v>5.60396821893853</c:v>
                </c:pt>
                <c:pt idx="993">
                  <c:v>5.60406458542684</c:v>
                </c:pt>
                <c:pt idx="994">
                  <c:v>5.60416095187661</c:v>
                </c:pt>
                <c:pt idx="995">
                  <c:v>5.60425731828782</c:v>
                </c:pt>
                <c:pt idx="996">
                  <c:v>5.60435368466045</c:v>
                </c:pt>
                <c:pt idx="997">
                  <c:v>5.60445005099447</c:v>
                </c:pt>
                <c:pt idx="998">
                  <c:v>5.60454641728985</c:v>
                </c:pt>
                <c:pt idx="999">
                  <c:v>5.60464278354658</c:v>
                </c:pt>
                <c:pt idx="1000">
                  <c:v>5.60473914976462</c:v>
                </c:pt>
              </c:numCache>
            </c:numRef>
          </c:yVal>
          <c:smooth val="0"/>
        </c:ser>
        <c:axId val="51113237"/>
        <c:axId val="67551187"/>
      </c:scatterChart>
      <c:valAx>
        <c:axId val="51113237"/>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67551187"/>
        <c:crosses val="autoZero"/>
        <c:crossBetween val="midCat"/>
      </c:valAx>
      <c:valAx>
        <c:axId val="67551187"/>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199810563348518"/>
              <c:y val="0.33298333114582"/>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51113237"/>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5692571377"/>
          <c:y val="0.0947630922693267"/>
          <c:w val="0.876099409138063"/>
          <c:h val="0.74169838561491"/>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Calculs!$I$4:$I$1004</c:f>
              <c:numCache>
                <c:formatCode>General</c:formatCode>
                <c:ptCount val="1001"/>
                <c:pt idx="0">
                  <c:v>0</c:v>
                </c:pt>
                <c:pt idx="1">
                  <c:v>0.30414229026511</c:v>
                </c:pt>
                <c:pt idx="2">
                  <c:v>1.41055544696016</c:v>
                </c:pt>
                <c:pt idx="3">
                  <c:v>2.85506155402873</c:v>
                </c:pt>
                <c:pt idx="4">
                  <c:v>4.17215745824039</c:v>
                </c:pt>
                <c:pt idx="5">
                  <c:v>5.42312052690812</c:v>
                </c:pt>
                <c:pt idx="6">
                  <c:v>6.66941307200656</c:v>
                </c:pt>
                <c:pt idx="7">
                  <c:v>7.9110031568722</c:v>
                </c:pt>
                <c:pt idx="8">
                  <c:v>9.14785906564458</c:v>
                </c:pt>
                <c:pt idx="9">
                  <c:v>10.3799493058625</c:v>
                </c:pt>
                <c:pt idx="10">
                  <c:v>11.6072426110184</c:v>
                </c:pt>
                <c:pt idx="11">
                  <c:v>12.8297079430704</c:v>
                </c:pt>
                <c:pt idx="12">
                  <c:v>14.0473144949117</c:v>
                </c:pt>
                <c:pt idx="13">
                  <c:v>15.2600316927966</c:v>
                </c:pt>
                <c:pt idx="14">
                  <c:v>16.4678291987231</c:v>
                </c:pt>
                <c:pt idx="15">
                  <c:v>17.6706769127713</c:v>
                </c:pt>
                <c:pt idx="16">
                  <c:v>18.8685449753971</c:v>
                </c:pt>
                <c:pt idx="17">
                  <c:v>20.0614037696817</c:v>
                </c:pt>
                <c:pt idx="18">
                  <c:v>21.249223923535</c:v>
                </c:pt>
                <c:pt idx="19">
                  <c:v>22.4319763118542</c:v>
                </c:pt>
                <c:pt idx="20">
                  <c:v>23.6096320586357</c:v>
                </c:pt>
                <c:pt idx="21">
                  <c:v>24.7821625390413</c:v>
                </c:pt>
                <c:pt idx="22">
                  <c:v>25.9495448133915</c:v>
                </c:pt>
                <c:pt idx="23">
                  <c:v>27.1117563339244</c:v>
                </c:pt>
                <c:pt idx="24">
                  <c:v>28.2687688516805</c:v>
                </c:pt>
                <c:pt idx="25">
                  <c:v>29.4205544066476</c:v>
                </c:pt>
                <c:pt idx="26">
                  <c:v>30.5670853260557</c:v>
                </c:pt>
                <c:pt idx="27">
                  <c:v>31.7083342232033</c:v>
                </c:pt>
                <c:pt idx="28">
                  <c:v>32.8442739966634</c:v>
                </c:pt>
                <c:pt idx="29">
                  <c:v>33.9748778297925</c:v>
                </c:pt>
                <c:pt idx="30">
                  <c:v>35.100119190484</c:v>
                </c:pt>
                <c:pt idx="31">
                  <c:v>36.2199718311183</c:v>
                </c:pt>
                <c:pt idx="32">
                  <c:v>37.3344097886685</c:v>
                </c:pt>
                <c:pt idx="33">
                  <c:v>38.443407384934</c:v>
                </c:pt>
                <c:pt idx="34">
                  <c:v>39.5469392268714</c:v>
                </c:pt>
                <c:pt idx="35">
                  <c:v>40.6449802070045</c:v>
                </c:pt>
                <c:pt idx="36">
                  <c:v>41.7375055038944</c:v>
                </c:pt>
                <c:pt idx="37">
                  <c:v>42.8244905826539</c:v>
                </c:pt>
                <c:pt idx="38">
                  <c:v>43.9059111954952</c:v>
                </c:pt>
                <c:pt idx="39">
                  <c:v>44.9817433822989</c:v>
                </c:pt>
                <c:pt idx="40">
                  <c:v>46.0519634711963</c:v>
                </c:pt>
                <c:pt idx="41">
                  <c:v>47.1165480791561</c:v>
                </c:pt>
                <c:pt idx="42">
                  <c:v>48.1754741125708</c:v>
                </c:pt>
                <c:pt idx="43">
                  <c:v>49.2287187678352</c:v>
                </c:pt>
                <c:pt idx="44">
                  <c:v>50.2762595319129</c:v>
                </c:pt>
                <c:pt idx="45">
                  <c:v>51.3180741828879</c:v>
                </c:pt>
                <c:pt idx="46">
                  <c:v>52.3541407904949</c:v>
                </c:pt>
                <c:pt idx="47">
                  <c:v>53.3844377166282</c:v>
                </c:pt>
                <c:pt idx="48">
                  <c:v>54.4089436158245</c:v>
                </c:pt>
                <c:pt idx="49">
                  <c:v>55.4276374357174</c:v>
                </c:pt>
                <c:pt idx="50">
                  <c:v>56.4404984174629</c:v>
                </c:pt>
                <c:pt idx="51">
                  <c:v>57.4475060961321</c:v>
                </c:pt>
                <c:pt idx="52">
                  <c:v>58.4486403010721</c:v>
                </c:pt>
                <c:pt idx="53">
                  <c:v>59.4438811562303</c:v>
                </c:pt>
                <c:pt idx="54">
                  <c:v>60.433209080445</c:v>
                </c:pt>
                <c:pt idx="55">
                  <c:v>61.4166047876973</c:v>
                </c:pt>
                <c:pt idx="56">
                  <c:v>62.394049287327</c:v>
                </c:pt>
                <c:pt idx="57">
                  <c:v>63.3655238842089</c:v>
                </c:pt>
                <c:pt idx="58">
                  <c:v>64.3310101788903</c:v>
                </c:pt>
                <c:pt idx="59">
                  <c:v>65.2904900676895</c:v>
                </c:pt>
                <c:pt idx="60">
                  <c:v>66.2439457427534</c:v>
                </c:pt>
                <c:pt idx="61">
                  <c:v>67.1913596920753</c:v>
                </c:pt>
                <c:pt idx="62">
                  <c:v>68.1327146994715</c:v>
                </c:pt>
                <c:pt idx="63">
                  <c:v>69.0625250318852</c:v>
                </c:pt>
                <c:pt idx="64">
                  <c:v>69.975298678328</c:v>
                </c:pt>
                <c:pt idx="65">
                  <c:v>70.8710127820003</c:v>
                </c:pt>
                <c:pt idx="66">
                  <c:v>71.7496456013397</c:v>
                </c:pt>
                <c:pt idx="67">
                  <c:v>72.6061575841579</c:v>
                </c:pt>
                <c:pt idx="68">
                  <c:v>73.4355054586792</c:v>
                </c:pt>
                <c:pt idx="69">
                  <c:v>74.2287357623337</c:v>
                </c:pt>
                <c:pt idx="70">
                  <c:v>74.9768904077828</c:v>
                </c:pt>
                <c:pt idx="71">
                  <c:v>75.6799479432818</c:v>
                </c:pt>
                <c:pt idx="72">
                  <c:v>76.3378915768332</c:v>
                </c:pt>
                <c:pt idx="73">
                  <c:v>76.95070909342</c:v>
                </c:pt>
                <c:pt idx="74">
                  <c:v>77.5183927707828</c:v>
                </c:pt>
                <c:pt idx="75">
                  <c:v>78.0409392938197</c:v>
                </c:pt>
                <c:pt idx="76">
                  <c:v>78.5183496676875</c:v>
                </c:pt>
                <c:pt idx="77">
                  <c:v>78.9506291296817</c:v>
                </c:pt>
                <c:pt idx="78">
                  <c:v>79.3377870599735</c:v>
                </c:pt>
                <c:pt idx="79">
                  <c:v>79.6798368912808</c:v>
                </c:pt>
                <c:pt idx="80">
                  <c:v>79.9767960175489</c:v>
                </c:pt>
                <c:pt idx="81">
                  <c:v>80.2393317423459</c:v>
                </c:pt>
                <c:pt idx="82">
                  <c:v>80.4781102019057</c:v>
                </c:pt>
                <c:pt idx="83">
                  <c:v>80.6931446134107</c:v>
                </c:pt>
                <c:pt idx="84">
                  <c:v>80.8844493167947</c:v>
                </c:pt>
                <c:pt idx="85">
                  <c:v>81.0520397483851</c:v>
                </c:pt>
                <c:pt idx="86">
                  <c:v>81.1959324144653</c:v>
                </c:pt>
                <c:pt idx="87">
                  <c:v>81.3161448647699</c:v>
                </c:pt>
                <c:pt idx="88">
                  <c:v>81.4126956659226</c:v>
                </c:pt>
                <c:pt idx="89">
                  <c:v>81.4889702443935</c:v>
                </c:pt>
                <c:pt idx="90">
                  <c:v>81.5483522438495</c:v>
                </c:pt>
                <c:pt idx="91">
                  <c:v>81.5908566596558</c:v>
                </c:pt>
                <c:pt idx="92">
                  <c:v>81.6164989653709</c:v>
                </c:pt>
                <c:pt idx="93">
                  <c:v>81.6261368570002</c:v>
                </c:pt>
                <c:pt idx="94">
                  <c:v>81.6206276896237</c:v>
                </c:pt>
                <c:pt idx="95">
                  <c:v>81.5999865343265</c:v>
                </c:pt>
                <c:pt idx="96">
                  <c:v>81.5642288048298</c:v>
                </c:pt>
                <c:pt idx="97">
                  <c:v>81.5167380079608</c:v>
                </c:pt>
                <c:pt idx="98">
                  <c:v>81.4608944440267</c:v>
                </c:pt>
                <c:pt idx="99">
                  <c:v>81.3967070061244</c:v>
                </c:pt>
                <c:pt idx="100">
                  <c:v>81.3241846674779</c:v>
                </c:pt>
                <c:pt idx="101">
                  <c:v>81.2433364781479</c:v>
                </c:pt>
                <c:pt idx="102">
                  <c:v>81.1541715617547</c:v>
                </c:pt>
                <c:pt idx="103">
                  <c:v>81.0566991122144</c:v>
                </c:pt>
                <c:pt idx="104">
                  <c:v>80.9509283904898</c:v>
                </c:pt>
                <c:pt idx="105">
                  <c:v>80.8368687213549</c:v>
                </c:pt>
                <c:pt idx="106">
                  <c:v>80.7145294901742</c:v>
                </c:pt>
                <c:pt idx="107">
                  <c:v>80.5839201396972</c:v>
                </c:pt>
                <c:pt idx="108">
                  <c:v>80.4450501668674</c:v>
                </c:pt>
                <c:pt idx="109">
                  <c:v>80.3021397445625</c:v>
                </c:pt>
                <c:pt idx="110">
                  <c:v>80.1594040143298</c:v>
                </c:pt>
                <c:pt idx="111">
                  <c:v>80.0168424653273</c:v>
                </c:pt>
                <c:pt idx="112">
                  <c:v>79.8744545886976</c:v>
                </c:pt>
                <c:pt idx="113">
                  <c:v>79.7322398775595</c:v>
                </c:pt>
                <c:pt idx="114">
                  <c:v>79.5901978270001</c:v>
                </c:pt>
                <c:pt idx="115">
                  <c:v>79.4483279340661</c:v>
                </c:pt>
                <c:pt idx="116">
                  <c:v>79.3066296977567</c:v>
                </c:pt>
                <c:pt idx="117">
                  <c:v>79.1651026190147</c:v>
                </c:pt>
                <c:pt idx="118">
                  <c:v>79.0237462007189</c:v>
                </c:pt>
                <c:pt idx="119">
                  <c:v>78.8825599476766</c:v>
                </c:pt>
                <c:pt idx="120">
                  <c:v>78.741543366615</c:v>
                </c:pt>
                <c:pt idx="121">
                  <c:v>78.6006959661741</c:v>
                </c:pt>
                <c:pt idx="122">
                  <c:v>78.4600172568986</c:v>
                </c:pt>
                <c:pt idx="123">
                  <c:v>78.3195067512304</c:v>
                </c:pt>
                <c:pt idx="124">
                  <c:v>78.1791639635009</c:v>
                </c:pt>
                <c:pt idx="125">
                  <c:v>78.0389884099235</c:v>
                </c:pt>
                <c:pt idx="126">
                  <c:v>77.8989796085861</c:v>
                </c:pt>
                <c:pt idx="127">
                  <c:v>77.7591370794434</c:v>
                </c:pt>
                <c:pt idx="128">
                  <c:v>77.61946034431</c:v>
                </c:pt>
                <c:pt idx="129">
                  <c:v>77.4799489268524</c:v>
                </c:pt>
                <c:pt idx="130">
                  <c:v>77.3406023525824</c:v>
                </c:pt>
                <c:pt idx="131">
                  <c:v>77.2014201488493</c:v>
                </c:pt>
                <c:pt idx="132">
                  <c:v>77.0624018448329</c:v>
                </c:pt>
                <c:pt idx="133">
                  <c:v>76.9235469715364</c:v>
                </c:pt>
                <c:pt idx="134">
                  <c:v>76.7848550617793</c:v>
                </c:pt>
                <c:pt idx="135">
                  <c:v>76.6463256501901</c:v>
                </c:pt>
                <c:pt idx="136">
                  <c:v>76.5079582731999</c:v>
                </c:pt>
                <c:pt idx="137">
                  <c:v>76.3697524690347</c:v>
                </c:pt>
                <c:pt idx="138">
                  <c:v>76.2317077777091</c:v>
                </c:pt>
                <c:pt idx="139">
                  <c:v>76.0938237410192</c:v>
                </c:pt>
                <c:pt idx="140">
                  <c:v>75.9560999025358</c:v>
                </c:pt>
                <c:pt idx="141">
                  <c:v>75.8185358075978</c:v>
                </c:pt>
                <c:pt idx="142">
                  <c:v>75.6811310033054</c:v>
                </c:pt>
                <c:pt idx="143">
                  <c:v>75.5438850385133</c:v>
                </c:pt>
                <c:pt idx="144">
                  <c:v>75.4067974638244</c:v>
                </c:pt>
                <c:pt idx="145">
                  <c:v>75.2698678315832</c:v>
                </c:pt>
                <c:pt idx="146">
                  <c:v>75.1330956958691</c:v>
                </c:pt>
                <c:pt idx="147">
                  <c:v>74.9964806124901</c:v>
                </c:pt>
                <c:pt idx="148">
                  <c:v>74.8600221389764</c:v>
                </c:pt>
                <c:pt idx="149">
                  <c:v>74.723719834574</c:v>
                </c:pt>
                <c:pt idx="150">
                  <c:v>74.5875732602384</c:v>
                </c:pt>
                <c:pt idx="151">
                  <c:v>74.4515819786284</c:v>
                </c:pt>
                <c:pt idx="152">
                  <c:v>74.3157455540998</c:v>
                </c:pt>
                <c:pt idx="153">
                  <c:v>74.1800635526992</c:v>
                </c:pt>
                <c:pt idx="154">
                  <c:v>74.0445355421582</c:v>
                </c:pt>
                <c:pt idx="155">
                  <c:v>73.909161091887</c:v>
                </c:pt>
                <c:pt idx="156">
                  <c:v>73.7739397729682</c:v>
                </c:pt>
                <c:pt idx="157">
                  <c:v>73.6388711581515</c:v>
                </c:pt>
                <c:pt idx="158">
                  <c:v>73.5039548218471</c:v>
                </c:pt>
                <c:pt idx="159">
                  <c:v>73.3691903401202</c:v>
                </c:pt>
                <c:pt idx="160">
                  <c:v>73.2345772906851</c:v>
                </c:pt>
                <c:pt idx="161">
                  <c:v>73.1001152528992</c:v>
                </c:pt>
                <c:pt idx="162">
                  <c:v>72.9658038077576</c:v>
                </c:pt>
                <c:pt idx="163">
                  <c:v>72.831642537887</c:v>
                </c:pt>
                <c:pt idx="164">
                  <c:v>72.6976310275406</c:v>
                </c:pt>
                <c:pt idx="165">
                  <c:v>72.5637688625918</c:v>
                </c:pt>
                <c:pt idx="166">
                  <c:v>72.4300556305293</c:v>
                </c:pt>
                <c:pt idx="167">
                  <c:v>72.296490920451</c:v>
                </c:pt>
                <c:pt idx="168">
                  <c:v>72.1630743230592</c:v>
                </c:pt>
                <c:pt idx="169">
                  <c:v>72.0298054306543</c:v>
                </c:pt>
                <c:pt idx="170">
                  <c:v>71.8966838371304</c:v>
                </c:pt>
                <c:pt idx="171">
                  <c:v>71.7637091379692</c:v>
                </c:pt>
                <c:pt idx="172">
                  <c:v>71.630880930235</c:v>
                </c:pt>
                <c:pt idx="173">
                  <c:v>71.4981988125695</c:v>
                </c:pt>
                <c:pt idx="174">
                  <c:v>71.3656623851866</c:v>
                </c:pt>
                <c:pt idx="175">
                  <c:v>71.233271249867</c:v>
                </c:pt>
                <c:pt idx="176">
                  <c:v>71.1010250099535</c:v>
                </c:pt>
                <c:pt idx="177">
                  <c:v>70.9689232703456</c:v>
                </c:pt>
                <c:pt idx="178">
                  <c:v>70.8369656374945</c:v>
                </c:pt>
                <c:pt idx="179">
                  <c:v>70.7051517193983</c:v>
                </c:pt>
                <c:pt idx="180">
                  <c:v>70.5734811255971</c:v>
                </c:pt>
                <c:pt idx="181">
                  <c:v>70.4419534671676</c:v>
                </c:pt>
                <c:pt idx="182">
                  <c:v>70.3105683567189</c:v>
                </c:pt>
                <c:pt idx="183">
                  <c:v>70.1793254083875</c:v>
                </c:pt>
                <c:pt idx="184">
                  <c:v>70.0482242378323</c:v>
                </c:pt>
                <c:pt idx="185">
                  <c:v>69.91726446223</c:v>
                </c:pt>
                <c:pt idx="186">
                  <c:v>69.7864457002707</c:v>
                </c:pt>
                <c:pt idx="187">
                  <c:v>69.6557675721527</c:v>
                </c:pt>
                <c:pt idx="188">
                  <c:v>69.5252296995786</c:v>
                </c:pt>
                <c:pt idx="189">
                  <c:v>69.3948317057503</c:v>
                </c:pt>
                <c:pt idx="190">
                  <c:v>69.2645732153645</c:v>
                </c:pt>
                <c:pt idx="191">
                  <c:v>69.1344538546085</c:v>
                </c:pt>
                <c:pt idx="192">
                  <c:v>69.0044732511555</c:v>
                </c:pt>
                <c:pt idx="193">
                  <c:v>68.8746310341606</c:v>
                </c:pt>
                <c:pt idx="194">
                  <c:v>68.7449268342559</c:v>
                </c:pt>
                <c:pt idx="195">
                  <c:v>68.615360283547</c:v>
                </c:pt>
                <c:pt idx="196">
                  <c:v>68.4859310156078</c:v>
                </c:pt>
                <c:pt idx="197">
                  <c:v>68.3566386654773</c:v>
                </c:pt>
                <c:pt idx="198">
                  <c:v>68.2274828696547</c:v>
                </c:pt>
                <c:pt idx="199">
                  <c:v>68.0984632660955</c:v>
                </c:pt>
                <c:pt idx="200">
                  <c:v>67.9695794942077</c:v>
                </c:pt>
                <c:pt idx="201">
                  <c:v>66.6824296492269</c:v>
                </c:pt>
                <c:pt idx="202">
                  <c:v>65.4087053014207</c:v>
                </c:pt>
                <c:pt idx="203">
                  <c:v>64.1480598644658</c:v>
                </c:pt>
                <c:pt idx="204">
                  <c:v>62.9001609928639</c:v>
                </c:pt>
                <c:pt idx="205">
                  <c:v>61.6646902670707</c:v>
                </c:pt>
                <c:pt idx="206">
                  <c:v>60.4413429239367</c:v>
                </c:pt>
                <c:pt idx="207">
                  <c:v>59.22982763326</c:v>
                </c:pt>
                <c:pt idx="208">
                  <c:v>58.0298663216439</c:v>
                </c:pt>
                <c:pt idx="209">
                  <c:v>56.841194045291</c:v>
                </c:pt>
                <c:pt idx="210">
                  <c:v>55.6635589138414</c:v>
                </c:pt>
                <c:pt idx="211">
                  <c:v>54.4967220678953</c:v>
                </c:pt>
                <c:pt idx="212">
                  <c:v>53.3404577134532</c:v>
                </c:pt>
                <c:pt idx="213">
                  <c:v>52.1945532171782</c:v>
                </c:pt>
                <c:pt idx="214">
                  <c:v>51.0588092671385</c:v>
                </c:pt>
                <c:pt idx="215">
                  <c:v>49.9330401045551</c:v>
                </c:pt>
                <c:pt idx="216">
                  <c:v>48.8170738330587</c:v>
                </c:pt>
                <c:pt idx="217">
                  <c:v>47.7107528130966</c:v>
                </c:pt>
                <c:pt idx="218">
                  <c:v>46.6139341504259</c:v>
                </c:pt>
                <c:pt idx="219">
                  <c:v>45.5264902891378</c:v>
                </c:pt>
                <c:pt idx="220">
                  <c:v>44.4483097213943</c:v>
                </c:pt>
                <c:pt idx="221">
                  <c:v>43.3792978280799</c:v>
                </c:pt>
                <c:pt idx="222">
                  <c:v>42.3193778669197</c:v>
                </c:pt>
                <c:pt idx="223">
                  <c:v>41.2684921273475</c:v>
                </c:pt>
                <c:pt idx="224">
                  <c:v>40.2266032745947</c:v>
                </c:pt>
                <c:pt idx="225">
                  <c:v>39.1936959091872</c:v>
                </c:pt>
                <c:pt idx="226">
                  <c:v>38.169778372373</c:v>
                </c:pt>
                <c:pt idx="227">
                  <c:v>37.1548848330585</c:v>
                </c:pt>
                <c:pt idx="228">
                  <c:v>36.1490776977203</c:v>
                </c:pt>
                <c:pt idx="229">
                  <c:v>35.1524503916081</c:v>
                </c:pt>
                <c:pt idx="230">
                  <c:v>34.1651305674915</c:v>
                </c:pt>
                <c:pt idx="231">
                  <c:v>33.1872838073687</c:v>
                </c:pt>
                <c:pt idx="232">
                  <c:v>32.219117893069</c:v>
                </c:pt>
                <c:pt idx="233">
                  <c:v>31.2608877336427</c:v>
                </c:pt>
                <c:pt idx="234">
                  <c:v>30.3129010508808</c:v>
                </c:pt>
                <c:pt idx="235">
                  <c:v>29.3755249391635</c:v>
                </c:pt>
                <c:pt idx="236">
                  <c:v>28.4491934318644</c:v>
                </c:pt>
                <c:pt idx="237">
                  <c:v>27.5344162231681</c:v>
                </c:pt>
                <c:pt idx="238">
                  <c:v>26.631788710392</c:v>
                </c:pt>
                <c:pt idx="239">
                  <c:v>25.7420035360022</c:v>
                </c:pt>
                <c:pt idx="240">
                  <c:v>24.8658638176782</c:v>
                </c:pt>
                <c:pt idx="241">
                  <c:v>24.0042982546282</c:v>
                </c:pt>
                <c:pt idx="242">
                  <c:v>23.1583782822464</c:v>
                </c:pt>
                <c:pt idx="243">
                  <c:v>22.3293374052896</c:v>
                </c:pt>
                <c:pt idx="244">
                  <c:v>21.5185927578943</c:v>
                </c:pt>
                <c:pt idx="245">
                  <c:v>20.7277687971846</c:v>
                </c:pt>
                <c:pt idx="246">
                  <c:v>19.9587228093518</c:v>
                </c:pt>
                <c:pt idx="247">
                  <c:v>19.213571558948</c:v>
                </c:pt>
                <c:pt idx="248">
                  <c:v>18.4947179034604</c:v>
                </c:pt>
                <c:pt idx="249">
                  <c:v>17.8048754842208</c:v>
                </c:pt>
                <c:pt idx="250">
                  <c:v>17.1470886592414</c:v>
                </c:pt>
                <c:pt idx="251">
                  <c:v>16.5247436630328</c:v>
                </c:pt>
                <c:pt idx="252">
                  <c:v>15.9415656298622</c:v>
                </c:pt>
                <c:pt idx="253">
                  <c:v>15.4015947864492</c:v>
                </c:pt>
                <c:pt idx="254">
                  <c:v>14.9091341714838</c:v>
                </c:pt>
                <c:pt idx="255">
                  <c:v>14.468661252224</c:v>
                </c:pt>
                <c:pt idx="256">
                  <c:v>14.0846975428811</c:v>
                </c:pt>
                <c:pt idx="257">
                  <c:v>13.7616345423916</c:v>
                </c:pt>
                <c:pt idx="258">
                  <c:v>13.5035213673698</c:v>
                </c:pt>
                <c:pt idx="259">
                  <c:v>13.313828797693</c:v>
                </c:pt>
                <c:pt idx="260">
                  <c:v>13.1952141491521</c:v>
                </c:pt>
                <c:pt idx="261">
                  <c:v>13.1493182483489</c:v>
                </c:pt>
                <c:pt idx="262">
                  <c:v>13.1766263622436</c:v>
                </c:pt>
                <c:pt idx="263">
                  <c:v>13.2764172687593</c:v>
                </c:pt>
                <c:pt idx="264">
                  <c:v>13.446809815228</c:v>
                </c:pt>
                <c:pt idx="265">
                  <c:v>13.6848985149177</c:v>
                </c:pt>
                <c:pt idx="266">
                  <c:v>13.9869545933206</c:v>
                </c:pt>
                <c:pt idx="267">
                  <c:v>14.3486607766727</c:v>
                </c:pt>
                <c:pt idx="268">
                  <c:v>14.7653482801122</c:v>
                </c:pt>
                <c:pt idx="269">
                  <c:v>15.2322110775608</c:v>
                </c:pt>
                <c:pt idx="270">
                  <c:v>15.7444821984358</c:v>
                </c:pt>
                <c:pt idx="271">
                  <c:v>16.2975662473358</c:v>
                </c:pt>
                <c:pt idx="272">
                  <c:v>16.8871295676549</c:v>
                </c:pt>
                <c:pt idx="273">
                  <c:v>17.5091538388972</c:v>
                </c:pt>
                <c:pt idx="274">
                  <c:v>18.1599607434509</c:v>
                </c:pt>
                <c:pt idx="275">
                  <c:v>18.8362154135574</c:v>
                </c:pt>
                <c:pt idx="276">
                  <c:v>19.5349154435593</c:v>
                </c:pt>
                <c:pt idx="277">
                  <c:v>20.2533709203209</c:v>
                </c:pt>
                <c:pt idx="278">
                  <c:v>20.9891795621584</c:v>
                </c:pt>
                <c:pt idx="279">
                  <c:v>21.7401998583</c:v>
                </c:pt>
                <c:pt idx="280">
                  <c:v>22.5045241385396</c:v>
                </c:pt>
                <c:pt idx="281">
                  <c:v>23.280452777768</c:v>
                </c:pt>
                <c:pt idx="282">
                  <c:v>24.0664702208148</c:v>
                </c:pt>
                <c:pt idx="283">
                  <c:v>24.8612231574021</c:v>
                </c:pt>
                <c:pt idx="284">
                  <c:v>25.663500944128</c:v>
                </c:pt>
                <c:pt idx="285">
                  <c:v>26.4722182256632</c:v>
                </c:pt>
                <c:pt idx="286">
                  <c:v>27.286399623622</c:v>
                </c:pt>
                <c:pt idx="287">
                  <c:v>28.105166318672</c:v>
                </c:pt>
                <c:pt idx="288">
                  <c:v>28.9277243349082</c:v>
                </c:pt>
                <c:pt idx="289">
                  <c:v>29.7533543352862</c:v>
                </c:pt>
                <c:pt idx="290">
                  <c:v>30.5814027461849</c:v>
                </c:pt>
                <c:pt idx="291">
                  <c:v>31.4112740434856</c:v>
                </c:pt>
                <c:pt idx="292">
                  <c:v>32.242424049038</c:v>
                </c:pt>
                <c:pt idx="293">
                  <c:v>33.074354103279</c:v>
                </c:pt>
                <c:pt idx="294">
                  <c:v>33.9066059960351</c:v>
                </c:pt>
                <c:pt idx="295">
                  <c:v>34.7387575526209</c:v>
                </c:pt>
                <c:pt idx="296">
                  <c:v>35.5704187859811</c:v>
                </c:pt>
                <c:pt idx="297">
                  <c:v>36.4012285377473</c:v>
                </c:pt>
                <c:pt idx="298">
                  <c:v>37.2308515417277</c:v>
                </c:pt>
                <c:pt idx="299">
                  <c:v>38.058975852621</c:v>
                </c:pt>
                <c:pt idx="300">
                  <c:v>38.8853105907693</c:v>
                </c:pt>
                <c:pt idx="301">
                  <c:v>39.7095839606811</c:v>
                </c:pt>
                <c:pt idx="302">
                  <c:v>40.531541506992</c:v>
                </c:pt>
                <c:pt idx="303">
                  <c:v>41.3509445766253</c:v>
                </c:pt>
                <c:pt idx="304">
                  <c:v>42.1675689602704</c:v>
                </c:pt>
                <c:pt idx="305">
                  <c:v>42.9812036900289</c:v>
                </c:pt>
                <c:pt idx="306">
                  <c:v>43.7916499732662</c:v>
                </c:pt>
                <c:pt idx="307">
                  <c:v>44.5987202454362</c:v>
                </c:pt>
                <c:pt idx="308">
                  <c:v>45.4022373269834</c:v>
                </c:pt>
                <c:pt idx="309">
                  <c:v>46.2020336714277</c:v>
                </c:pt>
                <c:pt idx="310">
                  <c:v>46.9979506934528</c:v>
                </c:pt>
                <c:pt idx="311">
                  <c:v>47.7898381672925</c:v>
                </c:pt>
                <c:pt idx="312">
                  <c:v>48.5775536869751</c:v>
                </c:pt>
                <c:pt idx="313">
                  <c:v>49.3609621810766</c:v>
                </c:pt>
                <c:pt idx="314">
                  <c:v>50.1399354755705</c:v>
                </c:pt>
                <c:pt idx="315">
                  <c:v>50.9143518991733</c:v>
                </c:pt>
                <c:pt idx="316">
                  <c:v>51.6840959262877</c:v>
                </c:pt>
                <c:pt idx="317">
                  <c:v>52.4490578532473</c:v>
                </c:pt>
                <c:pt idx="318">
                  <c:v>53.2091335040958</c:v>
                </c:pt>
                <c:pt idx="319">
                  <c:v>53.9642239625908</c:v>
                </c:pt>
                <c:pt idx="320">
                  <c:v>54.7142353275172</c:v>
                </c:pt>
                <c:pt idx="321">
                  <c:v>55.4590784887421</c:v>
                </c:pt>
                <c:pt idx="322">
                  <c:v>56.1986689217473</c:v>
                </c:pt>
                <c:pt idx="323">
                  <c:v>56.9329264986356</c:v>
                </c:pt>
                <c:pt idx="324">
                  <c:v>57.6617753138418</c:v>
                </c:pt>
                <c:pt idx="325">
                  <c:v>58.3851435229796</c:v>
                </c:pt>
                <c:pt idx="326">
                  <c:v>59.1029631934338</c:v>
                </c:pt>
                <c:pt idx="327">
                  <c:v>59.8151701654648</c:v>
                </c:pt>
                <c:pt idx="328">
                  <c:v>60.5217039227287</c:v>
                </c:pt>
                <c:pt idx="329">
                  <c:v>61.2225074712382</c:v>
                </c:pt>
                <c:pt idx="330">
                  <c:v>61.9175272258974</c:v>
                </c:pt>
                <c:pt idx="331">
                  <c:v>62.6067129038375</c:v>
                </c:pt>
                <c:pt idx="332">
                  <c:v>63.2900174238647</c:v>
                </c:pt>
                <c:pt idx="333">
                  <c:v>63.9673968114069</c:v>
                </c:pt>
                <c:pt idx="334">
                  <c:v>64.6388101084106</c:v>
                </c:pt>
                <c:pt idx="335">
                  <c:v>65.3042192876991</c:v>
                </c:pt>
                <c:pt idx="336">
                  <c:v>65.9635891713544</c:v>
                </c:pt>
                <c:pt idx="337">
                  <c:v>66.6168873527342</c:v>
                </c:pt>
                <c:pt idx="338">
                  <c:v>67.2640841217729</c:v>
                </c:pt>
                <c:pt idx="339">
                  <c:v>67.9051523932568</c:v>
                </c:pt>
                <c:pt idx="340">
                  <c:v>68.5400676377937</c:v>
                </c:pt>
                <c:pt idx="341">
                  <c:v>69.1688078152294</c:v>
                </c:pt>
                <c:pt idx="342">
                  <c:v>69.7913533102867</c:v>
                </c:pt>
                <c:pt idx="343">
                  <c:v>70.4076868702297</c:v>
                </c:pt>
                <c:pt idx="344">
                  <c:v>71.0177935443767</c:v>
                </c:pt>
                <c:pt idx="345">
                  <c:v>71.6216606253006</c:v>
                </c:pt>
                <c:pt idx="346">
                  <c:v>71.6222581049495</c:v>
                </c:pt>
                <c:pt idx="347">
                  <c:v>71.6228555783818</c:v>
                </c:pt>
                <c:pt idx="348">
                  <c:v>71.6234530455976</c:v>
                </c:pt>
                <c:pt idx="349">
                  <c:v>71.6240505065968</c:v>
                </c:pt>
                <c:pt idx="350">
                  <c:v>71.6246479613795</c:v>
                </c:pt>
                <c:pt idx="351">
                  <c:v>71.6252454099456</c:v>
                </c:pt>
                <c:pt idx="352">
                  <c:v>71.6258428522952</c:v>
                </c:pt>
                <c:pt idx="353">
                  <c:v>71.6264402884281</c:v>
                </c:pt>
                <c:pt idx="354">
                  <c:v>71.6270377183445</c:v>
                </c:pt>
                <c:pt idx="355">
                  <c:v>71.6276351420443</c:v>
                </c:pt>
                <c:pt idx="356">
                  <c:v>71.6282325595274</c:v>
                </c:pt>
                <c:pt idx="357">
                  <c:v>71.628829970794</c:v>
                </c:pt>
                <c:pt idx="358">
                  <c:v>71.6294273758439</c:v>
                </c:pt>
                <c:pt idx="359">
                  <c:v>71.6300247746773</c:v>
                </c:pt>
                <c:pt idx="360">
                  <c:v>71.6306221672939</c:v>
                </c:pt>
                <c:pt idx="361">
                  <c:v>71.6312195536939</c:v>
                </c:pt>
                <c:pt idx="362">
                  <c:v>71.6318169338773</c:v>
                </c:pt>
                <c:pt idx="363">
                  <c:v>71.632414307844</c:v>
                </c:pt>
                <c:pt idx="364">
                  <c:v>71.6330116755941</c:v>
                </c:pt>
                <c:pt idx="365">
                  <c:v>71.6336090371274</c:v>
                </c:pt>
                <c:pt idx="366">
                  <c:v>71.6342063924441</c:v>
                </c:pt>
                <c:pt idx="367">
                  <c:v>71.6348037415441</c:v>
                </c:pt>
                <c:pt idx="368">
                  <c:v>71.6354010844274</c:v>
                </c:pt>
                <c:pt idx="369">
                  <c:v>71.6359984210939</c:v>
                </c:pt>
                <c:pt idx="370">
                  <c:v>71.6365957515438</c:v>
                </c:pt>
                <c:pt idx="371">
                  <c:v>71.6371930757769</c:v>
                </c:pt>
                <c:pt idx="372">
                  <c:v>71.6377903937933</c:v>
                </c:pt>
                <c:pt idx="373">
                  <c:v>71.6383877055929</c:v>
                </c:pt>
                <c:pt idx="374">
                  <c:v>71.6389850111758</c:v>
                </c:pt>
                <c:pt idx="375">
                  <c:v>71.6395823105419</c:v>
                </c:pt>
                <c:pt idx="376">
                  <c:v>71.6401796036913</c:v>
                </c:pt>
                <c:pt idx="377">
                  <c:v>71.6407768906238</c:v>
                </c:pt>
                <c:pt idx="378">
                  <c:v>71.6413741713396</c:v>
                </c:pt>
                <c:pt idx="379">
                  <c:v>71.6419714458386</c:v>
                </c:pt>
                <c:pt idx="380">
                  <c:v>71.6425687141208</c:v>
                </c:pt>
                <c:pt idx="381">
                  <c:v>71.6431659761862</c:v>
                </c:pt>
                <c:pt idx="382">
                  <c:v>71.6437632320347</c:v>
                </c:pt>
                <c:pt idx="383">
                  <c:v>71.6443604816665</c:v>
                </c:pt>
                <c:pt idx="384">
                  <c:v>71.6449577250814</c:v>
                </c:pt>
                <c:pt idx="385">
                  <c:v>71.6455549622794</c:v>
                </c:pt>
                <c:pt idx="386">
                  <c:v>71.6461521932606</c:v>
                </c:pt>
                <c:pt idx="387">
                  <c:v>71.646749418025</c:v>
                </c:pt>
                <c:pt idx="388">
                  <c:v>71.6473466365724</c:v>
                </c:pt>
                <c:pt idx="389">
                  <c:v>71.647943848903</c:v>
                </c:pt>
                <c:pt idx="390">
                  <c:v>71.6485410550168</c:v>
                </c:pt>
                <c:pt idx="391">
                  <c:v>71.6491382549136</c:v>
                </c:pt>
                <c:pt idx="392">
                  <c:v>71.6497354485935</c:v>
                </c:pt>
                <c:pt idx="393">
                  <c:v>71.6503326360565</c:v>
                </c:pt>
                <c:pt idx="394">
                  <c:v>71.6509298173026</c:v>
                </c:pt>
                <c:pt idx="395">
                  <c:v>71.6515269923318</c:v>
                </c:pt>
                <c:pt idx="396">
                  <c:v>71.652124161144</c:v>
                </c:pt>
                <c:pt idx="397">
                  <c:v>71.6527213237393</c:v>
                </c:pt>
                <c:pt idx="398">
                  <c:v>71.6533184801177</c:v>
                </c:pt>
                <c:pt idx="399">
                  <c:v>71.6539156302791</c:v>
                </c:pt>
                <c:pt idx="400">
                  <c:v>71.6545127742235</c:v>
                </c:pt>
                <c:pt idx="401">
                  <c:v>71.6551099119509</c:v>
                </c:pt>
                <c:pt idx="402">
                  <c:v>71.6557070434614</c:v>
                </c:pt>
                <c:pt idx="403">
                  <c:v>71.6563041687549</c:v>
                </c:pt>
                <c:pt idx="404">
                  <c:v>71.6569012878313</c:v>
                </c:pt>
                <c:pt idx="405">
                  <c:v>71.6574984006908</c:v>
                </c:pt>
                <c:pt idx="406">
                  <c:v>71.6580955073333</c:v>
                </c:pt>
                <c:pt idx="407">
                  <c:v>71.6586926077587</c:v>
                </c:pt>
                <c:pt idx="408">
                  <c:v>71.6592897019671</c:v>
                </c:pt>
                <c:pt idx="409">
                  <c:v>71.6598867899585</c:v>
                </c:pt>
                <c:pt idx="410">
                  <c:v>71.6604838717328</c:v>
                </c:pt>
                <c:pt idx="411">
                  <c:v>71.66108094729</c:v>
                </c:pt>
                <c:pt idx="412">
                  <c:v>71.6616780166302</c:v>
                </c:pt>
                <c:pt idx="413">
                  <c:v>71.6622750797534</c:v>
                </c:pt>
                <c:pt idx="414">
                  <c:v>71.6628721366594</c:v>
                </c:pt>
                <c:pt idx="415">
                  <c:v>71.6634691873483</c:v>
                </c:pt>
                <c:pt idx="416">
                  <c:v>71.6640662318202</c:v>
                </c:pt>
                <c:pt idx="417">
                  <c:v>71.6646632700749</c:v>
                </c:pt>
                <c:pt idx="418">
                  <c:v>71.6652603021126</c:v>
                </c:pt>
                <c:pt idx="419">
                  <c:v>71.6658573279331</c:v>
                </c:pt>
                <c:pt idx="420">
                  <c:v>71.6664543475365</c:v>
                </c:pt>
                <c:pt idx="421">
                  <c:v>71.6670513609227</c:v>
                </c:pt>
                <c:pt idx="422">
                  <c:v>71.6676483680919</c:v>
                </c:pt>
                <c:pt idx="423">
                  <c:v>71.6682453690438</c:v>
                </c:pt>
                <c:pt idx="424">
                  <c:v>71.6688423637786</c:v>
                </c:pt>
                <c:pt idx="425">
                  <c:v>71.6694393522962</c:v>
                </c:pt>
                <c:pt idx="426">
                  <c:v>71.6700363345967</c:v>
                </c:pt>
                <c:pt idx="427">
                  <c:v>71.6706333106799</c:v>
                </c:pt>
                <c:pt idx="428">
                  <c:v>71.671230280546</c:v>
                </c:pt>
                <c:pt idx="429">
                  <c:v>71.6718272441948</c:v>
                </c:pt>
                <c:pt idx="430">
                  <c:v>71.6724242016265</c:v>
                </c:pt>
                <c:pt idx="431">
                  <c:v>71.6730211528409</c:v>
                </c:pt>
                <c:pt idx="432">
                  <c:v>71.6736180978381</c:v>
                </c:pt>
                <c:pt idx="433">
                  <c:v>71.6742150366181</c:v>
                </c:pt>
                <c:pt idx="434">
                  <c:v>71.6748119691808</c:v>
                </c:pt>
                <c:pt idx="435">
                  <c:v>71.6754088955263</c:v>
                </c:pt>
                <c:pt idx="436">
                  <c:v>71.6760058156545</c:v>
                </c:pt>
                <c:pt idx="437">
                  <c:v>71.6766027295655</c:v>
                </c:pt>
                <c:pt idx="438">
                  <c:v>71.6771996372592</c:v>
                </c:pt>
                <c:pt idx="439">
                  <c:v>71.6777965387355</c:v>
                </c:pt>
                <c:pt idx="440">
                  <c:v>71.6783934339946</c:v>
                </c:pt>
                <c:pt idx="441">
                  <c:v>71.6789903230364</c:v>
                </c:pt>
                <c:pt idx="442">
                  <c:v>71.6795872058609</c:v>
                </c:pt>
                <c:pt idx="443">
                  <c:v>71.6801840824681</c:v>
                </c:pt>
                <c:pt idx="444">
                  <c:v>71.680780952858</c:v>
                </c:pt>
                <c:pt idx="445">
                  <c:v>71.6813778170305</c:v>
                </c:pt>
                <c:pt idx="446">
                  <c:v>71.6819746749857</c:v>
                </c:pt>
                <c:pt idx="447">
                  <c:v>71.6825715267235</c:v>
                </c:pt>
                <c:pt idx="448">
                  <c:v>71.683168372244</c:v>
                </c:pt>
                <c:pt idx="449">
                  <c:v>71.6837652115471</c:v>
                </c:pt>
                <c:pt idx="450">
                  <c:v>71.6843620446329</c:v>
                </c:pt>
                <c:pt idx="451">
                  <c:v>71.6849588715012</c:v>
                </c:pt>
                <c:pt idx="452">
                  <c:v>71.6855556921522</c:v>
                </c:pt>
                <c:pt idx="453">
                  <c:v>71.6861525065858</c:v>
                </c:pt>
                <c:pt idx="454">
                  <c:v>71.686749314802</c:v>
                </c:pt>
                <c:pt idx="455">
                  <c:v>71.6873461168008</c:v>
                </c:pt>
                <c:pt idx="456">
                  <c:v>71.6879429125821</c:v>
                </c:pt>
                <c:pt idx="457">
                  <c:v>71.688539702146</c:v>
                </c:pt>
                <c:pt idx="458">
                  <c:v>71.6891364854925</c:v>
                </c:pt>
                <c:pt idx="459">
                  <c:v>71.6897332626215</c:v>
                </c:pt>
                <c:pt idx="460">
                  <c:v>71.6903300335331</c:v>
                </c:pt>
                <c:pt idx="461">
                  <c:v>71.6909267982272</c:v>
                </c:pt>
                <c:pt idx="462">
                  <c:v>71.6915235567039</c:v>
                </c:pt>
                <c:pt idx="463">
                  <c:v>71.6921203089631</c:v>
                </c:pt>
                <c:pt idx="464">
                  <c:v>71.6927170550048</c:v>
                </c:pt>
                <c:pt idx="465">
                  <c:v>71.6933137948289</c:v>
                </c:pt>
                <c:pt idx="466">
                  <c:v>71.6939105284357</c:v>
                </c:pt>
                <c:pt idx="467">
                  <c:v>71.6945072558249</c:v>
                </c:pt>
                <c:pt idx="468">
                  <c:v>71.6951039769965</c:v>
                </c:pt>
                <c:pt idx="469">
                  <c:v>71.6957006919507</c:v>
                </c:pt>
                <c:pt idx="470">
                  <c:v>71.6962974006873</c:v>
                </c:pt>
                <c:pt idx="471">
                  <c:v>71.6968941032064</c:v>
                </c:pt>
                <c:pt idx="472">
                  <c:v>71.6974907995079</c:v>
                </c:pt>
                <c:pt idx="473">
                  <c:v>71.6980874895918</c:v>
                </c:pt>
                <c:pt idx="474">
                  <c:v>71.6986841734583</c:v>
                </c:pt>
                <c:pt idx="475">
                  <c:v>71.6992808511071</c:v>
                </c:pt>
                <c:pt idx="476">
                  <c:v>71.6998775225383</c:v>
                </c:pt>
                <c:pt idx="477">
                  <c:v>71.700474187752</c:v>
                </c:pt>
                <c:pt idx="478">
                  <c:v>71.701070846748</c:v>
                </c:pt>
                <c:pt idx="479">
                  <c:v>71.7016674995265</c:v>
                </c:pt>
                <c:pt idx="480">
                  <c:v>71.7022641460874</c:v>
                </c:pt>
                <c:pt idx="481">
                  <c:v>71.7028607864306</c:v>
                </c:pt>
                <c:pt idx="482">
                  <c:v>71.7034574205562</c:v>
                </c:pt>
                <c:pt idx="483">
                  <c:v>71.7040540484641</c:v>
                </c:pt>
                <c:pt idx="484">
                  <c:v>71.7046506701545</c:v>
                </c:pt>
                <c:pt idx="485">
                  <c:v>71.7052472856271</c:v>
                </c:pt>
                <c:pt idx="486">
                  <c:v>71.7058438948821</c:v>
                </c:pt>
                <c:pt idx="487">
                  <c:v>71.7064404979194</c:v>
                </c:pt>
                <c:pt idx="488">
                  <c:v>71.7070370947391</c:v>
                </c:pt>
                <c:pt idx="489">
                  <c:v>71.7076336853411</c:v>
                </c:pt>
                <c:pt idx="490">
                  <c:v>71.7082302697254</c:v>
                </c:pt>
                <c:pt idx="491">
                  <c:v>71.7088268478919</c:v>
                </c:pt>
                <c:pt idx="492">
                  <c:v>71.7094234198408</c:v>
                </c:pt>
                <c:pt idx="493">
                  <c:v>71.7100199855719</c:v>
                </c:pt>
                <c:pt idx="494">
                  <c:v>71.7106165450853</c:v>
                </c:pt>
                <c:pt idx="495">
                  <c:v>71.711213098381</c:v>
                </c:pt>
                <c:pt idx="496">
                  <c:v>71.711809645459</c:v>
                </c:pt>
                <c:pt idx="497">
                  <c:v>71.7124061863192</c:v>
                </c:pt>
                <c:pt idx="498">
                  <c:v>71.7130027209616</c:v>
                </c:pt>
                <c:pt idx="499">
                  <c:v>71.7135992493863</c:v>
                </c:pt>
                <c:pt idx="500">
                  <c:v>71.7141957715932</c:v>
                </c:pt>
                <c:pt idx="501">
                  <c:v>71.7147922875823</c:v>
                </c:pt>
                <c:pt idx="502">
                  <c:v>71.7153887973537</c:v>
                </c:pt>
                <c:pt idx="503">
                  <c:v>71.7159853009072</c:v>
                </c:pt>
                <c:pt idx="504">
                  <c:v>71.716581798243</c:v>
                </c:pt>
                <c:pt idx="505">
                  <c:v>71.7171782893609</c:v>
                </c:pt>
                <c:pt idx="506">
                  <c:v>71.717774774261</c:v>
                </c:pt>
                <c:pt idx="507">
                  <c:v>71.7183712529432</c:v>
                </c:pt>
                <c:pt idx="508">
                  <c:v>71.7189677254077</c:v>
                </c:pt>
                <c:pt idx="509">
                  <c:v>71.7195641916543</c:v>
                </c:pt>
                <c:pt idx="510">
                  <c:v>71.720160651683</c:v>
                </c:pt>
                <c:pt idx="511">
                  <c:v>71.7207571054939</c:v>
                </c:pt>
                <c:pt idx="512">
                  <c:v>71.7213535530869</c:v>
                </c:pt>
                <c:pt idx="513">
                  <c:v>71.7219499944621</c:v>
                </c:pt>
                <c:pt idx="514">
                  <c:v>71.7225464296193</c:v>
                </c:pt>
                <c:pt idx="515">
                  <c:v>71.7231428585587</c:v>
                </c:pt>
                <c:pt idx="516">
                  <c:v>71.7237392812801</c:v>
                </c:pt>
                <c:pt idx="517">
                  <c:v>71.7243356977837</c:v>
                </c:pt>
                <c:pt idx="518">
                  <c:v>71.7249321080693</c:v>
                </c:pt>
                <c:pt idx="519">
                  <c:v>71.7255285121371</c:v>
                </c:pt>
                <c:pt idx="520">
                  <c:v>71.7261249099868</c:v>
                </c:pt>
                <c:pt idx="521">
                  <c:v>71.7267213016187</c:v>
                </c:pt>
                <c:pt idx="522">
                  <c:v>71.7273176870326</c:v>
                </c:pt>
                <c:pt idx="523">
                  <c:v>71.7279140662285</c:v>
                </c:pt>
                <c:pt idx="524">
                  <c:v>71.7285104392065</c:v>
                </c:pt>
                <c:pt idx="525">
                  <c:v>71.7291068059665</c:v>
                </c:pt>
                <c:pt idx="526">
                  <c:v>71.7297031665085</c:v>
                </c:pt>
                <c:pt idx="527">
                  <c:v>71.7302995208326</c:v>
                </c:pt>
                <c:pt idx="528">
                  <c:v>71.7308958689386</c:v>
                </c:pt>
                <c:pt idx="529">
                  <c:v>71.7314922108266</c:v>
                </c:pt>
                <c:pt idx="530">
                  <c:v>71.7320885464967</c:v>
                </c:pt>
                <c:pt idx="531">
                  <c:v>71.7326848759487</c:v>
                </c:pt>
                <c:pt idx="532">
                  <c:v>71.7332811991827</c:v>
                </c:pt>
                <c:pt idx="533">
                  <c:v>71.7338775161986</c:v>
                </c:pt>
                <c:pt idx="534">
                  <c:v>71.7344738269965</c:v>
                </c:pt>
                <c:pt idx="535">
                  <c:v>71.7350701315764</c:v>
                </c:pt>
                <c:pt idx="536">
                  <c:v>71.7356664299382</c:v>
                </c:pt>
                <c:pt idx="537">
                  <c:v>71.7362627220819</c:v>
                </c:pt>
                <c:pt idx="538">
                  <c:v>71.7368590080076</c:v>
                </c:pt>
                <c:pt idx="539">
                  <c:v>71.7374552877152</c:v>
                </c:pt>
                <c:pt idx="540">
                  <c:v>71.7380515612046</c:v>
                </c:pt>
                <c:pt idx="541">
                  <c:v>71.7386478284761</c:v>
                </c:pt>
                <c:pt idx="542">
                  <c:v>71.7392440895293</c:v>
                </c:pt>
                <c:pt idx="543">
                  <c:v>71.7398403443645</c:v>
                </c:pt>
                <c:pt idx="544">
                  <c:v>71.7404365929816</c:v>
                </c:pt>
                <c:pt idx="545">
                  <c:v>71.7410328353805</c:v>
                </c:pt>
                <c:pt idx="546">
                  <c:v>71.7416290715613</c:v>
                </c:pt>
                <c:pt idx="547">
                  <c:v>71.7422253015239</c:v>
                </c:pt>
                <c:pt idx="548">
                  <c:v>71.7428215252684</c:v>
                </c:pt>
                <c:pt idx="549">
                  <c:v>71.7434177427947</c:v>
                </c:pt>
                <c:pt idx="550">
                  <c:v>71.7440139541029</c:v>
                </c:pt>
                <c:pt idx="551">
                  <c:v>71.7446101591929</c:v>
                </c:pt>
                <c:pt idx="552">
                  <c:v>71.7452063580647</c:v>
                </c:pt>
                <c:pt idx="553">
                  <c:v>71.7458025507183</c:v>
                </c:pt>
                <c:pt idx="554">
                  <c:v>71.7463987371537</c:v>
                </c:pt>
                <c:pt idx="555">
                  <c:v>71.7469949173709</c:v>
                </c:pt>
                <c:pt idx="556">
                  <c:v>71.7475910913699</c:v>
                </c:pt>
                <c:pt idx="557">
                  <c:v>71.7481872591506</c:v>
                </c:pt>
                <c:pt idx="558">
                  <c:v>71.7487834207132</c:v>
                </c:pt>
                <c:pt idx="559">
                  <c:v>71.7493795760574</c:v>
                </c:pt>
                <c:pt idx="560">
                  <c:v>71.7499757251835</c:v>
                </c:pt>
                <c:pt idx="561">
                  <c:v>71.7505718680913</c:v>
                </c:pt>
                <c:pt idx="562">
                  <c:v>71.7511680047808</c:v>
                </c:pt>
                <c:pt idx="563">
                  <c:v>71.7517641352521</c:v>
                </c:pt>
                <c:pt idx="564">
                  <c:v>71.752360259505</c:v>
                </c:pt>
                <c:pt idx="565">
                  <c:v>71.7529563775397</c:v>
                </c:pt>
                <c:pt idx="566">
                  <c:v>71.7535524893561</c:v>
                </c:pt>
                <c:pt idx="567">
                  <c:v>71.7541485949542</c:v>
                </c:pt>
                <c:pt idx="568">
                  <c:v>71.754744694334</c:v>
                </c:pt>
                <c:pt idx="569">
                  <c:v>71.7553407874955</c:v>
                </c:pt>
                <c:pt idx="570">
                  <c:v>71.7559368744386</c:v>
                </c:pt>
                <c:pt idx="571">
                  <c:v>71.7565329551635</c:v>
                </c:pt>
                <c:pt idx="572">
                  <c:v>71.7571290296699</c:v>
                </c:pt>
                <c:pt idx="573">
                  <c:v>71.7577250979581</c:v>
                </c:pt>
                <c:pt idx="574">
                  <c:v>71.7583211600278</c:v>
                </c:pt>
                <c:pt idx="575">
                  <c:v>71.7589172158792</c:v>
                </c:pt>
                <c:pt idx="576">
                  <c:v>71.7595132655123</c:v>
                </c:pt>
                <c:pt idx="577">
                  <c:v>71.7601093089269</c:v>
                </c:pt>
                <c:pt idx="578">
                  <c:v>71.7607053461232</c:v>
                </c:pt>
                <c:pt idx="579">
                  <c:v>71.7613013771011</c:v>
                </c:pt>
                <c:pt idx="580">
                  <c:v>71.7618974018605</c:v>
                </c:pt>
                <c:pt idx="581">
                  <c:v>71.7624934204016</c:v>
                </c:pt>
                <c:pt idx="582">
                  <c:v>71.7630894327242</c:v>
                </c:pt>
                <c:pt idx="583">
                  <c:v>71.7636854388284</c:v>
                </c:pt>
                <c:pt idx="584">
                  <c:v>71.7642814387142</c:v>
                </c:pt>
                <c:pt idx="585">
                  <c:v>71.7648774323815</c:v>
                </c:pt>
                <c:pt idx="586">
                  <c:v>71.7654734198304</c:v>
                </c:pt>
                <c:pt idx="587">
                  <c:v>71.7660694010609</c:v>
                </c:pt>
                <c:pt idx="588">
                  <c:v>71.7666653760728</c:v>
                </c:pt>
                <c:pt idx="589">
                  <c:v>71.7672613448663</c:v>
                </c:pt>
                <c:pt idx="590">
                  <c:v>71.7678573074413</c:v>
                </c:pt>
                <c:pt idx="591">
                  <c:v>71.7684532637978</c:v>
                </c:pt>
                <c:pt idx="592">
                  <c:v>71.7690492139359</c:v>
                </c:pt>
                <c:pt idx="593">
                  <c:v>71.7696451578554</c:v>
                </c:pt>
                <c:pt idx="594">
                  <c:v>71.7702410955564</c:v>
                </c:pt>
                <c:pt idx="595">
                  <c:v>71.7708370270389</c:v>
                </c:pt>
                <c:pt idx="596">
                  <c:v>71.7714329523028</c:v>
                </c:pt>
                <c:pt idx="597">
                  <c:v>71.7720288713483</c:v>
                </c:pt>
                <c:pt idx="598">
                  <c:v>71.7726247841751</c:v>
                </c:pt>
                <c:pt idx="599">
                  <c:v>71.7732206907835</c:v>
                </c:pt>
                <c:pt idx="600">
                  <c:v>71.7738165911732</c:v>
                </c:pt>
                <c:pt idx="601">
                  <c:v>71.7744124853444</c:v>
                </c:pt>
                <c:pt idx="602">
                  <c:v>71.7750083732971</c:v>
                </c:pt>
                <c:pt idx="603">
                  <c:v>71.7756042550311</c:v>
                </c:pt>
                <c:pt idx="604">
                  <c:v>71.7762001305466</c:v>
                </c:pt>
                <c:pt idx="605">
                  <c:v>71.7767959998434</c:v>
                </c:pt>
                <c:pt idx="606">
                  <c:v>71.7773918629217</c:v>
                </c:pt>
                <c:pt idx="607">
                  <c:v>71.7779877197813</c:v>
                </c:pt>
                <c:pt idx="608">
                  <c:v>71.7785835704223</c:v>
                </c:pt>
                <c:pt idx="609">
                  <c:v>71.7791794148447</c:v>
                </c:pt>
                <c:pt idx="610">
                  <c:v>71.7797752530485</c:v>
                </c:pt>
                <c:pt idx="611">
                  <c:v>71.7803710850336</c:v>
                </c:pt>
                <c:pt idx="612">
                  <c:v>71.7809669108001</c:v>
                </c:pt>
                <c:pt idx="613">
                  <c:v>71.7815627303479</c:v>
                </c:pt>
                <c:pt idx="614">
                  <c:v>71.782158543677</c:v>
                </c:pt>
                <c:pt idx="615">
                  <c:v>71.7827543507874</c:v>
                </c:pt>
                <c:pt idx="616">
                  <c:v>71.7833501516792</c:v>
                </c:pt>
                <c:pt idx="617">
                  <c:v>71.7839459463523</c:v>
                </c:pt>
                <c:pt idx="618">
                  <c:v>71.7845417348067</c:v>
                </c:pt>
                <c:pt idx="619">
                  <c:v>71.7851375170424</c:v>
                </c:pt>
                <c:pt idx="620">
                  <c:v>71.7857332930594</c:v>
                </c:pt>
                <c:pt idx="621">
                  <c:v>71.7863290628576</c:v>
                </c:pt>
                <c:pt idx="622">
                  <c:v>71.7869248264371</c:v>
                </c:pt>
                <c:pt idx="623">
                  <c:v>71.7875205837979</c:v>
                </c:pt>
                <c:pt idx="624">
                  <c:v>71.78811633494</c:v>
                </c:pt>
                <c:pt idx="625">
                  <c:v>71.7887120798633</c:v>
                </c:pt>
                <c:pt idx="626">
                  <c:v>71.7893078185678</c:v>
                </c:pt>
                <c:pt idx="627">
                  <c:v>71.7899035510536</c:v>
                </c:pt>
                <c:pt idx="628">
                  <c:v>71.7904992773205</c:v>
                </c:pt>
                <c:pt idx="629">
                  <c:v>71.7910949973688</c:v>
                </c:pt>
                <c:pt idx="630">
                  <c:v>71.7916907111981</c:v>
                </c:pt>
                <c:pt idx="631">
                  <c:v>71.7922864188088</c:v>
                </c:pt>
                <c:pt idx="632">
                  <c:v>71.7928821202006</c:v>
                </c:pt>
                <c:pt idx="633">
                  <c:v>71.7934778153736</c:v>
                </c:pt>
                <c:pt idx="634">
                  <c:v>71.7940735043277</c:v>
                </c:pt>
                <c:pt idx="635">
                  <c:v>71.7946691870631</c:v>
                </c:pt>
                <c:pt idx="636">
                  <c:v>71.7952648635796</c:v>
                </c:pt>
                <c:pt idx="637">
                  <c:v>71.7958605338773</c:v>
                </c:pt>
                <c:pt idx="638">
                  <c:v>71.7964561979561</c:v>
                </c:pt>
                <c:pt idx="639">
                  <c:v>71.797051855816</c:v>
                </c:pt>
                <c:pt idx="640">
                  <c:v>71.7976475074571</c:v>
                </c:pt>
                <c:pt idx="641">
                  <c:v>71.7982431528793</c:v>
                </c:pt>
                <c:pt idx="642">
                  <c:v>71.7988387920826</c:v>
                </c:pt>
                <c:pt idx="643">
                  <c:v>71.7994344250671</c:v>
                </c:pt>
                <c:pt idx="644">
                  <c:v>71.8000300518326</c:v>
                </c:pt>
                <c:pt idx="645">
                  <c:v>71.8006256723792</c:v>
                </c:pt>
                <c:pt idx="646">
                  <c:v>71.801221286707</c:v>
                </c:pt>
                <c:pt idx="647">
                  <c:v>71.8018168948158</c:v>
                </c:pt>
                <c:pt idx="648">
                  <c:v>71.8024124967056</c:v>
                </c:pt>
                <c:pt idx="649">
                  <c:v>71.8030080923766</c:v>
                </c:pt>
                <c:pt idx="650">
                  <c:v>71.8036036818286</c:v>
                </c:pt>
                <c:pt idx="651">
                  <c:v>71.8041992650616</c:v>
                </c:pt>
                <c:pt idx="652">
                  <c:v>71.8047948420757</c:v>
                </c:pt>
                <c:pt idx="653">
                  <c:v>71.8053904128708</c:v>
                </c:pt>
                <c:pt idx="654">
                  <c:v>71.805985977447</c:v>
                </c:pt>
                <c:pt idx="655">
                  <c:v>71.8065815358041</c:v>
                </c:pt>
                <c:pt idx="656">
                  <c:v>71.8071770879423</c:v>
                </c:pt>
                <c:pt idx="657">
                  <c:v>71.8077726338615</c:v>
                </c:pt>
                <c:pt idx="658">
                  <c:v>71.8083681735616</c:v>
                </c:pt>
                <c:pt idx="659">
                  <c:v>71.8089637070428</c:v>
                </c:pt>
                <c:pt idx="660">
                  <c:v>71.8095592343049</c:v>
                </c:pt>
                <c:pt idx="661">
                  <c:v>71.810154755348</c:v>
                </c:pt>
                <c:pt idx="662">
                  <c:v>71.8107502701721</c:v>
                </c:pt>
                <c:pt idx="663">
                  <c:v>71.8113457787772</c:v>
                </c:pt>
                <c:pt idx="664">
                  <c:v>71.8119412811631</c:v>
                </c:pt>
                <c:pt idx="665">
                  <c:v>71.81253677733</c:v>
                </c:pt>
                <c:pt idx="666">
                  <c:v>71.8131322672779</c:v>
                </c:pt>
                <c:pt idx="667">
                  <c:v>71.8137277510067</c:v>
                </c:pt>
                <c:pt idx="668">
                  <c:v>71.8143232285164</c:v>
                </c:pt>
                <c:pt idx="669">
                  <c:v>71.814918699807</c:v>
                </c:pt>
                <c:pt idx="670">
                  <c:v>71.8155141648785</c:v>
                </c:pt>
                <c:pt idx="671">
                  <c:v>71.8161096237309</c:v>
                </c:pt>
                <c:pt idx="672">
                  <c:v>71.8167050763642</c:v>
                </c:pt>
                <c:pt idx="673">
                  <c:v>71.8173005227784</c:v>
                </c:pt>
                <c:pt idx="674">
                  <c:v>71.8178959629734</c:v>
                </c:pt>
                <c:pt idx="675">
                  <c:v>71.8184913969493</c:v>
                </c:pt>
                <c:pt idx="676">
                  <c:v>71.8190868247061</c:v>
                </c:pt>
                <c:pt idx="677">
                  <c:v>71.8196822462437</c:v>
                </c:pt>
                <c:pt idx="678">
                  <c:v>71.8202776615622</c:v>
                </c:pt>
                <c:pt idx="679">
                  <c:v>71.8208730706615</c:v>
                </c:pt>
                <c:pt idx="680">
                  <c:v>71.8214684735416</c:v>
                </c:pt>
                <c:pt idx="681">
                  <c:v>71.8220638702026</c:v>
                </c:pt>
                <c:pt idx="682">
                  <c:v>71.8226592606443</c:v>
                </c:pt>
                <c:pt idx="683">
                  <c:v>71.8232546448669</c:v>
                </c:pt>
                <c:pt idx="684">
                  <c:v>71.8238500228703</c:v>
                </c:pt>
                <c:pt idx="685">
                  <c:v>71.8244453946544</c:v>
                </c:pt>
                <c:pt idx="686">
                  <c:v>71.8250407602193</c:v>
                </c:pt>
                <c:pt idx="687">
                  <c:v>71.825636119565</c:v>
                </c:pt>
                <c:pt idx="688">
                  <c:v>71.8262314726915</c:v>
                </c:pt>
                <c:pt idx="689">
                  <c:v>71.8268268195987</c:v>
                </c:pt>
                <c:pt idx="690">
                  <c:v>71.8274221602867</c:v>
                </c:pt>
                <c:pt idx="691">
                  <c:v>71.8280174947555</c:v>
                </c:pt>
                <c:pt idx="692">
                  <c:v>71.8286128230049</c:v>
                </c:pt>
                <c:pt idx="693">
                  <c:v>71.8292081450351</c:v>
                </c:pt>
                <c:pt idx="694">
                  <c:v>71.829803460846</c:v>
                </c:pt>
                <c:pt idx="695">
                  <c:v>71.8303987704377</c:v>
                </c:pt>
                <c:pt idx="696">
                  <c:v>71.83099407381</c:v>
                </c:pt>
                <c:pt idx="697">
                  <c:v>71.831589370963</c:v>
                </c:pt>
                <c:pt idx="698">
                  <c:v>71.8321846618968</c:v>
                </c:pt>
                <c:pt idx="699">
                  <c:v>71.8327799466112</c:v>
                </c:pt>
                <c:pt idx="700">
                  <c:v>71.8333752251063</c:v>
                </c:pt>
                <c:pt idx="701">
                  <c:v>71.833970497382</c:v>
                </c:pt>
                <c:pt idx="702">
                  <c:v>71.8345657634385</c:v>
                </c:pt>
                <c:pt idx="703">
                  <c:v>71.8351610232755</c:v>
                </c:pt>
                <c:pt idx="704">
                  <c:v>71.8357562768932</c:v>
                </c:pt>
                <c:pt idx="705">
                  <c:v>71.8363515242916</c:v>
                </c:pt>
                <c:pt idx="706">
                  <c:v>71.8369467654706</c:v>
                </c:pt>
                <c:pt idx="707">
                  <c:v>71.8375420004302</c:v>
                </c:pt>
                <c:pt idx="708">
                  <c:v>71.8381372291704</c:v>
                </c:pt>
                <c:pt idx="709">
                  <c:v>71.8387324516913</c:v>
                </c:pt>
                <c:pt idx="710">
                  <c:v>71.8393276679927</c:v>
                </c:pt>
                <c:pt idx="711">
                  <c:v>71.8399228780747</c:v>
                </c:pt>
                <c:pt idx="712">
                  <c:v>71.8405180819373</c:v>
                </c:pt>
                <c:pt idx="713">
                  <c:v>71.8411132795805</c:v>
                </c:pt>
                <c:pt idx="714">
                  <c:v>71.8417084710043</c:v>
                </c:pt>
                <c:pt idx="715">
                  <c:v>71.8423036562086</c:v>
                </c:pt>
                <c:pt idx="716">
                  <c:v>71.8428988351935</c:v>
                </c:pt>
                <c:pt idx="717">
                  <c:v>71.8434940079589</c:v>
                </c:pt>
                <c:pt idx="718">
                  <c:v>71.8440891745049</c:v>
                </c:pt>
                <c:pt idx="719">
                  <c:v>71.8446843348314</c:v>
                </c:pt>
                <c:pt idx="720">
                  <c:v>71.8452794889384</c:v>
                </c:pt>
                <c:pt idx="721">
                  <c:v>71.845874636826</c:v>
                </c:pt>
                <c:pt idx="722">
                  <c:v>71.846469778494</c:v>
                </c:pt>
                <c:pt idx="723">
                  <c:v>71.8470649139426</c:v>
                </c:pt>
                <c:pt idx="724">
                  <c:v>71.8476600431717</c:v>
                </c:pt>
                <c:pt idx="725">
                  <c:v>71.8482551661812</c:v>
                </c:pt>
                <c:pt idx="726">
                  <c:v>71.8488502829712</c:v>
                </c:pt>
                <c:pt idx="727">
                  <c:v>71.8494453935417</c:v>
                </c:pt>
                <c:pt idx="728">
                  <c:v>71.8500404978927</c:v>
                </c:pt>
                <c:pt idx="729">
                  <c:v>71.8506355960241</c:v>
                </c:pt>
                <c:pt idx="730">
                  <c:v>71.851230687936</c:v>
                </c:pt>
                <c:pt idx="731">
                  <c:v>71.8518257736283</c:v>
                </c:pt>
                <c:pt idx="732">
                  <c:v>71.8524208531011</c:v>
                </c:pt>
                <c:pt idx="733">
                  <c:v>71.8530159263542</c:v>
                </c:pt>
                <c:pt idx="734">
                  <c:v>71.8536109933878</c:v>
                </c:pt>
                <c:pt idx="735">
                  <c:v>71.8542060542018</c:v>
                </c:pt>
                <c:pt idx="736">
                  <c:v>71.8548011087962</c:v>
                </c:pt>
                <c:pt idx="737">
                  <c:v>71.8553961571711</c:v>
                </c:pt>
                <c:pt idx="738">
                  <c:v>71.8559911993263</c:v>
                </c:pt>
                <c:pt idx="739">
                  <c:v>71.8565862352619</c:v>
                </c:pt>
                <c:pt idx="740">
                  <c:v>71.8571812649778</c:v>
                </c:pt>
                <c:pt idx="741">
                  <c:v>71.8577762884742</c:v>
                </c:pt>
                <c:pt idx="742">
                  <c:v>71.8583713057509</c:v>
                </c:pt>
                <c:pt idx="743">
                  <c:v>71.8589663168079</c:v>
                </c:pt>
                <c:pt idx="744">
                  <c:v>71.8595613216453</c:v>
                </c:pt>
                <c:pt idx="745">
                  <c:v>71.860156320263</c:v>
                </c:pt>
                <c:pt idx="746">
                  <c:v>71.8607513126611</c:v>
                </c:pt>
                <c:pt idx="747">
                  <c:v>71.8613462988395</c:v>
                </c:pt>
                <c:pt idx="748">
                  <c:v>71.8619412787982</c:v>
                </c:pt>
                <c:pt idx="749">
                  <c:v>71.8625362525372</c:v>
                </c:pt>
                <c:pt idx="750">
                  <c:v>71.8631312200565</c:v>
                </c:pt>
                <c:pt idx="751">
                  <c:v>71.8637261813561</c:v>
                </c:pt>
                <c:pt idx="752">
                  <c:v>71.864321136436</c:v>
                </c:pt>
                <c:pt idx="753">
                  <c:v>71.8649160852962</c:v>
                </c:pt>
                <c:pt idx="754">
                  <c:v>71.8655110279366</c:v>
                </c:pt>
                <c:pt idx="755">
                  <c:v>71.8661059643573</c:v>
                </c:pt>
                <c:pt idx="756">
                  <c:v>71.8667008945583</c:v>
                </c:pt>
                <c:pt idx="757">
                  <c:v>71.8672958185395</c:v>
                </c:pt>
                <c:pt idx="758">
                  <c:v>71.867890736301</c:v>
                </c:pt>
                <c:pt idx="759">
                  <c:v>71.8684856478427</c:v>
                </c:pt>
                <c:pt idx="760">
                  <c:v>71.8690805531646</c:v>
                </c:pt>
                <c:pt idx="761">
                  <c:v>71.8696754522667</c:v>
                </c:pt>
                <c:pt idx="762">
                  <c:v>71.8702703451491</c:v>
                </c:pt>
                <c:pt idx="763">
                  <c:v>71.8708652318116</c:v>
                </c:pt>
                <c:pt idx="764">
                  <c:v>71.8714601122544</c:v>
                </c:pt>
                <c:pt idx="765">
                  <c:v>71.8720549864773</c:v>
                </c:pt>
                <c:pt idx="766">
                  <c:v>71.8726498544804</c:v>
                </c:pt>
                <c:pt idx="767">
                  <c:v>71.8732447162637</c:v>
                </c:pt>
                <c:pt idx="768">
                  <c:v>71.8738395718272</c:v>
                </c:pt>
                <c:pt idx="769">
                  <c:v>71.8744344211708</c:v>
                </c:pt>
                <c:pt idx="770">
                  <c:v>71.8750292642946</c:v>
                </c:pt>
                <c:pt idx="771">
                  <c:v>71.8756241011985</c:v>
                </c:pt>
                <c:pt idx="772">
                  <c:v>71.8762189318826</c:v>
                </c:pt>
                <c:pt idx="773">
                  <c:v>71.8768137563468</c:v>
                </c:pt>
                <c:pt idx="774">
                  <c:v>71.8774085745911</c:v>
                </c:pt>
                <c:pt idx="775">
                  <c:v>71.8780033866155</c:v>
                </c:pt>
                <c:pt idx="776">
                  <c:v>71.8785981924201</c:v>
                </c:pt>
                <c:pt idx="777">
                  <c:v>71.8791929920047</c:v>
                </c:pt>
                <c:pt idx="778">
                  <c:v>71.8797877853694</c:v>
                </c:pt>
                <c:pt idx="779">
                  <c:v>71.8803825725142</c:v>
                </c:pt>
                <c:pt idx="780">
                  <c:v>71.8809773534391</c:v>
                </c:pt>
                <c:pt idx="781">
                  <c:v>71.8815721281441</c:v>
                </c:pt>
                <c:pt idx="782">
                  <c:v>71.8821668966291</c:v>
                </c:pt>
                <c:pt idx="783">
                  <c:v>71.8827616588942</c:v>
                </c:pt>
                <c:pt idx="784">
                  <c:v>71.8833564149394</c:v>
                </c:pt>
                <c:pt idx="785">
                  <c:v>71.8839511647646</c:v>
                </c:pt>
                <c:pt idx="786">
                  <c:v>71.8845459083698</c:v>
                </c:pt>
                <c:pt idx="787">
                  <c:v>71.885140645755</c:v>
                </c:pt>
                <c:pt idx="788">
                  <c:v>71.8857353769203</c:v>
                </c:pt>
                <c:pt idx="789">
                  <c:v>71.8863301018656</c:v>
                </c:pt>
                <c:pt idx="790">
                  <c:v>71.8869248205909</c:v>
                </c:pt>
                <c:pt idx="791">
                  <c:v>71.8875195330961</c:v>
                </c:pt>
                <c:pt idx="792">
                  <c:v>71.8881142393814</c:v>
                </c:pt>
                <c:pt idx="793">
                  <c:v>71.8887089394467</c:v>
                </c:pt>
                <c:pt idx="794">
                  <c:v>71.8893036332919</c:v>
                </c:pt>
                <c:pt idx="795">
                  <c:v>71.8898983209171</c:v>
                </c:pt>
                <c:pt idx="796">
                  <c:v>71.8904930023222</c:v>
                </c:pt>
                <c:pt idx="797">
                  <c:v>71.8910876775073</c:v>
                </c:pt>
                <c:pt idx="798">
                  <c:v>71.8916823464724</c:v>
                </c:pt>
                <c:pt idx="799">
                  <c:v>71.8922770092174</c:v>
                </c:pt>
                <c:pt idx="800">
                  <c:v>71.8928716657423</c:v>
                </c:pt>
                <c:pt idx="801">
                  <c:v>71.8934663160472</c:v>
                </c:pt>
                <c:pt idx="802">
                  <c:v>71.894060960132</c:v>
                </c:pt>
                <c:pt idx="803">
                  <c:v>71.8946555979966</c:v>
                </c:pt>
                <c:pt idx="804">
                  <c:v>71.8952502296412</c:v>
                </c:pt>
                <c:pt idx="805">
                  <c:v>71.8958448550657</c:v>
                </c:pt>
                <c:pt idx="806">
                  <c:v>71.8964394742701</c:v>
                </c:pt>
                <c:pt idx="807">
                  <c:v>71.8970340872543</c:v>
                </c:pt>
                <c:pt idx="808">
                  <c:v>71.8976286940184</c:v>
                </c:pt>
                <c:pt idx="809">
                  <c:v>71.8982232945624</c:v>
                </c:pt>
                <c:pt idx="810">
                  <c:v>71.8988178888862</c:v>
                </c:pt>
                <c:pt idx="811">
                  <c:v>71.8994124769899</c:v>
                </c:pt>
                <c:pt idx="812">
                  <c:v>71.9000070588735</c:v>
                </c:pt>
                <c:pt idx="813">
                  <c:v>71.9006016345368</c:v>
                </c:pt>
                <c:pt idx="814">
                  <c:v>71.9011962039801</c:v>
                </c:pt>
                <c:pt idx="815">
                  <c:v>71.9017907672031</c:v>
                </c:pt>
                <c:pt idx="816">
                  <c:v>71.9023853242059</c:v>
                </c:pt>
                <c:pt idx="817">
                  <c:v>71.9029798749886</c:v>
                </c:pt>
                <c:pt idx="818">
                  <c:v>71.903574419551</c:v>
                </c:pt>
                <c:pt idx="819">
                  <c:v>71.9041689578932</c:v>
                </c:pt>
                <c:pt idx="820">
                  <c:v>71.9047634900153</c:v>
                </c:pt>
                <c:pt idx="821">
                  <c:v>71.9053580159171</c:v>
                </c:pt>
                <c:pt idx="822">
                  <c:v>71.9059525355986</c:v>
                </c:pt>
                <c:pt idx="823">
                  <c:v>71.90654704906</c:v>
                </c:pt>
                <c:pt idx="824">
                  <c:v>71.907141556301</c:v>
                </c:pt>
                <c:pt idx="825">
                  <c:v>71.9077360573219</c:v>
                </c:pt>
                <c:pt idx="826">
                  <c:v>71.9083305521225</c:v>
                </c:pt>
                <c:pt idx="827">
                  <c:v>71.9089250407028</c:v>
                </c:pt>
                <c:pt idx="828">
                  <c:v>71.9095195230628</c:v>
                </c:pt>
                <c:pt idx="829">
                  <c:v>71.9101139992026</c:v>
                </c:pt>
                <c:pt idx="830">
                  <c:v>71.910708469122</c:v>
                </c:pt>
                <c:pt idx="831">
                  <c:v>71.9113029328212</c:v>
                </c:pt>
                <c:pt idx="832">
                  <c:v>71.9118973903001</c:v>
                </c:pt>
                <c:pt idx="833">
                  <c:v>71.9124918415587</c:v>
                </c:pt>
                <c:pt idx="834">
                  <c:v>71.9130862865969</c:v>
                </c:pt>
                <c:pt idx="835">
                  <c:v>71.9136807254148</c:v>
                </c:pt>
                <c:pt idx="836">
                  <c:v>71.9142751580124</c:v>
                </c:pt>
                <c:pt idx="837">
                  <c:v>71.9148695843897</c:v>
                </c:pt>
                <c:pt idx="838">
                  <c:v>71.9154640045466</c:v>
                </c:pt>
                <c:pt idx="839">
                  <c:v>71.9160584184831</c:v>
                </c:pt>
                <c:pt idx="840">
                  <c:v>71.9166528261993</c:v>
                </c:pt>
                <c:pt idx="841">
                  <c:v>71.9172472276951</c:v>
                </c:pt>
                <c:pt idx="842">
                  <c:v>71.9178416229706</c:v>
                </c:pt>
                <c:pt idx="843">
                  <c:v>71.9184360120256</c:v>
                </c:pt>
                <c:pt idx="844">
                  <c:v>71.9190303948603</c:v>
                </c:pt>
                <c:pt idx="845">
                  <c:v>71.9196247714746</c:v>
                </c:pt>
                <c:pt idx="846">
                  <c:v>71.9202191418685</c:v>
                </c:pt>
                <c:pt idx="847">
                  <c:v>71.9208135060419</c:v>
                </c:pt>
                <c:pt idx="848">
                  <c:v>71.921407863995</c:v>
                </c:pt>
                <c:pt idx="849">
                  <c:v>71.9220022157276</c:v>
                </c:pt>
                <c:pt idx="850">
                  <c:v>71.9225965612398</c:v>
                </c:pt>
                <c:pt idx="851">
                  <c:v>71.9231909005316</c:v>
                </c:pt>
                <c:pt idx="852">
                  <c:v>71.9237852336029</c:v>
                </c:pt>
                <c:pt idx="853">
                  <c:v>71.9243795604537</c:v>
                </c:pt>
                <c:pt idx="854">
                  <c:v>71.9249738810841</c:v>
                </c:pt>
                <c:pt idx="855">
                  <c:v>71.925568195494</c:v>
                </c:pt>
                <c:pt idx="856">
                  <c:v>71.9261625036834</c:v>
                </c:pt>
                <c:pt idx="857">
                  <c:v>71.9267568056524</c:v>
                </c:pt>
                <c:pt idx="858">
                  <c:v>71.9273511014009</c:v>
                </c:pt>
                <c:pt idx="859">
                  <c:v>71.9279453909288</c:v>
                </c:pt>
                <c:pt idx="860">
                  <c:v>71.9285396742363</c:v>
                </c:pt>
                <c:pt idx="861">
                  <c:v>71.9291339513232</c:v>
                </c:pt>
                <c:pt idx="862">
                  <c:v>71.9297282221897</c:v>
                </c:pt>
                <c:pt idx="863">
                  <c:v>71.9303224868356</c:v>
                </c:pt>
                <c:pt idx="864">
                  <c:v>71.9309167452609</c:v>
                </c:pt>
                <c:pt idx="865">
                  <c:v>71.9315109974658</c:v>
                </c:pt>
                <c:pt idx="866">
                  <c:v>71.93210524345</c:v>
                </c:pt>
                <c:pt idx="867">
                  <c:v>71.9326994832137</c:v>
                </c:pt>
                <c:pt idx="868">
                  <c:v>71.9332937167569</c:v>
                </c:pt>
                <c:pt idx="869">
                  <c:v>71.9338879440795</c:v>
                </c:pt>
                <c:pt idx="870">
                  <c:v>71.9344821651815</c:v>
                </c:pt>
                <c:pt idx="871">
                  <c:v>71.9350763800629</c:v>
                </c:pt>
                <c:pt idx="872">
                  <c:v>71.9356705887238</c:v>
                </c:pt>
                <c:pt idx="873">
                  <c:v>71.936264791164</c:v>
                </c:pt>
                <c:pt idx="874">
                  <c:v>71.9368589873836</c:v>
                </c:pt>
                <c:pt idx="875">
                  <c:v>71.9374531773827</c:v>
                </c:pt>
                <c:pt idx="876">
                  <c:v>71.938047361161</c:v>
                </c:pt>
                <c:pt idx="877">
                  <c:v>71.9386415387188</c:v>
                </c:pt>
                <c:pt idx="878">
                  <c:v>71.9392357100559</c:v>
                </c:pt>
                <c:pt idx="879">
                  <c:v>71.9398298751724</c:v>
                </c:pt>
                <c:pt idx="880">
                  <c:v>71.9404240340683</c:v>
                </c:pt>
                <c:pt idx="881">
                  <c:v>71.9410181867435</c:v>
                </c:pt>
                <c:pt idx="882">
                  <c:v>71.941612333198</c:v>
                </c:pt>
                <c:pt idx="883">
                  <c:v>71.9422064734318</c:v>
                </c:pt>
                <c:pt idx="884">
                  <c:v>71.942800607445</c:v>
                </c:pt>
                <c:pt idx="885">
                  <c:v>71.9433947352375</c:v>
                </c:pt>
                <c:pt idx="886">
                  <c:v>71.9439888568093</c:v>
                </c:pt>
                <c:pt idx="887">
                  <c:v>71.9445829721604</c:v>
                </c:pt>
                <c:pt idx="888">
                  <c:v>71.9451770812908</c:v>
                </c:pt>
                <c:pt idx="889">
                  <c:v>71.9457711842005</c:v>
                </c:pt>
                <c:pt idx="890">
                  <c:v>71.9463652808894</c:v>
                </c:pt>
                <c:pt idx="891">
                  <c:v>71.9469593713577</c:v>
                </c:pt>
                <c:pt idx="892">
                  <c:v>71.9475534556051</c:v>
                </c:pt>
                <c:pt idx="893">
                  <c:v>71.9481475336319</c:v>
                </c:pt>
                <c:pt idx="894">
                  <c:v>71.9487416054379</c:v>
                </c:pt>
                <c:pt idx="895">
                  <c:v>71.9493356710231</c:v>
                </c:pt>
                <c:pt idx="896">
                  <c:v>71.9499297303876</c:v>
                </c:pt>
                <c:pt idx="897">
                  <c:v>71.9505237835313</c:v>
                </c:pt>
                <c:pt idx="898">
                  <c:v>71.9511178304542</c:v>
                </c:pt>
                <c:pt idx="899">
                  <c:v>71.9517118711564</c:v>
                </c:pt>
                <c:pt idx="900">
                  <c:v>71.9523059056377</c:v>
                </c:pt>
                <c:pt idx="901">
                  <c:v>71.9528999338983</c:v>
                </c:pt>
                <c:pt idx="902">
                  <c:v>71.953493955938</c:v>
                </c:pt>
                <c:pt idx="903">
                  <c:v>71.954087971757</c:v>
                </c:pt>
                <c:pt idx="904">
                  <c:v>71.9546819813551</c:v>
                </c:pt>
                <c:pt idx="905">
                  <c:v>71.9552759847324</c:v>
                </c:pt>
                <c:pt idx="906">
                  <c:v>71.9558699818888</c:v>
                </c:pt>
                <c:pt idx="907">
                  <c:v>71.9564639728244</c:v>
                </c:pt>
                <c:pt idx="908">
                  <c:v>71.9570579575392</c:v>
                </c:pt>
                <c:pt idx="909">
                  <c:v>71.9576519360331</c:v>
                </c:pt>
                <c:pt idx="910">
                  <c:v>71.9582459083061</c:v>
                </c:pt>
                <c:pt idx="911">
                  <c:v>71.9588398743583</c:v>
                </c:pt>
                <c:pt idx="912">
                  <c:v>71.9594338341896</c:v>
                </c:pt>
                <c:pt idx="913">
                  <c:v>71.9600277878</c:v>
                </c:pt>
                <c:pt idx="914">
                  <c:v>71.9606217351895</c:v>
                </c:pt>
                <c:pt idx="915">
                  <c:v>71.9612156763581</c:v>
                </c:pt>
                <c:pt idx="916">
                  <c:v>71.9618096113058</c:v>
                </c:pt>
                <c:pt idx="917">
                  <c:v>71.9624035400326</c:v>
                </c:pt>
                <c:pt idx="918">
                  <c:v>71.9629974625384</c:v>
                </c:pt>
                <c:pt idx="919">
                  <c:v>71.9635913788234</c:v>
                </c:pt>
                <c:pt idx="920">
                  <c:v>71.9641852888874</c:v>
                </c:pt>
                <c:pt idx="921">
                  <c:v>71.9647791927305</c:v>
                </c:pt>
                <c:pt idx="922">
                  <c:v>71.9653730903526</c:v>
                </c:pt>
                <c:pt idx="923">
                  <c:v>71.9659669817537</c:v>
                </c:pt>
                <c:pt idx="924">
                  <c:v>71.9665608669339</c:v>
                </c:pt>
                <c:pt idx="925">
                  <c:v>71.9671547458931</c:v>
                </c:pt>
                <c:pt idx="926">
                  <c:v>71.9677486186314</c:v>
                </c:pt>
                <c:pt idx="927">
                  <c:v>71.9683424851487</c:v>
                </c:pt>
                <c:pt idx="928">
                  <c:v>71.9689363454449</c:v>
                </c:pt>
                <c:pt idx="929">
                  <c:v>71.9695301995202</c:v>
                </c:pt>
                <c:pt idx="930">
                  <c:v>71.9701240473745</c:v>
                </c:pt>
                <c:pt idx="931">
                  <c:v>71.9707178890077</c:v>
                </c:pt>
                <c:pt idx="932">
                  <c:v>71.97131172442</c:v>
                </c:pt>
                <c:pt idx="933">
                  <c:v>71.9719055536112</c:v>
                </c:pt>
                <c:pt idx="934">
                  <c:v>71.9724993765814</c:v>
                </c:pt>
                <c:pt idx="935">
                  <c:v>71.9730931933305</c:v>
                </c:pt>
                <c:pt idx="936">
                  <c:v>71.9736870038586</c:v>
                </c:pt>
                <c:pt idx="937">
                  <c:v>71.9742808081656</c:v>
                </c:pt>
                <c:pt idx="938">
                  <c:v>71.9748746062516</c:v>
                </c:pt>
                <c:pt idx="939">
                  <c:v>71.9754683981165</c:v>
                </c:pt>
                <c:pt idx="940">
                  <c:v>71.9760621837603</c:v>
                </c:pt>
                <c:pt idx="941">
                  <c:v>71.9766559631831</c:v>
                </c:pt>
                <c:pt idx="942">
                  <c:v>71.9772497363847</c:v>
                </c:pt>
                <c:pt idx="943">
                  <c:v>71.9778435033653</c:v>
                </c:pt>
                <c:pt idx="944">
                  <c:v>71.9784372641247</c:v>
                </c:pt>
                <c:pt idx="945">
                  <c:v>71.9790310186631</c:v>
                </c:pt>
                <c:pt idx="946">
                  <c:v>71.9796247669803</c:v>
                </c:pt>
                <c:pt idx="947">
                  <c:v>71.9802185090764</c:v>
                </c:pt>
                <c:pt idx="948">
                  <c:v>71.9808122449513</c:v>
                </c:pt>
                <c:pt idx="949">
                  <c:v>71.9814059746051</c:v>
                </c:pt>
                <c:pt idx="950">
                  <c:v>71.9819996980378</c:v>
                </c:pt>
                <c:pt idx="951">
                  <c:v>71.9825934152493</c:v>
                </c:pt>
                <c:pt idx="952">
                  <c:v>71.9831871262397</c:v>
                </c:pt>
                <c:pt idx="953">
                  <c:v>71.9837808310089</c:v>
                </c:pt>
                <c:pt idx="954">
                  <c:v>71.9843745295569</c:v>
                </c:pt>
                <c:pt idx="955">
                  <c:v>71.9849682218838</c:v>
                </c:pt>
                <c:pt idx="956">
                  <c:v>71.9855619079894</c:v>
                </c:pt>
                <c:pt idx="957">
                  <c:v>71.9861555878739</c:v>
                </c:pt>
                <c:pt idx="958">
                  <c:v>71.9867492615371</c:v>
                </c:pt>
                <c:pt idx="959">
                  <c:v>71.9873429289791</c:v>
                </c:pt>
                <c:pt idx="960">
                  <c:v>71.9879365902</c:v>
                </c:pt>
                <c:pt idx="961">
                  <c:v>71.9885302451995</c:v>
                </c:pt>
                <c:pt idx="962">
                  <c:v>71.9891238939779</c:v>
                </c:pt>
                <c:pt idx="963">
                  <c:v>71.9897175365351</c:v>
                </c:pt>
                <c:pt idx="964">
                  <c:v>71.9903111728709</c:v>
                </c:pt>
                <c:pt idx="965">
                  <c:v>71.9909048029856</c:v>
                </c:pt>
                <c:pt idx="966">
                  <c:v>71.991498426879</c:v>
                </c:pt>
                <c:pt idx="967">
                  <c:v>71.992092044551</c:v>
                </c:pt>
                <c:pt idx="968">
                  <c:v>71.9926856560019</c:v>
                </c:pt>
                <c:pt idx="969">
                  <c:v>71.9932792612314</c:v>
                </c:pt>
                <c:pt idx="970">
                  <c:v>71.9938728602397</c:v>
                </c:pt>
                <c:pt idx="971">
                  <c:v>71.9944664530267</c:v>
                </c:pt>
                <c:pt idx="972">
                  <c:v>71.9950600395924</c:v>
                </c:pt>
                <c:pt idx="973">
                  <c:v>71.9956536199367</c:v>
                </c:pt>
                <c:pt idx="974">
                  <c:v>71.9962471940598</c:v>
                </c:pt>
                <c:pt idx="975">
                  <c:v>71.9968407619615</c:v>
                </c:pt>
                <c:pt idx="976">
                  <c:v>71.9974343236419</c:v>
                </c:pt>
                <c:pt idx="977">
                  <c:v>71.9980278791009</c:v>
                </c:pt>
                <c:pt idx="978">
                  <c:v>71.9986214283387</c:v>
                </c:pt>
                <c:pt idx="979">
                  <c:v>71.999214971355</c:v>
                </c:pt>
                <c:pt idx="980">
                  <c:v>71.99980850815</c:v>
                </c:pt>
                <c:pt idx="981">
                  <c:v>72.0004020387237</c:v>
                </c:pt>
                <c:pt idx="982">
                  <c:v>72.000995563076</c:v>
                </c:pt>
                <c:pt idx="983">
                  <c:v>72.0015890812068</c:v>
                </c:pt>
                <c:pt idx="984">
                  <c:v>72.0021825931164</c:v>
                </c:pt>
                <c:pt idx="985">
                  <c:v>72.0027760988045</c:v>
                </c:pt>
                <c:pt idx="986">
                  <c:v>72.0033695982712</c:v>
                </c:pt>
                <c:pt idx="987">
                  <c:v>72.0039630915165</c:v>
                </c:pt>
                <c:pt idx="988">
                  <c:v>72.0045565785404</c:v>
                </c:pt>
                <c:pt idx="989">
                  <c:v>72.0051500593429</c:v>
                </c:pt>
                <c:pt idx="990">
                  <c:v>72.005743533924</c:v>
                </c:pt>
                <c:pt idx="991">
                  <c:v>72.0063370022836</c:v>
                </c:pt>
                <c:pt idx="992">
                  <c:v>72.0069304644218</c:v>
                </c:pt>
                <c:pt idx="993">
                  <c:v>72.0075239203385</c:v>
                </c:pt>
                <c:pt idx="994">
                  <c:v>72.0081173700338</c:v>
                </c:pt>
                <c:pt idx="995">
                  <c:v>72.0087108135076</c:v>
                </c:pt>
                <c:pt idx="996">
                  <c:v>72.00930425076</c:v>
                </c:pt>
                <c:pt idx="997">
                  <c:v>72.0098976817909</c:v>
                </c:pt>
                <c:pt idx="998">
                  <c:v>72.0104911066003</c:v>
                </c:pt>
                <c:pt idx="999">
                  <c:v>72.0110845251882</c:v>
                </c:pt>
                <c:pt idx="1000">
                  <c:v>72.0116779375546</c:v>
                </c:pt>
              </c:numCache>
            </c:numRef>
          </c:yVal>
          <c:smooth val="0"/>
        </c:ser>
        <c:axId val="48683708"/>
        <c:axId val="88407320"/>
      </c:scatterChart>
      <c:valAx>
        <c:axId val="48683708"/>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8407320"/>
        <c:crosses val="autoZero"/>
        <c:crossBetween val="midCat"/>
      </c:valAx>
      <c:valAx>
        <c:axId val="88407320"/>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9798836317712"/>
              <c:y val="0.228376427352671"/>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48683708"/>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574940237247"/>
          <c:y val="0.0947630922693267"/>
          <c:w val="0.886698840828109"/>
          <c:h val="0.816773854836593"/>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Calculs!$AG$4:$AG$1004</c:f>
              <c:numCache>
                <c:formatCode>General</c:formatCode>
                <c:ptCount val="1001"/>
                <c:pt idx="1">
                  <c:v>30.4142290243527</c:v>
                </c:pt>
                <c:pt idx="2">
                  <c:v>110.641315664211</c:v>
                </c:pt>
                <c:pt idx="3">
                  <c:v>144.450610700151</c:v>
                </c:pt>
                <c:pt idx="4">
                  <c:v>131.709590414967</c:v>
                </c:pt>
                <c:pt idx="5">
                  <c:v>125.09630686084</c:v>
                </c:pt>
                <c:pt idx="6">
                  <c:v>124.629254503928</c:v>
                </c:pt>
                <c:pt idx="7">
                  <c:v>124.159008480666</c:v>
                </c:pt>
                <c:pt idx="8">
                  <c:v>123.685590871359</c:v>
                </c:pt>
                <c:pt idx="9">
                  <c:v>123.209024015932</c:v>
                </c:pt>
                <c:pt idx="10">
                  <c:v>122.729330509747</c:v>
                </c:pt>
                <c:pt idx="11">
                  <c:v>122.246533199375</c:v>
                </c:pt>
                <c:pt idx="12">
                  <c:v>121.760655178321</c:v>
                </c:pt>
                <c:pt idx="13">
                  <c:v>121.271719782701</c:v>
                </c:pt>
                <c:pt idx="14">
                  <c:v>120.779750586879</c:v>
                </c:pt>
                <c:pt idx="15">
                  <c:v>120.284771399061</c:v>
                </c:pt>
                <c:pt idx="16">
                  <c:v>119.786806256846</c:v>
                </c:pt>
                <c:pt idx="17">
                  <c:v>119.28587942274</c:v>
                </c:pt>
                <c:pt idx="18">
                  <c:v>118.782015379632</c:v>
                </c:pt>
                <c:pt idx="19">
                  <c:v>118.275238826234</c:v>
                </c:pt>
                <c:pt idx="20">
                  <c:v>117.765574672482</c:v>
                </c:pt>
                <c:pt idx="21">
                  <c:v>117.25304803491</c:v>
                </c:pt>
                <c:pt idx="22">
                  <c:v>116.737684231989</c:v>
                </c:pt>
                <c:pt idx="23">
                  <c:v>116.220612949315</c:v>
                </c:pt>
                <c:pt idx="24">
                  <c:v>115.700731045878</c:v>
                </c:pt>
                <c:pt idx="25">
                  <c:v>115.178051728264</c:v>
                </c:pt>
                <c:pt idx="26">
                  <c:v>114.652603879653</c:v>
                </c:pt>
                <c:pt idx="27">
                  <c:v>114.124416242638</c:v>
                </c:pt>
                <c:pt idx="28">
                  <c:v>113.593517461236</c:v>
                </c:pt>
                <c:pt idx="29">
                  <c:v>113.059936114548</c:v>
                </c:pt>
                <c:pt idx="30">
                  <c:v>112.523700743793</c:v>
                </c:pt>
                <c:pt idx="31">
                  <c:v>111.98483987403</c:v>
                </c:pt>
                <c:pt idx="32">
                  <c:v>111.443382031608</c:v>
                </c:pt>
                <c:pt idx="33">
                  <c:v>110.899355758122</c:v>
                </c:pt>
                <c:pt idx="34">
                  <c:v>110.352789621528</c:v>
                </c:pt>
                <c:pt idx="35">
                  <c:v>109.803712224902</c:v>
                </c:pt>
                <c:pt idx="36">
                  <c:v>109.252152213245</c:v>
                </c:pt>
                <c:pt idx="37">
                  <c:v>108.698138278667</c:v>
                </c:pt>
                <c:pt idx="38">
                  <c:v>108.141699164203</c:v>
                </c:pt>
                <c:pt idx="39">
                  <c:v>107.582863666483</c:v>
                </c:pt>
                <c:pt idx="40">
                  <c:v>107.021660637422</c:v>
                </c:pt>
                <c:pt idx="41">
                  <c:v>106.45811898509</c:v>
                </c:pt>
                <c:pt idx="42">
                  <c:v>105.892267673871</c:v>
                </c:pt>
                <c:pt idx="43">
                  <c:v>105.324135724018</c:v>
                </c:pt>
                <c:pt idx="44">
                  <c:v>104.753752210692</c:v>
                </c:pt>
                <c:pt idx="45">
                  <c:v>104.181146262549</c:v>
                </c:pt>
                <c:pt idx="46">
                  <c:v>103.606347059941</c:v>
                </c:pt>
                <c:pt idx="47">
                  <c:v>103.029383832787</c:v>
                </c:pt>
                <c:pt idx="48">
                  <c:v>102.450285858149</c:v>
                </c:pt>
                <c:pt idx="49">
                  <c:v>101.869082457558</c:v>
                </c:pt>
                <c:pt idx="50">
                  <c:v>101.285802994122</c:v>
                </c:pt>
                <c:pt idx="51">
                  <c:v>100.700476869443</c:v>
                </c:pt>
                <c:pt idx="52">
                  <c:v>100.113133520367</c:v>
                </c:pt>
                <c:pt idx="53">
                  <c:v>99.5238024155937</c:v>
                </c:pt>
                <c:pt idx="54">
                  <c:v>98.9325130521609</c:v>
                </c:pt>
                <c:pt idx="55">
                  <c:v>98.3392949518178</c:v>
                </c:pt>
                <c:pt idx="56">
                  <c:v>97.7441776573082</c:v>
                </c:pt>
                <c:pt idx="57">
                  <c:v>97.1471907285736</c:v>
                </c:pt>
                <c:pt idx="58">
                  <c:v>96.5483637388861</c:v>
                </c:pt>
                <c:pt idx="59">
                  <c:v>95.9477262709253</c:v>
                </c:pt>
                <c:pt idx="60">
                  <c:v>95.3453079128044</c:v>
                </c:pt>
                <c:pt idx="61">
                  <c:v>94.7411382540579</c:v>
                </c:pt>
                <c:pt idx="62">
                  <c:v>94.1352468815944</c:v>
                </c:pt>
                <c:pt idx="63">
                  <c:v>92.9807820925319</c:v>
                </c:pt>
                <c:pt idx="64">
                  <c:v>91.2771160796436</c:v>
                </c:pt>
                <c:pt idx="65">
                  <c:v>89.571164268098</c:v>
                </c:pt>
                <c:pt idx="66">
                  <c:v>87.8630381874074</c:v>
                </c:pt>
                <c:pt idx="67">
                  <c:v>85.6509567636823</c:v>
                </c:pt>
                <c:pt idx="68">
                  <c:v>82.9345480277854</c:v>
                </c:pt>
                <c:pt idx="69">
                  <c:v>79.3227928780918</c:v>
                </c:pt>
                <c:pt idx="70">
                  <c:v>74.8152288169707</c:v>
                </c:pt>
                <c:pt idx="71">
                  <c:v>70.3055194116779</c:v>
                </c:pt>
                <c:pt idx="72">
                  <c:v>65.7941306439724</c:v>
                </c:pt>
                <c:pt idx="73">
                  <c:v>61.2815202181319</c:v>
                </c:pt>
                <c:pt idx="74">
                  <c:v>56.7681374154352</c:v>
                </c:pt>
                <c:pt idx="75">
                  <c:v>52.2544229564923</c:v>
                </c:pt>
                <c:pt idx="76">
                  <c:v>47.7408088714029</c:v>
                </c:pt>
                <c:pt idx="77">
                  <c:v>43.2277183777134</c:v>
                </c:pt>
                <c:pt idx="78">
                  <c:v>38.7155657661295</c:v>
                </c:pt>
                <c:pt idx="79">
                  <c:v>34.2047562939315</c:v>
                </c:pt>
                <c:pt idx="80">
                  <c:v>29.6956860860303</c:v>
                </c:pt>
                <c:pt idx="81">
                  <c:v>26.2533461364269</c:v>
                </c:pt>
                <c:pt idx="82">
                  <c:v>23.8776197426556</c:v>
                </c:pt>
                <c:pt idx="83">
                  <c:v>21.503215000166</c:v>
                </c:pt>
                <c:pt idx="84">
                  <c:v>19.1302441845813</c:v>
                </c:pt>
                <c:pt idx="85">
                  <c:v>16.7588169355889</c:v>
                </c:pt>
                <c:pt idx="86">
                  <c:v>14.3890402490438</c:v>
                </c:pt>
                <c:pt idx="87">
                  <c:v>12.0210184701843</c:v>
                </c:pt>
                <c:pt idx="88">
                  <c:v>9.65485328794191</c:v>
                </c:pt>
                <c:pt idx="89">
                  <c:v>7.62723069621827</c:v>
                </c:pt>
                <c:pt idx="90">
                  <c:v>5.93797242393254</c:v>
                </c:pt>
                <c:pt idx="91">
                  <c:v>4.25021364072297</c:v>
                </c:pt>
                <c:pt idx="92">
                  <c:v>2.56400216566316</c:v>
                </c:pt>
                <c:pt idx="93">
                  <c:v>0.96356024547309</c:v>
                </c:pt>
                <c:pt idx="94">
                  <c:v>-0.55114621034039</c:v>
                </c:pt>
                <c:pt idx="95">
                  <c:v>-2.06434560166791</c:v>
                </c:pt>
                <c:pt idx="96">
                  <c:v>-3.57600366531425</c:v>
                </c:pt>
                <c:pt idx="97">
                  <c:v>-4.74931108159985</c:v>
                </c:pt>
                <c:pt idx="98">
                  <c:v>-5.58458849332663</c:v>
                </c:pt>
                <c:pt idx="99">
                  <c:v>-6.41897662184791</c:v>
                </c:pt>
                <c:pt idx="100">
                  <c:v>-7.25246745476025</c:v>
                </c:pt>
                <c:pt idx="101">
                  <c:v>-8.08505330873821</c:v>
                </c:pt>
                <c:pt idx="102">
                  <c:v>-8.91672682819469</c:v>
                </c:pt>
                <c:pt idx="103">
                  <c:v>-9.74748098391078</c:v>
                </c:pt>
                <c:pt idx="104">
                  <c:v>-10.5773090716361</c:v>
                </c:pt>
                <c:pt idx="105">
                  <c:v>-11.4062047106606</c:v>
                </c:pt>
                <c:pt idx="106">
                  <c:v>-12.234161842359</c:v>
                </c:pt>
                <c:pt idx="107">
                  <c:v>-13.0611747287088</c:v>
                </c:pt>
                <c:pt idx="108">
                  <c:v>-13.8872379507823</c:v>
                </c:pt>
                <c:pt idx="109">
                  <c:v>-14.2912839029899</c:v>
                </c:pt>
                <c:pt idx="110">
                  <c:v>-14.2738157059141</c:v>
                </c:pt>
                <c:pt idx="111">
                  <c:v>-14.2563985985025</c:v>
                </c:pt>
                <c:pt idx="112">
                  <c:v>-14.2390323823432</c:v>
                </c:pt>
                <c:pt idx="113">
                  <c:v>-14.2217168598461</c:v>
                </c:pt>
                <c:pt idx="114">
                  <c:v>-14.2044518342373</c:v>
                </c:pt>
                <c:pt idx="115">
                  <c:v>-14.1872371095538</c:v>
                </c:pt>
                <c:pt idx="116">
                  <c:v>-14.1700724906377</c:v>
                </c:pt>
                <c:pt idx="117">
                  <c:v>-14.152957783131</c:v>
                </c:pt>
                <c:pt idx="118">
                  <c:v>-14.1358927934696</c:v>
                </c:pt>
                <c:pt idx="119">
                  <c:v>-14.1188773288783</c:v>
                </c:pt>
                <c:pt idx="120">
                  <c:v>-14.1019111973654</c:v>
                </c:pt>
                <c:pt idx="121">
                  <c:v>-14.0849942077168</c:v>
                </c:pt>
                <c:pt idx="122">
                  <c:v>-14.0681261694912</c:v>
                </c:pt>
                <c:pt idx="123">
                  <c:v>-14.0513068930144</c:v>
                </c:pt>
                <c:pt idx="124">
                  <c:v>-14.034536189374</c:v>
                </c:pt>
                <c:pt idx="125">
                  <c:v>-14.0178138704143</c:v>
                </c:pt>
                <c:pt idx="126">
                  <c:v>-14.0011397487307</c:v>
                </c:pt>
                <c:pt idx="127">
                  <c:v>-13.9845136376647</c:v>
                </c:pt>
                <c:pt idx="128">
                  <c:v>-13.9679353512985</c:v>
                </c:pt>
                <c:pt idx="129">
                  <c:v>-13.9514047044501</c:v>
                </c:pt>
                <c:pt idx="130">
                  <c:v>-13.9349215126677</c:v>
                </c:pt>
                <c:pt idx="131">
                  <c:v>-13.9184855922247</c:v>
                </c:pt>
                <c:pt idx="132">
                  <c:v>-13.9020967601146</c:v>
                </c:pt>
                <c:pt idx="133">
                  <c:v>-13.8857548340459</c:v>
                </c:pt>
                <c:pt idx="134">
                  <c:v>-13.869459632437</c:v>
                </c:pt>
                <c:pt idx="135">
                  <c:v>-13.8532109744109</c:v>
                </c:pt>
                <c:pt idx="136">
                  <c:v>-13.8370086797906</c:v>
                </c:pt>
                <c:pt idx="137">
                  <c:v>-13.8208525690934</c:v>
                </c:pt>
                <c:pt idx="138">
                  <c:v>-13.8047424635267</c:v>
                </c:pt>
                <c:pt idx="139">
                  <c:v>-13.7886781849824</c:v>
                </c:pt>
                <c:pt idx="140">
                  <c:v>-13.7726595560319</c:v>
                </c:pt>
                <c:pt idx="141">
                  <c:v>-13.7566863999217</c:v>
                </c:pt>
                <c:pt idx="142">
                  <c:v>-13.7407585405679</c:v>
                </c:pt>
                <c:pt idx="143">
                  <c:v>-13.7248758025517</c:v>
                </c:pt>
                <c:pt idx="144">
                  <c:v>-13.709038011114</c:v>
                </c:pt>
                <c:pt idx="145">
                  <c:v>-13.693244992151</c:v>
                </c:pt>
                <c:pt idx="146">
                  <c:v>-13.6774965722094</c:v>
                </c:pt>
                <c:pt idx="147">
                  <c:v>-13.6617925784809</c:v>
                </c:pt>
                <c:pt idx="148">
                  <c:v>-13.6461328387981</c:v>
                </c:pt>
                <c:pt idx="149">
                  <c:v>-13.6305171816294</c:v>
                </c:pt>
                <c:pt idx="150">
                  <c:v>-13.6149454360741</c:v>
                </c:pt>
                <c:pt idx="151">
                  <c:v>-13.5994174318577</c:v>
                </c:pt>
                <c:pt idx="152">
                  <c:v>-13.5839329993275</c:v>
                </c:pt>
                <c:pt idx="153">
                  <c:v>-13.5684919694471</c:v>
                </c:pt>
                <c:pt idx="154">
                  <c:v>-13.5530941737925</c:v>
                </c:pt>
                <c:pt idx="155">
                  <c:v>-13.5377394445469</c:v>
                </c:pt>
                <c:pt idx="156">
                  <c:v>-13.5224276144962</c:v>
                </c:pt>
                <c:pt idx="157">
                  <c:v>-13.5071585170242</c:v>
                </c:pt>
                <c:pt idx="158">
                  <c:v>-13.4919319861079</c:v>
                </c:pt>
                <c:pt idx="159">
                  <c:v>-13.4767478563133</c:v>
                </c:pt>
                <c:pt idx="160">
                  <c:v>-13.46160596279</c:v>
                </c:pt>
                <c:pt idx="161">
                  <c:v>-13.4465061412675</c:v>
                </c:pt>
                <c:pt idx="162">
                  <c:v>-13.4314482280496</c:v>
                </c:pt>
                <c:pt idx="163">
                  <c:v>-13.4164320600108</c:v>
                </c:pt>
                <c:pt idx="164">
                  <c:v>-13.401457474591</c:v>
                </c:pt>
                <c:pt idx="165">
                  <c:v>-13.3865243097913</c:v>
                </c:pt>
                <c:pt idx="166">
                  <c:v>-13.3716324041693</c:v>
                </c:pt>
                <c:pt idx="167">
                  <c:v>-13.3567815968347</c:v>
                </c:pt>
                <c:pt idx="168">
                  <c:v>-13.3419717274445</c:v>
                </c:pt>
                <c:pt idx="169">
                  <c:v>-13.327202636199</c:v>
                </c:pt>
                <c:pt idx="170">
                  <c:v>-13.3124741638368</c:v>
                </c:pt>
                <c:pt idx="171">
                  <c:v>-13.2977861516304</c:v>
                </c:pt>
                <c:pt idx="172">
                  <c:v>-13.2831384413822</c:v>
                </c:pt>
                <c:pt idx="173">
                  <c:v>-13.2685308754192</c:v>
                </c:pt>
                <c:pt idx="174">
                  <c:v>-13.2539632965895</c:v>
                </c:pt>
                <c:pt idx="175">
                  <c:v>-13.239435548257</c:v>
                </c:pt>
                <c:pt idx="176">
                  <c:v>-13.2249474742975</c:v>
                </c:pt>
                <c:pt idx="177">
                  <c:v>-13.2104989190941</c:v>
                </c:pt>
                <c:pt idx="178">
                  <c:v>-13.1960897275329</c:v>
                </c:pt>
                <c:pt idx="179">
                  <c:v>-13.1817197449983</c:v>
                </c:pt>
                <c:pt idx="180">
                  <c:v>-13.1673888173691</c:v>
                </c:pt>
                <c:pt idx="181">
                  <c:v>-13.1530967910136</c:v>
                </c:pt>
                <c:pt idx="182">
                  <c:v>-13.1388435127855</c:v>
                </c:pt>
                <c:pt idx="183">
                  <c:v>-13.1246288300197</c:v>
                </c:pt>
                <c:pt idx="184">
                  <c:v>-13.1104525905274</c:v>
                </c:pt>
                <c:pt idx="185">
                  <c:v>-13.0963146425924</c:v>
                </c:pt>
                <c:pt idx="186">
                  <c:v>-13.0822148349662</c:v>
                </c:pt>
                <c:pt idx="187">
                  <c:v>-13.0681530168641</c:v>
                </c:pt>
                <c:pt idx="188">
                  <c:v>-13.0541290379606</c:v>
                </c:pt>
                <c:pt idx="189">
                  <c:v>-13.040142748385</c:v>
                </c:pt>
                <c:pt idx="190">
                  <c:v>-13.0261939987174</c:v>
                </c:pt>
                <c:pt idx="191">
                  <c:v>-13.0122826399844</c:v>
                </c:pt>
                <c:pt idx="192">
                  <c:v>-12.9984085236543</c:v>
                </c:pt>
                <c:pt idx="193">
                  <c:v>-12.9845715016332</c:v>
                </c:pt>
                <c:pt idx="194">
                  <c:v>-12.9707714262609</c:v>
                </c:pt>
                <c:pt idx="195">
                  <c:v>-12.957008150306</c:v>
                </c:pt>
                <c:pt idx="196">
                  <c:v>-12.9432815269622</c:v>
                </c:pt>
                <c:pt idx="197">
                  <c:v>-12.9295914098437</c:v>
                </c:pt>
                <c:pt idx="198">
                  <c:v>-12.9159376529811</c:v>
                </c:pt>
                <c:pt idx="199">
                  <c:v>-12.9023201108169</c:v>
                </c:pt>
                <c:pt idx="200">
                  <c:v>-12.8887386382015</c:v>
                </c:pt>
                <c:pt idx="201">
                  <c:v>-12.8751930903888</c:v>
                </c:pt>
                <c:pt idx="202">
                  <c:v>-12.7411187474659</c:v>
                </c:pt>
                <c:pt idx="203">
                  <c:v>-12.6105219544841</c:v>
                </c:pt>
                <c:pt idx="204">
                  <c:v>-12.4832612536397</c:v>
                </c:pt>
                <c:pt idx="205">
                  <c:v>-12.3591984286252</c:v>
                </c:pt>
                <c:pt idx="206">
                  <c:v>-12.2381980620571</c:v>
                </c:pt>
                <c:pt idx="207">
                  <c:v>-12.1201270862977</c:v>
                </c:pt>
                <c:pt idx="208">
                  <c:v>-12.0048543238873</c:v>
                </c:pt>
                <c:pt idx="209">
                  <c:v>-11.892250013473</c:v>
                </c:pt>
                <c:pt idx="210">
                  <c:v>-11.7821853167145</c:v>
                </c:pt>
                <c:pt idx="211">
                  <c:v>-11.6745318011641</c:v>
                </c:pt>
                <c:pt idx="212">
                  <c:v>-11.569160893538</c:v>
                </c:pt>
                <c:pt idx="213">
                  <c:v>-11.4659432971102</c:v>
                </c:pt>
                <c:pt idx="214">
                  <c:v>-11.3647483661451</c:v>
                </c:pt>
                <c:pt idx="215">
                  <c:v>-11.2654434293234</c:v>
                </c:pt>
                <c:pt idx="216">
                  <c:v>-11.1678930529809</c:v>
                </c:pt>
                <c:pt idx="217">
                  <c:v>-11.0719582336393</c:v>
                </c:pt>
                <c:pt idx="218">
                  <c:v>-10.977495507736</c:v>
                </c:pt>
                <c:pt idx="219">
                  <c:v>-10.8843559645957</c:v>
                </c:pt>
                <c:pt idx="220">
                  <c:v>-10.792384146509</c:v>
                </c:pt>
                <c:pt idx="221">
                  <c:v>-10.7014168172025</c:v>
                </c:pt>
                <c:pt idx="222">
                  <c:v>-10.6112815769644</c:v>
                </c:pt>
                <c:pt idx="223">
                  <c:v>-10.5217952991316</c:v>
                </c:pt>
                <c:pt idx="224">
                  <c:v>-10.432762358465</c:v>
                </c:pt>
                <c:pt idx="225">
                  <c:v>-10.3439726170513</c:v>
                </c:pt>
                <c:pt idx="226">
                  <c:v>-10.2551991276367</c:v>
                </c:pt>
                <c:pt idx="227">
                  <c:v>-10.1661955076262</c:v>
                </c:pt>
                <c:pt idx="228">
                  <c:v>-10.0766929292331</c:v>
                </c:pt>
                <c:pt idx="229">
                  <c:v>-9.98639666231479</c:v>
                </c:pt>
                <c:pt idx="230">
                  <c:v>-9.89498209619856</c:v>
                </c:pt>
                <c:pt idx="231">
                  <c:v>-9.8020901552094</c:v>
                </c:pt>
                <c:pt idx="232">
                  <c:v>-9.70732200970537</c:v>
                </c:pt>
                <c:pt idx="233">
                  <c:v>-9.61023297036605</c:v>
                </c:pt>
                <c:pt idx="234">
                  <c:v>-9.510325438688</c:v>
                </c:pt>
                <c:pt idx="235">
                  <c:v>-9.40704077191272</c:v>
                </c:pt>
                <c:pt idx="236">
                  <c:v>-9.29974990734772</c:v>
                </c:pt>
                <c:pt idx="237">
                  <c:v>-9.18774258155906</c:v>
                </c:pt>
                <c:pt idx="238">
                  <c:v>-9.07021497791318</c:v>
                </c:pt>
                <c:pt idx="239">
                  <c:v>-8.94625564717495</c:v>
                </c:pt>
                <c:pt idx="240">
                  <c:v>-8.81482957905113</c:v>
                </c:pt>
                <c:pt idx="241">
                  <c:v>-8.67476037067521</c:v>
                </c:pt>
                <c:pt idx="242">
                  <c:v>-8.52471055995171</c:v>
                </c:pt>
                <c:pt idx="243">
                  <c:v>-8.36316039428746</c:v>
                </c:pt>
                <c:pt idx="244">
                  <c:v>-8.1883856257008</c:v>
                </c:pt>
                <c:pt idx="245">
                  <c:v>-7.99843541114758</c:v>
                </c:pt>
                <c:pt idx="246">
                  <c:v>-7.79111211474257</c:v>
                </c:pt>
                <c:pt idx="247">
                  <c:v>-7.56395582919087</c:v>
                </c:pt>
                <c:pt idx="248">
                  <c:v>-7.31423782962595</c:v>
                </c:pt>
                <c:pt idx="249">
                  <c:v>-7.03896899140759</c:v>
                </c:pt>
                <c:pt idx="250">
                  <c:v>-6.73493141746651</c:v>
                </c:pt>
                <c:pt idx="251">
                  <c:v>-6.39874394569873</c:v>
                </c:pt>
                <c:pt idx="252">
                  <c:v>-6.02697437362643</c:v>
                </c:pt>
                <c:pt idx="253">
                  <c:v>-5.61631223501066</c:v>
                </c:pt>
                <c:pt idx="254">
                  <c:v>-5.16381430478776</c:v>
                </c:pt>
                <c:pt idx="255">
                  <c:v>-4.66722865875224</c:v>
                </c:pt>
                <c:pt idx="256">
                  <c:v>-4.12538990944009</c:v>
                </c:pt>
                <c:pt idx="257">
                  <c:v>-3.53865698270384</c:v>
                </c:pt>
                <c:pt idx="258">
                  <c:v>-2.90933710728652</c:v>
                </c:pt>
                <c:pt idx="259">
                  <c:v>-2.24201203484995</c:v>
                </c:pt>
                <c:pt idx="260">
                  <c:v>-1.54366686040679</c:v>
                </c:pt>
                <c:pt idx="261">
                  <c:v>-0.823532622446288</c:v>
                </c:pt>
                <c:pt idx="262">
                  <c:v>-0.0926003456987925</c:v>
                </c:pt>
                <c:pt idx="263">
                  <c:v>0.637159128100591</c:v>
                </c:pt>
                <c:pt idx="264">
                  <c:v>1.35375230075091</c:v>
                </c:pt>
                <c:pt idx="265">
                  <c:v>2.04612494605282</c:v>
                </c:pt>
                <c:pt idx="266">
                  <c:v>2.7049549464963</c:v>
                </c:pt>
                <c:pt idx="267">
                  <c:v>3.32315472790814</c:v>
                </c:pt>
                <c:pt idx="268">
                  <c:v>3.89604430827366</c:v>
                </c:pt>
                <c:pt idx="269">
                  <c:v>4.42123391512845</c:v>
                </c:pt>
                <c:pt idx="270">
                  <c:v>4.89830368504325</c:v>
                </c:pt>
                <c:pt idx="271">
                  <c:v>5.32838059267496</c:v>
                </c:pt>
                <c:pt idx="272">
                  <c:v>5.71369811203779</c:v>
                </c:pt>
                <c:pt idx="273">
                  <c:v>6.05719663777321</c:v>
                </c:pt>
                <c:pt idx="274">
                  <c:v>6.36219466925941</c:v>
                </c:pt>
                <c:pt idx="275">
                  <c:v>6.63213899685288</c:v>
                </c:pt>
                <c:pt idx="276">
                  <c:v>6.87042846646982</c:v>
                </c:pt>
                <c:pt idx="277">
                  <c:v>7.08029922910362</c:v>
                </c:pt>
                <c:pt idx="278">
                  <c:v>7.26475754472352</c:v>
                </c:pt>
                <c:pt idx="279">
                  <c:v>7.42654713393014</c:v>
                </c:pt>
                <c:pt idx="280">
                  <c:v>7.56814022812629</c:v>
                </c:pt>
                <c:pt idx="281">
                  <c:v>7.69174391634413</c:v>
                </c:pt>
                <c:pt idx="282">
                  <c:v>7.79931563435786</c:v>
                </c:pt>
                <c:pt idx="283">
                  <c:v>7.89258349326232</c:v>
                </c:pt>
                <c:pt idx="284">
                  <c:v>7.97306856861462</c:v>
                </c:pt>
                <c:pt idx="285">
                  <c:v>8.04210731345736</c:v>
                </c:pt>
                <c:pt idx="286">
                  <c:v>8.10087299197462</c:v>
                </c:pt>
                <c:pt idx="287">
                  <c:v>8.15039552909067</c:v>
                </c:pt>
                <c:pt idx="288">
                  <c:v>8.19157949881514</c:v>
                </c:pt>
                <c:pt idx="289">
                  <c:v>8.22522018115028</c:v>
                </c:pt>
                <c:pt idx="290">
                  <c:v>8.25201774189941</c:v>
                </c:pt>
                <c:pt idx="291">
                  <c:v>8.27258965923692</c:v>
                </c:pt>
                <c:pt idx="292">
                  <c:v>8.28748155474047</c:v>
                </c:pt>
                <c:pt idx="293">
                  <c:v>8.29717659801136</c:v>
                </c:pt>
                <c:pt idx="294">
                  <c:v>8.30210365193922</c:v>
                </c:pt>
                <c:pt idx="295">
                  <c:v>8.30264431597285</c:v>
                </c:pt>
                <c:pt idx="296">
                  <c:v>8.29913901121853</c:v>
                </c:pt>
                <c:pt idx="297">
                  <c:v>8.29189223616619</c:v>
                </c:pt>
                <c:pt idx="298">
                  <c:v>8.28117710676604</c:v>
                </c:pt>
                <c:pt idx="299">
                  <c:v>8.26723928025803</c:v>
                </c:pt>
                <c:pt idx="300">
                  <c:v>8.25030034901207</c:v>
                </c:pt>
                <c:pt idx="301">
                  <c:v>8.2305607788434</c:v>
                </c:pt>
                <c:pt idx="302">
                  <c:v>8.20820245585115</c:v>
                </c:pt>
                <c:pt idx="303">
                  <c:v>8.18339089673093</c:v>
                </c:pt>
                <c:pt idx="304">
                  <c:v>8.1562771696296</c:v>
                </c:pt>
                <c:pt idx="305">
                  <c:v>8.12699956582129</c:v>
                </c:pt>
                <c:pt idx="306">
                  <c:v>8.09568505665956</c:v>
                </c:pt>
                <c:pt idx="307">
                  <c:v>8.06245056527965</c:v>
                </c:pt>
                <c:pt idx="308">
                  <c:v>8.02740407827307</c:v>
                </c:pt>
                <c:pt idx="309">
                  <c:v>7.99064561893222</c:v>
                </c:pt>
                <c:pt idx="310">
                  <c:v>7.95226810057529</c:v>
                </c:pt>
                <c:pt idx="311">
                  <c:v>7.9123580758314</c:v>
                </c:pt>
                <c:pt idx="312">
                  <c:v>7.87099639552616</c:v>
                </c:pt>
                <c:pt idx="313">
                  <c:v>7.8282587888984</c:v>
                </c:pt>
                <c:pt idx="314">
                  <c:v>7.78421637525097</c:v>
                </c:pt>
                <c:pt idx="315">
                  <c:v>7.7389361157489</c:v>
                </c:pt>
                <c:pt idx="316">
                  <c:v>7.69248121289091</c:v>
                </c:pt>
                <c:pt idx="317">
                  <c:v>7.64491146416485</c:v>
                </c:pt>
                <c:pt idx="318">
                  <c:v>7.59628357552798</c:v>
                </c:pt>
                <c:pt idx="319">
                  <c:v>7.54665143960711</c:v>
                </c:pt>
                <c:pt idx="320">
                  <c:v>7.49606638287312</c:v>
                </c:pt>
                <c:pt idx="321">
                  <c:v>7.44457738549375</c:v>
                </c:pt>
                <c:pt idx="322">
                  <c:v>7.39223127709404</c:v>
                </c:pt>
                <c:pt idx="323">
                  <c:v>7.33907291124452</c:v>
                </c:pt>
                <c:pt idx="324">
                  <c:v>7.28514532114417</c:v>
                </c:pt>
                <c:pt idx="325">
                  <c:v>7.23048985865878</c:v>
                </c:pt>
                <c:pt idx="326">
                  <c:v>7.17514631861078</c:v>
                </c:pt>
                <c:pt idx="327">
                  <c:v>7.11915304998638</c:v>
                </c:pt>
                <c:pt idx="328">
                  <c:v>7.0625470555259</c:v>
                </c:pt>
                <c:pt idx="329">
                  <c:v>7.00536408098919</c:v>
                </c:pt>
                <c:pt idx="330">
                  <c:v>6.94763869523607</c:v>
                </c:pt>
                <c:pt idx="331">
                  <c:v>6.8894043621295</c:v>
                </c:pt>
                <c:pt idx="332">
                  <c:v>6.83069350515273</c:v>
                </c:pt>
                <c:pt idx="333">
                  <c:v>6.77153756553054</c:v>
                </c:pt>
                <c:pt idx="334">
                  <c:v>6.7119670545554</c:v>
                </c:pt>
                <c:pt idx="335">
                  <c:v>6.65201160074103</c:v>
                </c:pt>
                <c:pt idx="336">
                  <c:v>6.59169999235691</c:v>
                </c:pt>
                <c:pt idx="337">
                  <c:v>6.5310602158368</c:v>
                </c:pt>
                <c:pt idx="338">
                  <c:v>6.47011949050046</c:v>
                </c:pt>
                <c:pt idx="339">
                  <c:v>6.40890429998044</c:v>
                </c:pt>
                <c:pt idx="340">
                  <c:v>6.34744042070415</c:v>
                </c:pt>
                <c:pt idx="341">
                  <c:v>6.28575294774394</c:v>
                </c:pt>
                <c:pt idx="342">
                  <c:v>6.22386631831501</c:v>
                </c:pt>
                <c:pt idx="343">
                  <c:v>6.16180433317198</c:v>
                </c:pt>
                <c:pt idx="344">
                  <c:v>6.09959017612836</c:v>
                </c:pt>
                <c:pt idx="345">
                  <c:v>6.03724643190034</c:v>
                </c:pt>
                <c:pt idx="346">
                  <c:v>5.97479510245546</c:v>
                </c:pt>
                <c:pt idx="347">
                  <c:v>5.97473293720336</c:v>
                </c:pt>
                <c:pt idx="348">
                  <c:v>5.97467077186845</c:v>
                </c:pt>
                <c:pt idx="349">
                  <c:v>5.97460860645077</c:v>
                </c:pt>
                <c:pt idx="350">
                  <c:v>5.97454644095033</c:v>
                </c:pt>
                <c:pt idx="351">
                  <c:v>5.97448427536714</c:v>
                </c:pt>
                <c:pt idx="352">
                  <c:v>5.97442210970125</c:v>
                </c:pt>
                <c:pt idx="353">
                  <c:v>5.97435994395265</c:v>
                </c:pt>
                <c:pt idx="354">
                  <c:v>5.97429777812138</c:v>
                </c:pt>
                <c:pt idx="355">
                  <c:v>5.97423561220745</c:v>
                </c:pt>
                <c:pt idx="356">
                  <c:v>5.97417344621089</c:v>
                </c:pt>
                <c:pt idx="357">
                  <c:v>5.97411128013172</c:v>
                </c:pt>
                <c:pt idx="358">
                  <c:v>5.97404911396995</c:v>
                </c:pt>
                <c:pt idx="359">
                  <c:v>5.97398694772561</c:v>
                </c:pt>
                <c:pt idx="360">
                  <c:v>5.97392478139872</c:v>
                </c:pt>
                <c:pt idx="361">
                  <c:v>5.9738626149893</c:v>
                </c:pt>
                <c:pt idx="362">
                  <c:v>5.97380044849737</c:v>
                </c:pt>
                <c:pt idx="363">
                  <c:v>5.97373828192295</c:v>
                </c:pt>
                <c:pt idx="364">
                  <c:v>5.97367611526606</c:v>
                </c:pt>
                <c:pt idx="365">
                  <c:v>5.97361394852673</c:v>
                </c:pt>
                <c:pt idx="366">
                  <c:v>5.97355178170497</c:v>
                </c:pt>
                <c:pt idx="367">
                  <c:v>5.9734896148008</c:v>
                </c:pt>
                <c:pt idx="368">
                  <c:v>5.97342744781425</c:v>
                </c:pt>
                <c:pt idx="369">
                  <c:v>5.97336528074534</c:v>
                </c:pt>
                <c:pt idx="370">
                  <c:v>5.97330311359408</c:v>
                </c:pt>
                <c:pt idx="371">
                  <c:v>5.97324094636051</c:v>
                </c:pt>
                <c:pt idx="372">
                  <c:v>5.97317877904463</c:v>
                </c:pt>
                <c:pt idx="373">
                  <c:v>5.97311661164647</c:v>
                </c:pt>
                <c:pt idx="374">
                  <c:v>5.97305444416605</c:v>
                </c:pt>
                <c:pt idx="375">
                  <c:v>5.9729922766034</c:v>
                </c:pt>
                <c:pt idx="376">
                  <c:v>5.97293010895852</c:v>
                </c:pt>
                <c:pt idx="377">
                  <c:v>5.97286794123145</c:v>
                </c:pt>
                <c:pt idx="378">
                  <c:v>5.9728057734222</c:v>
                </c:pt>
                <c:pt idx="379">
                  <c:v>5.9727436055308</c:v>
                </c:pt>
                <c:pt idx="380">
                  <c:v>5.97268143755726</c:v>
                </c:pt>
                <c:pt idx="381">
                  <c:v>5.97261926950161</c:v>
                </c:pt>
                <c:pt idx="382">
                  <c:v>5.97255710136386</c:v>
                </c:pt>
                <c:pt idx="383">
                  <c:v>5.97249493314405</c:v>
                </c:pt>
                <c:pt idx="384">
                  <c:v>5.97243276484218</c:v>
                </c:pt>
                <c:pt idx="385">
                  <c:v>5.97237059645828</c:v>
                </c:pt>
                <c:pt idx="386">
                  <c:v>5.97230842799237</c:v>
                </c:pt>
                <c:pt idx="387">
                  <c:v>5.97224625944447</c:v>
                </c:pt>
                <c:pt idx="388">
                  <c:v>5.97218409081461</c:v>
                </c:pt>
                <c:pt idx="389">
                  <c:v>5.9721219221028</c:v>
                </c:pt>
                <c:pt idx="390">
                  <c:v>5.97205975330906</c:v>
                </c:pt>
                <c:pt idx="391">
                  <c:v>5.97199758443341</c:v>
                </c:pt>
                <c:pt idx="392">
                  <c:v>5.97193541547588</c:v>
                </c:pt>
                <c:pt idx="393">
                  <c:v>5.97187324643649</c:v>
                </c:pt>
                <c:pt idx="394">
                  <c:v>5.97181107731525</c:v>
                </c:pt>
                <c:pt idx="395">
                  <c:v>5.9717489081122</c:v>
                </c:pt>
                <c:pt idx="396">
                  <c:v>5.97168673882733</c:v>
                </c:pt>
                <c:pt idx="397">
                  <c:v>5.9716245694607</c:v>
                </c:pt>
                <c:pt idx="398">
                  <c:v>5.97156240001229</c:v>
                </c:pt>
                <c:pt idx="399">
                  <c:v>5.97150023048215</c:v>
                </c:pt>
                <c:pt idx="400">
                  <c:v>5.9714380608703</c:v>
                </c:pt>
                <c:pt idx="401">
                  <c:v>5.97137589117674</c:v>
                </c:pt>
                <c:pt idx="402">
                  <c:v>5.97131372140151</c:v>
                </c:pt>
                <c:pt idx="403">
                  <c:v>5.97125155154462</c:v>
                </c:pt>
                <c:pt idx="404">
                  <c:v>5.9711893816061</c:v>
                </c:pt>
                <c:pt idx="405">
                  <c:v>5.97112721158596</c:v>
                </c:pt>
                <c:pt idx="406">
                  <c:v>5.97106504148423</c:v>
                </c:pt>
                <c:pt idx="407">
                  <c:v>5.97100287130092</c:v>
                </c:pt>
                <c:pt idx="408">
                  <c:v>5.97094070103607</c:v>
                </c:pt>
                <c:pt idx="409">
                  <c:v>5.97087853068968</c:v>
                </c:pt>
                <c:pt idx="410">
                  <c:v>5.97081636026178</c:v>
                </c:pt>
                <c:pt idx="411">
                  <c:v>5.9707541897524</c:v>
                </c:pt>
                <c:pt idx="412">
                  <c:v>5.97069201916154</c:v>
                </c:pt>
                <c:pt idx="413">
                  <c:v>5.97062984848924</c:v>
                </c:pt>
                <c:pt idx="414">
                  <c:v>5.97056767773551</c:v>
                </c:pt>
                <c:pt idx="415">
                  <c:v>5.97050550690037</c:v>
                </c:pt>
                <c:pt idx="416">
                  <c:v>5.97044333598385</c:v>
                </c:pt>
                <c:pt idx="417">
                  <c:v>5.97038116498597</c:v>
                </c:pt>
                <c:pt idx="418">
                  <c:v>5.97031899390673</c:v>
                </c:pt>
                <c:pt idx="419">
                  <c:v>5.97025682274618</c:v>
                </c:pt>
                <c:pt idx="420">
                  <c:v>5.97019465150432</c:v>
                </c:pt>
                <c:pt idx="421">
                  <c:v>5.97013248018119</c:v>
                </c:pt>
                <c:pt idx="422">
                  <c:v>5.97007030877679</c:v>
                </c:pt>
                <c:pt idx="423">
                  <c:v>5.97000813729115</c:v>
                </c:pt>
                <c:pt idx="424">
                  <c:v>5.96994596572429</c:v>
                </c:pt>
                <c:pt idx="425">
                  <c:v>5.96988379407624</c:v>
                </c:pt>
                <c:pt idx="426">
                  <c:v>5.96982162234701</c:v>
                </c:pt>
                <c:pt idx="427">
                  <c:v>5.96975945053662</c:v>
                </c:pt>
                <c:pt idx="428">
                  <c:v>5.96969727864509</c:v>
                </c:pt>
                <c:pt idx="429">
                  <c:v>5.96963510667245</c:v>
                </c:pt>
                <c:pt idx="430">
                  <c:v>5.96957293461872</c:v>
                </c:pt>
                <c:pt idx="431">
                  <c:v>5.96951076248391</c:v>
                </c:pt>
                <c:pt idx="432">
                  <c:v>5.96944859026805</c:v>
                </c:pt>
                <c:pt idx="433">
                  <c:v>5.96938641797116</c:v>
                </c:pt>
                <c:pt idx="434">
                  <c:v>5.96932424559325</c:v>
                </c:pt>
                <c:pt idx="435">
                  <c:v>5.96926207313436</c:v>
                </c:pt>
                <c:pt idx="436">
                  <c:v>5.96919990059449</c:v>
                </c:pt>
                <c:pt idx="437">
                  <c:v>5.96913772797368</c:v>
                </c:pt>
                <c:pt idx="438">
                  <c:v>5.96907555527194</c:v>
                </c:pt>
                <c:pt idx="439">
                  <c:v>5.96901338248929</c:v>
                </c:pt>
                <c:pt idx="440">
                  <c:v>5.96895120962576</c:v>
                </c:pt>
                <c:pt idx="441">
                  <c:v>5.96888903668136</c:v>
                </c:pt>
                <c:pt idx="442">
                  <c:v>5.96882686365611</c:v>
                </c:pt>
                <c:pt idx="443">
                  <c:v>5.96876469055004</c:v>
                </c:pt>
                <c:pt idx="444">
                  <c:v>5.96870251736317</c:v>
                </c:pt>
                <c:pt idx="445">
                  <c:v>5.96864034409551</c:v>
                </c:pt>
                <c:pt idx="446">
                  <c:v>5.9685781707471</c:v>
                </c:pt>
                <c:pt idx="447">
                  <c:v>5.96851599731794</c:v>
                </c:pt>
                <c:pt idx="448">
                  <c:v>5.96845382380806</c:v>
                </c:pt>
                <c:pt idx="449">
                  <c:v>5.96839165021748</c:v>
                </c:pt>
                <c:pt idx="450">
                  <c:v>5.96832947654622</c:v>
                </c:pt>
                <c:pt idx="451">
                  <c:v>5.96826730279431</c:v>
                </c:pt>
                <c:pt idx="452">
                  <c:v>5.96820512896176</c:v>
                </c:pt>
                <c:pt idx="453">
                  <c:v>5.96814295504859</c:v>
                </c:pt>
                <c:pt idx="454">
                  <c:v>5.96808078105483</c:v>
                </c:pt>
                <c:pt idx="455">
                  <c:v>5.96801860698049</c:v>
                </c:pt>
                <c:pt idx="456">
                  <c:v>5.9679564328256</c:v>
                </c:pt>
                <c:pt idx="457">
                  <c:v>5.96789425859017</c:v>
                </c:pt>
                <c:pt idx="458">
                  <c:v>5.96783208427424</c:v>
                </c:pt>
                <c:pt idx="459">
                  <c:v>5.96776990987781</c:v>
                </c:pt>
                <c:pt idx="460">
                  <c:v>5.96770773540091</c:v>
                </c:pt>
                <c:pt idx="461">
                  <c:v>5.96764556084356</c:v>
                </c:pt>
                <c:pt idx="462">
                  <c:v>5.96758338620578</c:v>
                </c:pt>
                <c:pt idx="463">
                  <c:v>5.96752121148759</c:v>
                </c:pt>
                <c:pt idx="464">
                  <c:v>5.96745903668902</c:v>
                </c:pt>
                <c:pt idx="465">
                  <c:v>5.96739686181008</c:v>
                </c:pt>
                <c:pt idx="466">
                  <c:v>5.96733468685078</c:v>
                </c:pt>
                <c:pt idx="467">
                  <c:v>5.96727251181117</c:v>
                </c:pt>
                <c:pt idx="468">
                  <c:v>5.96721033669125</c:v>
                </c:pt>
                <c:pt idx="469">
                  <c:v>5.96714816149105</c:v>
                </c:pt>
                <c:pt idx="470">
                  <c:v>5.96708598621059</c:v>
                </c:pt>
                <c:pt idx="471">
                  <c:v>5.96702381084987</c:v>
                </c:pt>
                <c:pt idx="472">
                  <c:v>5.96696163540894</c:v>
                </c:pt>
                <c:pt idx="473">
                  <c:v>5.96689945988781</c:v>
                </c:pt>
                <c:pt idx="474">
                  <c:v>5.9668372842865</c:v>
                </c:pt>
                <c:pt idx="475">
                  <c:v>5.96677510860503</c:v>
                </c:pt>
                <c:pt idx="476">
                  <c:v>5.96671293284342</c:v>
                </c:pt>
                <c:pt idx="477">
                  <c:v>5.9666507570017</c:v>
                </c:pt>
                <c:pt idx="478">
                  <c:v>5.96658858107987</c:v>
                </c:pt>
                <c:pt idx="479">
                  <c:v>5.96652640507798</c:v>
                </c:pt>
                <c:pt idx="480">
                  <c:v>5.96646422899602</c:v>
                </c:pt>
                <c:pt idx="481">
                  <c:v>5.96640205283403</c:v>
                </c:pt>
                <c:pt idx="482">
                  <c:v>5.96633987659203</c:v>
                </c:pt>
                <c:pt idx="483">
                  <c:v>5.96627770027003</c:v>
                </c:pt>
                <c:pt idx="484">
                  <c:v>5.96621552386806</c:v>
                </c:pt>
                <c:pt idx="485">
                  <c:v>5.96615334738614</c:v>
                </c:pt>
                <c:pt idx="486">
                  <c:v>5.96609117082429</c:v>
                </c:pt>
                <c:pt idx="487">
                  <c:v>5.96602899418252</c:v>
                </c:pt>
                <c:pt idx="488">
                  <c:v>5.96596681746087</c:v>
                </c:pt>
                <c:pt idx="489">
                  <c:v>5.96590464065935</c:v>
                </c:pt>
                <c:pt idx="490">
                  <c:v>5.96584246377798</c:v>
                </c:pt>
                <c:pt idx="491">
                  <c:v>5.96578028681679</c:v>
                </c:pt>
                <c:pt idx="492">
                  <c:v>5.96571810977578</c:v>
                </c:pt>
                <c:pt idx="493">
                  <c:v>5.965655932655</c:v>
                </c:pt>
                <c:pt idx="494">
                  <c:v>5.96559375545445</c:v>
                </c:pt>
                <c:pt idx="495">
                  <c:v>5.96553157817415</c:v>
                </c:pt>
                <c:pt idx="496">
                  <c:v>5.96546940081413</c:v>
                </c:pt>
                <c:pt idx="497">
                  <c:v>5.96540722337441</c:v>
                </c:pt>
                <c:pt idx="498">
                  <c:v>5.965345045855</c:v>
                </c:pt>
                <c:pt idx="499">
                  <c:v>5.96528286825594</c:v>
                </c:pt>
                <c:pt idx="500">
                  <c:v>5.96522069057723</c:v>
                </c:pt>
                <c:pt idx="501">
                  <c:v>5.96515851281891</c:v>
                </c:pt>
                <c:pt idx="502">
                  <c:v>5.96509633498099</c:v>
                </c:pt>
                <c:pt idx="503">
                  <c:v>5.96503415706348</c:v>
                </c:pt>
                <c:pt idx="504">
                  <c:v>5.96497197906642</c:v>
                </c:pt>
                <c:pt idx="505">
                  <c:v>5.96490980098983</c:v>
                </c:pt>
                <c:pt idx="506">
                  <c:v>5.96484762283371</c:v>
                </c:pt>
                <c:pt idx="507">
                  <c:v>5.96478544459811</c:v>
                </c:pt>
                <c:pt idx="508">
                  <c:v>5.96472326628303</c:v>
                </c:pt>
                <c:pt idx="509">
                  <c:v>5.9646610878885</c:v>
                </c:pt>
                <c:pt idx="510">
                  <c:v>5.96459890941453</c:v>
                </c:pt>
                <c:pt idx="511">
                  <c:v>5.96453673086115</c:v>
                </c:pt>
                <c:pt idx="512">
                  <c:v>5.96447455222838</c:v>
                </c:pt>
                <c:pt idx="513">
                  <c:v>5.96441237351623</c:v>
                </c:pt>
                <c:pt idx="514">
                  <c:v>5.96435019472474</c:v>
                </c:pt>
                <c:pt idx="515">
                  <c:v>5.96428801585392</c:v>
                </c:pt>
                <c:pt idx="516">
                  <c:v>5.96422583690379</c:v>
                </c:pt>
                <c:pt idx="517">
                  <c:v>5.96416365787438</c:v>
                </c:pt>
                <c:pt idx="518">
                  <c:v>5.9641014787657</c:v>
                </c:pt>
                <c:pt idx="519">
                  <c:v>5.96403929957776</c:v>
                </c:pt>
                <c:pt idx="520">
                  <c:v>5.96397712031061</c:v>
                </c:pt>
                <c:pt idx="521">
                  <c:v>5.96391494096425</c:v>
                </c:pt>
                <c:pt idx="522">
                  <c:v>5.96385276153871</c:v>
                </c:pt>
                <c:pt idx="523">
                  <c:v>5.963790582034</c:v>
                </c:pt>
                <c:pt idx="524">
                  <c:v>5.96372840245015</c:v>
                </c:pt>
                <c:pt idx="525">
                  <c:v>5.96366622278718</c:v>
                </c:pt>
                <c:pt idx="526">
                  <c:v>5.96360404304511</c:v>
                </c:pt>
                <c:pt idx="527">
                  <c:v>5.96354186322396</c:v>
                </c:pt>
                <c:pt idx="528">
                  <c:v>5.96347968332375</c:v>
                </c:pt>
                <c:pt idx="529">
                  <c:v>5.9634175033445</c:v>
                </c:pt>
                <c:pt idx="530">
                  <c:v>5.96335532328623</c:v>
                </c:pt>
                <c:pt idx="531">
                  <c:v>5.96329314314896</c:v>
                </c:pt>
                <c:pt idx="532">
                  <c:v>5.96323096293273</c:v>
                </c:pt>
                <c:pt idx="533">
                  <c:v>5.96316878263753</c:v>
                </c:pt>
                <c:pt idx="534">
                  <c:v>5.96310660226339</c:v>
                </c:pt>
                <c:pt idx="535">
                  <c:v>5.96304442181035</c:v>
                </c:pt>
                <c:pt idx="536">
                  <c:v>5.96298224127841</c:v>
                </c:pt>
                <c:pt idx="537">
                  <c:v>5.96292006066759</c:v>
                </c:pt>
                <c:pt idx="538">
                  <c:v>5.96285787997793</c:v>
                </c:pt>
                <c:pt idx="539">
                  <c:v>5.96279569920943</c:v>
                </c:pt>
                <c:pt idx="540">
                  <c:v>5.96273351836213</c:v>
                </c:pt>
                <c:pt idx="541">
                  <c:v>5.96267133743603</c:v>
                </c:pt>
                <c:pt idx="542">
                  <c:v>5.96260915643116</c:v>
                </c:pt>
                <c:pt idx="543">
                  <c:v>5.96254697534754</c:v>
                </c:pt>
                <c:pt idx="544">
                  <c:v>5.9624847941852</c:v>
                </c:pt>
                <c:pt idx="545">
                  <c:v>5.96242261294415</c:v>
                </c:pt>
                <c:pt idx="546">
                  <c:v>5.96236043162442</c:v>
                </c:pt>
                <c:pt idx="547">
                  <c:v>5.96229825022602</c:v>
                </c:pt>
                <c:pt idx="548">
                  <c:v>5.96223606874897</c:v>
                </c:pt>
                <c:pt idx="549">
                  <c:v>5.9621738871933</c:v>
                </c:pt>
                <c:pt idx="550">
                  <c:v>5.96211170555903</c:v>
                </c:pt>
                <c:pt idx="551">
                  <c:v>5.96204952384617</c:v>
                </c:pt>
                <c:pt idx="552">
                  <c:v>5.96198734205475</c:v>
                </c:pt>
                <c:pt idx="553">
                  <c:v>5.96192516018479</c:v>
                </c:pt>
                <c:pt idx="554">
                  <c:v>5.96186297823631</c:v>
                </c:pt>
                <c:pt idx="555">
                  <c:v>5.96180079620933</c:v>
                </c:pt>
                <c:pt idx="556">
                  <c:v>5.96173861410387</c:v>
                </c:pt>
                <c:pt idx="557">
                  <c:v>5.96167643191996</c:v>
                </c:pt>
                <c:pt idx="558">
                  <c:v>5.9616142496576</c:v>
                </c:pt>
                <c:pt idx="559">
                  <c:v>5.96155206731683</c:v>
                </c:pt>
                <c:pt idx="560">
                  <c:v>5.96148988489766</c:v>
                </c:pt>
                <c:pt idx="561">
                  <c:v>5.96142770240012</c:v>
                </c:pt>
                <c:pt idx="562">
                  <c:v>5.96136551982422</c:v>
                </c:pt>
                <c:pt idx="563">
                  <c:v>5.96130333716999</c:v>
                </c:pt>
                <c:pt idx="564">
                  <c:v>5.96124115443744</c:v>
                </c:pt>
                <c:pt idx="565">
                  <c:v>5.9611789716266</c:v>
                </c:pt>
                <c:pt idx="566">
                  <c:v>5.96111678873749</c:v>
                </c:pt>
                <c:pt idx="567">
                  <c:v>5.96105460577013</c:v>
                </c:pt>
                <c:pt idx="568">
                  <c:v>5.96099242272454</c:v>
                </c:pt>
                <c:pt idx="569">
                  <c:v>5.96093023960074</c:v>
                </c:pt>
                <c:pt idx="570">
                  <c:v>5.96086805639875</c:v>
                </c:pt>
                <c:pt idx="571">
                  <c:v>5.96080587311859</c:v>
                </c:pt>
                <c:pt idx="572">
                  <c:v>5.96074368976028</c:v>
                </c:pt>
                <c:pt idx="573">
                  <c:v>5.96068150632385</c:v>
                </c:pt>
                <c:pt idx="574">
                  <c:v>5.96061932280931</c:v>
                </c:pt>
                <c:pt idx="575">
                  <c:v>5.96055713921669</c:v>
                </c:pt>
                <c:pt idx="576">
                  <c:v>5.960494955546</c:v>
                </c:pt>
                <c:pt idx="577">
                  <c:v>5.96043277179727</c:v>
                </c:pt>
                <c:pt idx="578">
                  <c:v>5.96037058797051</c:v>
                </c:pt>
                <c:pt idx="579">
                  <c:v>5.96030840406575</c:v>
                </c:pt>
                <c:pt idx="580">
                  <c:v>5.96024622008301</c:v>
                </c:pt>
                <c:pt idx="581">
                  <c:v>5.96018403602231</c:v>
                </c:pt>
                <c:pt idx="582">
                  <c:v>5.96012185188367</c:v>
                </c:pt>
                <c:pt idx="583">
                  <c:v>5.9600596676671</c:v>
                </c:pt>
                <c:pt idx="584">
                  <c:v>5.95999748337264</c:v>
                </c:pt>
                <c:pt idx="585">
                  <c:v>5.9599352990003</c:v>
                </c:pt>
                <c:pt idx="586">
                  <c:v>5.9598731145501</c:v>
                </c:pt>
                <c:pt idx="587">
                  <c:v>5.95981093002207</c:v>
                </c:pt>
                <c:pt idx="588">
                  <c:v>5.95974874541622</c:v>
                </c:pt>
                <c:pt idx="589">
                  <c:v>5.95968656073258</c:v>
                </c:pt>
                <c:pt idx="590">
                  <c:v>5.95962437597115</c:v>
                </c:pt>
                <c:pt idx="591">
                  <c:v>5.95956219113198</c:v>
                </c:pt>
                <c:pt idx="592">
                  <c:v>5.95950000621507</c:v>
                </c:pt>
                <c:pt idx="593">
                  <c:v>5.95943782122045</c:v>
                </c:pt>
                <c:pt idx="594">
                  <c:v>5.95937563614813</c:v>
                </c:pt>
                <c:pt idx="595">
                  <c:v>5.95931345099815</c:v>
                </c:pt>
                <c:pt idx="596">
                  <c:v>5.95925126577052</c:v>
                </c:pt>
                <c:pt idx="597">
                  <c:v>5.95918908046525</c:v>
                </c:pt>
                <c:pt idx="598">
                  <c:v>5.95912689508238</c:v>
                </c:pt>
                <c:pt idx="599">
                  <c:v>5.95906470962191</c:v>
                </c:pt>
                <c:pt idx="600">
                  <c:v>5.95900252408388</c:v>
                </c:pt>
                <c:pt idx="601">
                  <c:v>5.95894033846831</c:v>
                </c:pt>
                <c:pt idx="602">
                  <c:v>5.9588781527752</c:v>
                </c:pt>
                <c:pt idx="603">
                  <c:v>5.95881596700459</c:v>
                </c:pt>
                <c:pt idx="604">
                  <c:v>5.9587537811565</c:v>
                </c:pt>
                <c:pt idx="605">
                  <c:v>5.95869159523094</c:v>
                </c:pt>
                <c:pt idx="606">
                  <c:v>5.95862940922794</c:v>
                </c:pt>
                <c:pt idx="607">
                  <c:v>5.95856722314751</c:v>
                </c:pt>
                <c:pt idx="608">
                  <c:v>5.95850503698968</c:v>
                </c:pt>
                <c:pt idx="609">
                  <c:v>5.95844285075447</c:v>
                </c:pt>
                <c:pt idx="610">
                  <c:v>5.9583806644419</c:v>
                </c:pt>
                <c:pt idx="611">
                  <c:v>5.95831847805199</c:v>
                </c:pt>
                <c:pt idx="612">
                  <c:v>5.95825629158477</c:v>
                </c:pt>
                <c:pt idx="613">
                  <c:v>5.95819410504024</c:v>
                </c:pt>
                <c:pt idx="614">
                  <c:v>5.95813191841843</c:v>
                </c:pt>
                <c:pt idx="615">
                  <c:v>5.95806973171936</c:v>
                </c:pt>
                <c:pt idx="616">
                  <c:v>5.95800754494307</c:v>
                </c:pt>
                <c:pt idx="617">
                  <c:v>5.95794535808955</c:v>
                </c:pt>
                <c:pt idx="618">
                  <c:v>5.95788317115883</c:v>
                </c:pt>
                <c:pt idx="619">
                  <c:v>5.95782098415095</c:v>
                </c:pt>
                <c:pt idx="620">
                  <c:v>5.9577587970659</c:v>
                </c:pt>
                <c:pt idx="621">
                  <c:v>5.95769660990373</c:v>
                </c:pt>
                <c:pt idx="622">
                  <c:v>5.95763442266444</c:v>
                </c:pt>
                <c:pt idx="623">
                  <c:v>5.95757223534807</c:v>
                </c:pt>
                <c:pt idx="624">
                  <c:v>5.95751004795461</c:v>
                </c:pt>
                <c:pt idx="625">
                  <c:v>5.95744786048411</c:v>
                </c:pt>
                <c:pt idx="626">
                  <c:v>5.95738567293658</c:v>
                </c:pt>
                <c:pt idx="627">
                  <c:v>5.95732348531205</c:v>
                </c:pt>
                <c:pt idx="628">
                  <c:v>5.95726129761052</c:v>
                </c:pt>
                <c:pt idx="629">
                  <c:v>5.95719910983202</c:v>
                </c:pt>
                <c:pt idx="630">
                  <c:v>5.95713692197658</c:v>
                </c:pt>
                <c:pt idx="631">
                  <c:v>5.95707473404421</c:v>
                </c:pt>
                <c:pt idx="632">
                  <c:v>5.95701254603493</c:v>
                </c:pt>
                <c:pt idx="633">
                  <c:v>5.95695035794878</c:v>
                </c:pt>
                <c:pt idx="634">
                  <c:v>5.95688816978575</c:v>
                </c:pt>
                <c:pt idx="635">
                  <c:v>5.95682598154588</c:v>
                </c:pt>
                <c:pt idx="636">
                  <c:v>5.95676379322919</c:v>
                </c:pt>
                <c:pt idx="637">
                  <c:v>5.9567016048357</c:v>
                </c:pt>
                <c:pt idx="638">
                  <c:v>5.95663941636542</c:v>
                </c:pt>
                <c:pt idx="639">
                  <c:v>5.95657722781838</c:v>
                </c:pt>
                <c:pt idx="640">
                  <c:v>5.95651503919461</c:v>
                </c:pt>
                <c:pt idx="641">
                  <c:v>5.95645285049411</c:v>
                </c:pt>
                <c:pt idx="642">
                  <c:v>5.95639066171692</c:v>
                </c:pt>
                <c:pt idx="643">
                  <c:v>5.95632847286304</c:v>
                </c:pt>
                <c:pt idx="644">
                  <c:v>5.95626628393251</c:v>
                </c:pt>
                <c:pt idx="645">
                  <c:v>5.95620409492535</c:v>
                </c:pt>
                <c:pt idx="646">
                  <c:v>5.95614190584156</c:v>
                </c:pt>
                <c:pt idx="647">
                  <c:v>5.95607971668118</c:v>
                </c:pt>
                <c:pt idx="648">
                  <c:v>5.95601752744423</c:v>
                </c:pt>
                <c:pt idx="649">
                  <c:v>5.95595533813072</c:v>
                </c:pt>
                <c:pt idx="650">
                  <c:v>5.95589314874067</c:v>
                </c:pt>
                <c:pt idx="651">
                  <c:v>5.95583095927412</c:v>
                </c:pt>
                <c:pt idx="652">
                  <c:v>5.95576876973107</c:v>
                </c:pt>
                <c:pt idx="653">
                  <c:v>5.95570658011155</c:v>
                </c:pt>
                <c:pt idx="654">
                  <c:v>5.95564439041558</c:v>
                </c:pt>
                <c:pt idx="655">
                  <c:v>5.95558220064318</c:v>
                </c:pt>
                <c:pt idx="656">
                  <c:v>5.95552001079437</c:v>
                </c:pt>
                <c:pt idx="657">
                  <c:v>5.95545782086917</c:v>
                </c:pt>
                <c:pt idx="658">
                  <c:v>5.9553956308676</c:v>
                </c:pt>
                <c:pt idx="659">
                  <c:v>5.95533344078968</c:v>
                </c:pt>
                <c:pt idx="660">
                  <c:v>5.95527125063544</c:v>
                </c:pt>
                <c:pt idx="661">
                  <c:v>5.95520906040489</c:v>
                </c:pt>
                <c:pt idx="662">
                  <c:v>5.95514687009806</c:v>
                </c:pt>
                <c:pt idx="663">
                  <c:v>5.95508467971496</c:v>
                </c:pt>
                <c:pt idx="664">
                  <c:v>5.95502248925561</c:v>
                </c:pt>
                <c:pt idx="665">
                  <c:v>5.95496029872005</c:v>
                </c:pt>
                <c:pt idx="666">
                  <c:v>5.95489810810828</c:v>
                </c:pt>
                <c:pt idx="667">
                  <c:v>5.95483591742033</c:v>
                </c:pt>
                <c:pt idx="668">
                  <c:v>5.95477372665621</c:v>
                </c:pt>
                <c:pt idx="669">
                  <c:v>5.95471153581596</c:v>
                </c:pt>
                <c:pt idx="670">
                  <c:v>5.95464934489958</c:v>
                </c:pt>
                <c:pt idx="671">
                  <c:v>5.95458715390711</c:v>
                </c:pt>
                <c:pt idx="672">
                  <c:v>5.95452496283855</c:v>
                </c:pt>
                <c:pt idx="673">
                  <c:v>5.95446277169394</c:v>
                </c:pt>
                <c:pt idx="674">
                  <c:v>5.95440058047329</c:v>
                </c:pt>
                <c:pt idx="675">
                  <c:v>5.95433838917663</c:v>
                </c:pt>
                <c:pt idx="676">
                  <c:v>5.95427619780396</c:v>
                </c:pt>
                <c:pt idx="677">
                  <c:v>5.95421400635532</c:v>
                </c:pt>
                <c:pt idx="678">
                  <c:v>5.95415181483073</c:v>
                </c:pt>
                <c:pt idx="679">
                  <c:v>5.9540896232302</c:v>
                </c:pt>
                <c:pt idx="680">
                  <c:v>5.95402743155376</c:v>
                </c:pt>
                <c:pt idx="681">
                  <c:v>5.95396523980142</c:v>
                </c:pt>
                <c:pt idx="682">
                  <c:v>5.95390304797322</c:v>
                </c:pt>
                <c:pt idx="683">
                  <c:v>5.95384085606916</c:v>
                </c:pt>
                <c:pt idx="684">
                  <c:v>5.95377866408927</c:v>
                </c:pt>
                <c:pt idx="685">
                  <c:v>5.95371647203357</c:v>
                </c:pt>
                <c:pt idx="686">
                  <c:v>5.95365427990208</c:v>
                </c:pt>
                <c:pt idx="687">
                  <c:v>5.95359208769482</c:v>
                </c:pt>
                <c:pt idx="688">
                  <c:v>5.95352989541181</c:v>
                </c:pt>
                <c:pt idx="689">
                  <c:v>5.95346770305307</c:v>
                </c:pt>
                <c:pt idx="690">
                  <c:v>5.95340551061863</c:v>
                </c:pt>
                <c:pt idx="691">
                  <c:v>5.9533433181085</c:v>
                </c:pt>
                <c:pt idx="692">
                  <c:v>5.9532811255227</c:v>
                </c:pt>
                <c:pt idx="693">
                  <c:v>5.95321893286126</c:v>
                </c:pt>
                <c:pt idx="694">
                  <c:v>5.9531567401242</c:v>
                </c:pt>
                <c:pt idx="695">
                  <c:v>5.95309454731153</c:v>
                </c:pt>
                <c:pt idx="696">
                  <c:v>5.95303235442327</c:v>
                </c:pt>
                <c:pt idx="697">
                  <c:v>5.95297016145945</c:v>
                </c:pt>
                <c:pt idx="698">
                  <c:v>5.9529079684201</c:v>
                </c:pt>
                <c:pt idx="699">
                  <c:v>5.95284577530522</c:v>
                </c:pt>
                <c:pt idx="700">
                  <c:v>5.95278358211484</c:v>
                </c:pt>
                <c:pt idx="701">
                  <c:v>5.95272138884898</c:v>
                </c:pt>
                <c:pt idx="702">
                  <c:v>5.95265919550766</c:v>
                </c:pt>
                <c:pt idx="703">
                  <c:v>5.9525970020909</c:v>
                </c:pt>
                <c:pt idx="704">
                  <c:v>5.95253480859872</c:v>
                </c:pt>
                <c:pt idx="705">
                  <c:v>5.95247261503115</c:v>
                </c:pt>
                <c:pt idx="706">
                  <c:v>5.9524104213882</c:v>
                </c:pt>
                <c:pt idx="707">
                  <c:v>5.95234822766989</c:v>
                </c:pt>
                <c:pt idx="708">
                  <c:v>5.95228603387625</c:v>
                </c:pt>
                <c:pt idx="709">
                  <c:v>5.95222384000729</c:v>
                </c:pt>
                <c:pt idx="710">
                  <c:v>5.95216164606304</c:v>
                </c:pt>
                <c:pt idx="711">
                  <c:v>5.95209945204351</c:v>
                </c:pt>
                <c:pt idx="712">
                  <c:v>5.95203725794873</c:v>
                </c:pt>
                <c:pt idx="713">
                  <c:v>5.95197506377872</c:v>
                </c:pt>
                <c:pt idx="714">
                  <c:v>5.9519128695335</c:v>
                </c:pt>
                <c:pt idx="715">
                  <c:v>5.95185067521308</c:v>
                </c:pt>
                <c:pt idx="716">
                  <c:v>5.9517884808175</c:v>
                </c:pt>
                <c:pt idx="717">
                  <c:v>5.95172628634676</c:v>
                </c:pt>
                <c:pt idx="718">
                  <c:v>5.9516640918009</c:v>
                </c:pt>
                <c:pt idx="719">
                  <c:v>5.95160189717992</c:v>
                </c:pt>
                <c:pt idx="720">
                  <c:v>5.95153970248386</c:v>
                </c:pt>
                <c:pt idx="721">
                  <c:v>5.95147750771273</c:v>
                </c:pt>
                <c:pt idx="722">
                  <c:v>5.95141531286656</c:v>
                </c:pt>
                <c:pt idx="723">
                  <c:v>5.95135311794536</c:v>
                </c:pt>
                <c:pt idx="724">
                  <c:v>5.95129092294915</c:v>
                </c:pt>
                <c:pt idx="725">
                  <c:v>5.95122872787795</c:v>
                </c:pt>
                <c:pt idx="726">
                  <c:v>5.9511665327318</c:v>
                </c:pt>
                <c:pt idx="727">
                  <c:v>5.9511043375107</c:v>
                </c:pt>
                <c:pt idx="728">
                  <c:v>5.95104214221468</c:v>
                </c:pt>
                <c:pt idx="729">
                  <c:v>5.95097994684376</c:v>
                </c:pt>
                <c:pt idx="730">
                  <c:v>5.95091775139795</c:v>
                </c:pt>
                <c:pt idx="731">
                  <c:v>5.95085555587728</c:v>
                </c:pt>
                <c:pt idx="732">
                  <c:v>5.95079336028177</c:v>
                </c:pt>
                <c:pt idx="733">
                  <c:v>5.95073116461145</c:v>
                </c:pt>
                <c:pt idx="734">
                  <c:v>5.95066896886632</c:v>
                </c:pt>
                <c:pt idx="735">
                  <c:v>5.95060677304642</c:v>
                </c:pt>
                <c:pt idx="736">
                  <c:v>5.95054457715175</c:v>
                </c:pt>
                <c:pt idx="737">
                  <c:v>5.95048238118235</c:v>
                </c:pt>
                <c:pt idx="738">
                  <c:v>5.95042018513823</c:v>
                </c:pt>
                <c:pt idx="739">
                  <c:v>5.95035798901942</c:v>
                </c:pt>
                <c:pt idx="740">
                  <c:v>5.95029579282593</c:v>
                </c:pt>
                <c:pt idx="741">
                  <c:v>5.95023359655778</c:v>
                </c:pt>
                <c:pt idx="742">
                  <c:v>5.95017140021501</c:v>
                </c:pt>
                <c:pt idx="743">
                  <c:v>5.95010920379761</c:v>
                </c:pt>
                <c:pt idx="744">
                  <c:v>5.95004700730563</c:v>
                </c:pt>
                <c:pt idx="745">
                  <c:v>5.94998481073907</c:v>
                </c:pt>
                <c:pt idx="746">
                  <c:v>5.94992261409796</c:v>
                </c:pt>
                <c:pt idx="747">
                  <c:v>5.94986041738232</c:v>
                </c:pt>
                <c:pt idx="748">
                  <c:v>5.94979822059217</c:v>
                </c:pt>
                <c:pt idx="749">
                  <c:v>5.94973602372753</c:v>
                </c:pt>
                <c:pt idx="750">
                  <c:v>5.94967382678842</c:v>
                </c:pt>
                <c:pt idx="751">
                  <c:v>5.94961162977487</c:v>
                </c:pt>
                <c:pt idx="752">
                  <c:v>5.94954943268688</c:v>
                </c:pt>
                <c:pt idx="753">
                  <c:v>5.94948723552448</c:v>
                </c:pt>
                <c:pt idx="754">
                  <c:v>5.9494250382877</c:v>
                </c:pt>
                <c:pt idx="755">
                  <c:v>5.94936284097656</c:v>
                </c:pt>
                <c:pt idx="756">
                  <c:v>5.94930064359106</c:v>
                </c:pt>
                <c:pt idx="757">
                  <c:v>5.94923844613125</c:v>
                </c:pt>
                <c:pt idx="758">
                  <c:v>5.94917624859712</c:v>
                </c:pt>
                <c:pt idx="759">
                  <c:v>5.94911405098872</c:v>
                </c:pt>
                <c:pt idx="760">
                  <c:v>5.94905185330605</c:v>
                </c:pt>
                <c:pt idx="761">
                  <c:v>5.94898965554914</c:v>
                </c:pt>
                <c:pt idx="762">
                  <c:v>5.94892745771801</c:v>
                </c:pt>
                <c:pt idx="763">
                  <c:v>5.94886525981267</c:v>
                </c:pt>
                <c:pt idx="764">
                  <c:v>5.94880306183315</c:v>
                </c:pt>
                <c:pt idx="765">
                  <c:v>5.94874086377948</c:v>
                </c:pt>
                <c:pt idx="766">
                  <c:v>5.94867866565167</c:v>
                </c:pt>
                <c:pt idx="767">
                  <c:v>5.94861646744973</c:v>
                </c:pt>
                <c:pt idx="768">
                  <c:v>5.9485542691737</c:v>
                </c:pt>
                <c:pt idx="769">
                  <c:v>5.94849207082359</c:v>
                </c:pt>
                <c:pt idx="770">
                  <c:v>5.94842987239942</c:v>
                </c:pt>
                <c:pt idx="771">
                  <c:v>5.94836767390122</c:v>
                </c:pt>
                <c:pt idx="772">
                  <c:v>5.948305475329</c:v>
                </c:pt>
                <c:pt idx="773">
                  <c:v>5.94824327668279</c:v>
                </c:pt>
                <c:pt idx="774">
                  <c:v>5.9481810779626</c:v>
                </c:pt>
                <c:pt idx="775">
                  <c:v>5.94811887916845</c:v>
                </c:pt>
                <c:pt idx="776">
                  <c:v>5.94805668030038</c:v>
                </c:pt>
                <c:pt idx="777">
                  <c:v>5.94799448135839</c:v>
                </c:pt>
                <c:pt idx="778">
                  <c:v>5.94793228234251</c:v>
                </c:pt>
                <c:pt idx="779">
                  <c:v>5.94787008325275</c:v>
                </c:pt>
                <c:pt idx="780">
                  <c:v>5.94780788408915</c:v>
                </c:pt>
                <c:pt idx="781">
                  <c:v>5.94774568485171</c:v>
                </c:pt>
                <c:pt idx="782">
                  <c:v>5.94768348554047</c:v>
                </c:pt>
                <c:pt idx="783">
                  <c:v>5.94762128615544</c:v>
                </c:pt>
                <c:pt idx="784">
                  <c:v>5.94755908669663</c:v>
                </c:pt>
                <c:pt idx="785">
                  <c:v>5.94749688716408</c:v>
                </c:pt>
                <c:pt idx="786">
                  <c:v>5.9474346875578</c:v>
                </c:pt>
                <c:pt idx="787">
                  <c:v>5.94737248787782</c:v>
                </c:pt>
                <c:pt idx="788">
                  <c:v>5.94731028812415</c:v>
                </c:pt>
                <c:pt idx="789">
                  <c:v>5.94724808829681</c:v>
                </c:pt>
                <c:pt idx="790">
                  <c:v>5.94718588839583</c:v>
                </c:pt>
                <c:pt idx="791">
                  <c:v>5.94712368842122</c:v>
                </c:pt>
                <c:pt idx="792">
                  <c:v>5.94706148837302</c:v>
                </c:pt>
                <c:pt idx="793">
                  <c:v>5.94699928825122</c:v>
                </c:pt>
                <c:pt idx="794">
                  <c:v>5.94693708805586</c:v>
                </c:pt>
                <c:pt idx="795">
                  <c:v>5.94687488778696</c:v>
                </c:pt>
                <c:pt idx="796">
                  <c:v>5.94681268744455</c:v>
                </c:pt>
                <c:pt idx="797">
                  <c:v>5.94675048702862</c:v>
                </c:pt>
                <c:pt idx="798">
                  <c:v>5.94668828653922</c:v>
                </c:pt>
                <c:pt idx="799">
                  <c:v>5.94662608597636</c:v>
                </c:pt>
                <c:pt idx="800">
                  <c:v>5.94656388534006</c:v>
                </c:pt>
                <c:pt idx="801">
                  <c:v>5.94650168463035</c:v>
                </c:pt>
                <c:pt idx="802">
                  <c:v>5.94643948384723</c:v>
                </c:pt>
                <c:pt idx="803">
                  <c:v>5.94637728299073</c:v>
                </c:pt>
                <c:pt idx="804">
                  <c:v>5.94631508206088</c:v>
                </c:pt>
                <c:pt idx="805">
                  <c:v>5.94625288105769</c:v>
                </c:pt>
                <c:pt idx="806">
                  <c:v>5.94619067998119</c:v>
                </c:pt>
                <c:pt idx="807">
                  <c:v>5.94612847883139</c:v>
                </c:pt>
                <c:pt idx="808">
                  <c:v>5.94606627760832</c:v>
                </c:pt>
                <c:pt idx="809">
                  <c:v>5.94600407631199</c:v>
                </c:pt>
                <c:pt idx="810">
                  <c:v>5.94594187494244</c:v>
                </c:pt>
                <c:pt idx="811">
                  <c:v>5.94587967349966</c:v>
                </c:pt>
                <c:pt idx="812">
                  <c:v>5.9458174719837</c:v>
                </c:pt>
                <c:pt idx="813">
                  <c:v>5.94575527039456</c:v>
                </c:pt>
                <c:pt idx="814">
                  <c:v>5.94569306873228</c:v>
                </c:pt>
                <c:pt idx="815">
                  <c:v>5.94563086699686</c:v>
                </c:pt>
                <c:pt idx="816">
                  <c:v>5.94556866518833</c:v>
                </c:pt>
                <c:pt idx="817">
                  <c:v>5.94550646330672</c:v>
                </c:pt>
                <c:pt idx="818">
                  <c:v>5.94544426135203</c:v>
                </c:pt>
                <c:pt idx="819">
                  <c:v>5.9453820593243</c:v>
                </c:pt>
                <c:pt idx="820">
                  <c:v>5.94531985722354</c:v>
                </c:pt>
                <c:pt idx="821">
                  <c:v>5.94525765504977</c:v>
                </c:pt>
                <c:pt idx="822">
                  <c:v>5.94519545280302</c:v>
                </c:pt>
                <c:pt idx="823">
                  <c:v>5.9451332504833</c:v>
                </c:pt>
                <c:pt idx="824">
                  <c:v>5.94507104809063</c:v>
                </c:pt>
                <c:pt idx="825">
                  <c:v>5.94500884562504</c:v>
                </c:pt>
                <c:pt idx="826">
                  <c:v>5.94494664308655</c:v>
                </c:pt>
                <c:pt idx="827">
                  <c:v>5.94488444047517</c:v>
                </c:pt>
                <c:pt idx="828">
                  <c:v>5.94482223779093</c:v>
                </c:pt>
                <c:pt idx="829">
                  <c:v>5.94476003503385</c:v>
                </c:pt>
                <c:pt idx="830">
                  <c:v>5.94469783220395</c:v>
                </c:pt>
                <c:pt idx="831">
                  <c:v>5.94463562930124</c:v>
                </c:pt>
                <c:pt idx="832">
                  <c:v>5.94457342632576</c:v>
                </c:pt>
                <c:pt idx="833">
                  <c:v>5.94451122327751</c:v>
                </c:pt>
                <c:pt idx="834">
                  <c:v>5.94444902015653</c:v>
                </c:pt>
                <c:pt idx="835">
                  <c:v>5.94438681696282</c:v>
                </c:pt>
                <c:pt idx="836">
                  <c:v>5.94432461369642</c:v>
                </c:pt>
                <c:pt idx="837">
                  <c:v>5.94426241035734</c:v>
                </c:pt>
                <c:pt idx="838">
                  <c:v>5.9442002069456</c:v>
                </c:pt>
                <c:pt idx="839">
                  <c:v>5.94413800346123</c:v>
                </c:pt>
                <c:pt idx="840">
                  <c:v>5.94407579990424</c:v>
                </c:pt>
                <c:pt idx="841">
                  <c:v>5.94401359627466</c:v>
                </c:pt>
                <c:pt idx="842">
                  <c:v>5.9439513925725</c:v>
                </c:pt>
                <c:pt idx="843">
                  <c:v>5.94388918879778</c:v>
                </c:pt>
                <c:pt idx="844">
                  <c:v>5.94382698495054</c:v>
                </c:pt>
                <c:pt idx="845">
                  <c:v>5.94376478103077</c:v>
                </c:pt>
                <c:pt idx="846">
                  <c:v>5.94370257703852</c:v>
                </c:pt>
                <c:pt idx="847">
                  <c:v>5.94364037297379</c:v>
                </c:pt>
                <c:pt idx="848">
                  <c:v>5.94357816883662</c:v>
                </c:pt>
                <c:pt idx="849">
                  <c:v>5.94351596462701</c:v>
                </c:pt>
                <c:pt idx="850">
                  <c:v>5.94345376034498</c:v>
                </c:pt>
                <c:pt idx="851">
                  <c:v>5.94339155599058</c:v>
                </c:pt>
                <c:pt idx="852">
                  <c:v>5.9433293515638</c:v>
                </c:pt>
                <c:pt idx="853">
                  <c:v>5.94326714706467</c:v>
                </c:pt>
                <c:pt idx="854">
                  <c:v>5.94320494249322</c:v>
                </c:pt>
                <c:pt idx="855">
                  <c:v>5.94314273784946</c:v>
                </c:pt>
                <c:pt idx="856">
                  <c:v>5.94308053313341</c:v>
                </c:pt>
                <c:pt idx="857">
                  <c:v>5.94301832834509</c:v>
                </c:pt>
                <c:pt idx="858">
                  <c:v>5.94295612348453</c:v>
                </c:pt>
                <c:pt idx="859">
                  <c:v>5.94289391855174</c:v>
                </c:pt>
                <c:pt idx="860">
                  <c:v>5.94283171354675</c:v>
                </c:pt>
                <c:pt idx="861">
                  <c:v>5.94276950846957</c:v>
                </c:pt>
                <c:pt idx="862">
                  <c:v>5.94270730332023</c:v>
                </c:pt>
                <c:pt idx="863">
                  <c:v>5.94264509809875</c:v>
                </c:pt>
                <c:pt idx="864">
                  <c:v>5.94258289280514</c:v>
                </c:pt>
                <c:pt idx="865">
                  <c:v>5.94252068743944</c:v>
                </c:pt>
                <c:pt idx="866">
                  <c:v>5.94245848200165</c:v>
                </c:pt>
                <c:pt idx="867">
                  <c:v>5.9423962764918</c:v>
                </c:pt>
                <c:pt idx="868">
                  <c:v>5.94233407090991</c:v>
                </c:pt>
                <c:pt idx="869">
                  <c:v>5.942271865256</c:v>
                </c:pt>
                <c:pt idx="870">
                  <c:v>5.94220965953009</c:v>
                </c:pt>
                <c:pt idx="871">
                  <c:v>5.9421474537322</c:v>
                </c:pt>
                <c:pt idx="872">
                  <c:v>5.94208524786235</c:v>
                </c:pt>
                <c:pt idx="873">
                  <c:v>5.94202304192057</c:v>
                </c:pt>
                <c:pt idx="874">
                  <c:v>5.94196083590686</c:v>
                </c:pt>
                <c:pt idx="875">
                  <c:v>5.94189862982127</c:v>
                </c:pt>
                <c:pt idx="876">
                  <c:v>5.94183642366379</c:v>
                </c:pt>
                <c:pt idx="877">
                  <c:v>5.94177421743446</c:v>
                </c:pt>
                <c:pt idx="878">
                  <c:v>5.9417120111333</c:v>
                </c:pt>
                <c:pt idx="879">
                  <c:v>5.94164980476032</c:v>
                </c:pt>
                <c:pt idx="880">
                  <c:v>5.94158759831555</c:v>
                </c:pt>
                <c:pt idx="881">
                  <c:v>5.941525391799</c:v>
                </c:pt>
                <c:pt idx="882">
                  <c:v>5.9414631852107</c:v>
                </c:pt>
                <c:pt idx="883">
                  <c:v>5.94140097855068</c:v>
                </c:pt>
                <c:pt idx="884">
                  <c:v>5.94133877181893</c:v>
                </c:pt>
                <c:pt idx="885">
                  <c:v>5.9412765650155</c:v>
                </c:pt>
                <c:pt idx="886">
                  <c:v>5.9412143581404</c:v>
                </c:pt>
                <c:pt idx="887">
                  <c:v>5.94115215119364</c:v>
                </c:pt>
                <c:pt idx="888">
                  <c:v>5.94108994417526</c:v>
                </c:pt>
                <c:pt idx="889">
                  <c:v>5.94102773708527</c:v>
                </c:pt>
                <c:pt idx="890">
                  <c:v>5.94096552992369</c:v>
                </c:pt>
                <c:pt idx="891">
                  <c:v>5.94090332269054</c:v>
                </c:pt>
                <c:pt idx="892">
                  <c:v>5.94084111538584</c:v>
                </c:pt>
                <c:pt idx="893">
                  <c:v>5.94077890800962</c:v>
                </c:pt>
                <c:pt idx="894">
                  <c:v>5.94071670056189</c:v>
                </c:pt>
                <c:pt idx="895">
                  <c:v>5.94065449304268</c:v>
                </c:pt>
                <c:pt idx="896">
                  <c:v>5.940592285452</c:v>
                </c:pt>
                <c:pt idx="897">
                  <c:v>5.94053007778988</c:v>
                </c:pt>
                <c:pt idx="898">
                  <c:v>5.94046787005633</c:v>
                </c:pt>
                <c:pt idx="899">
                  <c:v>5.94040566225138</c:v>
                </c:pt>
                <c:pt idx="900">
                  <c:v>5.94034345437504</c:v>
                </c:pt>
                <c:pt idx="901">
                  <c:v>5.94028124642734</c:v>
                </c:pt>
                <c:pt idx="902">
                  <c:v>5.9402190384083</c:v>
                </c:pt>
                <c:pt idx="903">
                  <c:v>5.94015683031794</c:v>
                </c:pt>
                <c:pt idx="904">
                  <c:v>5.94009462215628</c:v>
                </c:pt>
                <c:pt idx="905">
                  <c:v>5.94003241392334</c:v>
                </c:pt>
                <c:pt idx="906">
                  <c:v>5.93997020561914</c:v>
                </c:pt>
                <c:pt idx="907">
                  <c:v>5.9399079972437</c:v>
                </c:pt>
                <c:pt idx="908">
                  <c:v>5.93984578879704</c:v>
                </c:pt>
                <c:pt idx="909">
                  <c:v>5.93978358027918</c:v>
                </c:pt>
                <c:pt idx="910">
                  <c:v>5.93972137169015</c:v>
                </c:pt>
                <c:pt idx="911">
                  <c:v>5.93965916302996</c:v>
                </c:pt>
                <c:pt idx="912">
                  <c:v>5.93959695429863</c:v>
                </c:pt>
                <c:pt idx="913">
                  <c:v>5.93953474549618</c:v>
                </c:pt>
                <c:pt idx="914">
                  <c:v>5.93947253662264</c:v>
                </c:pt>
                <c:pt idx="915">
                  <c:v>5.93941032767803</c:v>
                </c:pt>
                <c:pt idx="916">
                  <c:v>5.93934811866236</c:v>
                </c:pt>
                <c:pt idx="917">
                  <c:v>5.93928590957565</c:v>
                </c:pt>
                <c:pt idx="918">
                  <c:v>5.93922370041794</c:v>
                </c:pt>
                <c:pt idx="919">
                  <c:v>5.93916149118922</c:v>
                </c:pt>
                <c:pt idx="920">
                  <c:v>5.93909928188954</c:v>
                </c:pt>
                <c:pt idx="921">
                  <c:v>5.93903707251891</c:v>
                </c:pt>
                <c:pt idx="922">
                  <c:v>5.93897486307735</c:v>
                </c:pt>
                <c:pt idx="923">
                  <c:v>5.93891265356487</c:v>
                </c:pt>
                <c:pt idx="924">
                  <c:v>5.9388504439815</c:v>
                </c:pt>
                <c:pt idx="925">
                  <c:v>5.93878823432726</c:v>
                </c:pt>
                <c:pt idx="926">
                  <c:v>5.93872602460218</c:v>
                </c:pt>
                <c:pt idx="927">
                  <c:v>5.93866381480626</c:v>
                </c:pt>
                <c:pt idx="928">
                  <c:v>5.93860160493954</c:v>
                </c:pt>
                <c:pt idx="929">
                  <c:v>5.93853939500203</c:v>
                </c:pt>
                <c:pt idx="930">
                  <c:v>5.93847718499375</c:v>
                </c:pt>
                <c:pt idx="931">
                  <c:v>5.93841497491473</c:v>
                </c:pt>
                <c:pt idx="932">
                  <c:v>5.93835276476497</c:v>
                </c:pt>
                <c:pt idx="933">
                  <c:v>5.93829055454452</c:v>
                </c:pt>
                <c:pt idx="934">
                  <c:v>5.93822834425338</c:v>
                </c:pt>
                <c:pt idx="935">
                  <c:v>5.93816613389157</c:v>
                </c:pt>
                <c:pt idx="936">
                  <c:v>5.93810392345912</c:v>
                </c:pt>
                <c:pt idx="937">
                  <c:v>5.93804171295604</c:v>
                </c:pt>
                <c:pt idx="938">
                  <c:v>5.93797950238237</c:v>
                </c:pt>
                <c:pt idx="939">
                  <c:v>5.93791729173811</c:v>
                </c:pt>
                <c:pt idx="940">
                  <c:v>5.93785508102328</c:v>
                </c:pt>
                <c:pt idx="941">
                  <c:v>5.93779287023792</c:v>
                </c:pt>
                <c:pt idx="942">
                  <c:v>5.93773065938204</c:v>
                </c:pt>
                <c:pt idx="943">
                  <c:v>5.93766844845565</c:v>
                </c:pt>
                <c:pt idx="944">
                  <c:v>5.93760623745879</c:v>
                </c:pt>
                <c:pt idx="945">
                  <c:v>5.93754402639146</c:v>
                </c:pt>
                <c:pt idx="946">
                  <c:v>5.9374818152537</c:v>
                </c:pt>
                <c:pt idx="947">
                  <c:v>5.93741960404552</c:v>
                </c:pt>
                <c:pt idx="948">
                  <c:v>5.93735739276694</c:v>
                </c:pt>
                <c:pt idx="949">
                  <c:v>5.93729518141798</c:v>
                </c:pt>
                <c:pt idx="950">
                  <c:v>5.93723296999867</c:v>
                </c:pt>
                <c:pt idx="951">
                  <c:v>5.93717075850902</c:v>
                </c:pt>
                <c:pt idx="952">
                  <c:v>5.93710854694905</c:v>
                </c:pt>
                <c:pt idx="953">
                  <c:v>5.93704633531879</c:v>
                </c:pt>
                <c:pt idx="954">
                  <c:v>5.93698412361825</c:v>
                </c:pt>
                <c:pt idx="955">
                  <c:v>5.93692191184746</c:v>
                </c:pt>
                <c:pt idx="956">
                  <c:v>5.93685970000644</c:v>
                </c:pt>
                <c:pt idx="957">
                  <c:v>5.9367974880952</c:v>
                </c:pt>
                <c:pt idx="958">
                  <c:v>5.93673527611376</c:v>
                </c:pt>
                <c:pt idx="959">
                  <c:v>5.93667306406216</c:v>
                </c:pt>
                <c:pt idx="960">
                  <c:v>5.9366108519404</c:v>
                </c:pt>
                <c:pt idx="961">
                  <c:v>5.93654863974852</c:v>
                </c:pt>
                <c:pt idx="962">
                  <c:v>5.93648642748652</c:v>
                </c:pt>
                <c:pt idx="963">
                  <c:v>5.93642421515443</c:v>
                </c:pt>
                <c:pt idx="964">
                  <c:v>5.93636200275227</c:v>
                </c:pt>
                <c:pt idx="965">
                  <c:v>5.93629979028006</c:v>
                </c:pt>
                <c:pt idx="966">
                  <c:v>5.93623757773783</c:v>
                </c:pt>
                <c:pt idx="967">
                  <c:v>5.93617536512558</c:v>
                </c:pt>
                <c:pt idx="968">
                  <c:v>5.93611315244335</c:v>
                </c:pt>
                <c:pt idx="969">
                  <c:v>5.93605093969115</c:v>
                </c:pt>
                <c:pt idx="970">
                  <c:v>5.935988726869</c:v>
                </c:pt>
                <c:pt idx="971">
                  <c:v>5.93592651397693</c:v>
                </c:pt>
                <c:pt idx="972">
                  <c:v>5.93586430101495</c:v>
                </c:pt>
                <c:pt idx="973">
                  <c:v>5.93580208798308</c:v>
                </c:pt>
                <c:pt idx="974">
                  <c:v>5.93573987488135</c:v>
                </c:pt>
                <c:pt idx="975">
                  <c:v>5.93567766170978</c:v>
                </c:pt>
                <c:pt idx="976">
                  <c:v>5.93561544846838</c:v>
                </c:pt>
                <c:pt idx="977">
                  <c:v>5.93555323515718</c:v>
                </c:pt>
                <c:pt idx="978">
                  <c:v>5.9354910217762</c:v>
                </c:pt>
                <c:pt idx="979">
                  <c:v>5.93542880832545</c:v>
                </c:pt>
                <c:pt idx="980">
                  <c:v>5.93536659480496</c:v>
                </c:pt>
                <c:pt idx="981">
                  <c:v>5.93530438121475</c:v>
                </c:pt>
                <c:pt idx="982">
                  <c:v>5.93524216755484</c:v>
                </c:pt>
                <c:pt idx="983">
                  <c:v>5.93517995382525</c:v>
                </c:pt>
                <c:pt idx="984">
                  <c:v>5.935117740026</c:v>
                </c:pt>
                <c:pt idx="985">
                  <c:v>5.9350555261571</c:v>
                </c:pt>
                <c:pt idx="986">
                  <c:v>5.93499331221859</c:v>
                </c:pt>
                <c:pt idx="987">
                  <c:v>5.93493109821048</c:v>
                </c:pt>
                <c:pt idx="988">
                  <c:v>5.9348688841328</c:v>
                </c:pt>
                <c:pt idx="989">
                  <c:v>5.93480666998556</c:v>
                </c:pt>
                <c:pt idx="990">
                  <c:v>5.93474445576877</c:v>
                </c:pt>
                <c:pt idx="991">
                  <c:v>5.93468224148247</c:v>
                </c:pt>
                <c:pt idx="992">
                  <c:v>5.93462002712668</c:v>
                </c:pt>
                <c:pt idx="993">
                  <c:v>5.93455781270141</c:v>
                </c:pt>
                <c:pt idx="994">
                  <c:v>5.93449559820668</c:v>
                </c:pt>
                <c:pt idx="995">
                  <c:v>5.93443338364253</c:v>
                </c:pt>
                <c:pt idx="996">
                  <c:v>5.93437116900895</c:v>
                </c:pt>
                <c:pt idx="997">
                  <c:v>5.93430895430599</c:v>
                </c:pt>
                <c:pt idx="998">
                  <c:v>5.93424673953364</c:v>
                </c:pt>
                <c:pt idx="999">
                  <c:v>5.93418452469195</c:v>
                </c:pt>
                <c:pt idx="1000">
                  <c:v>5.93412230978092</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Calculs!$AH$4:$AH$1004</c:f>
              <c:numCache>
                <c:formatCode>General</c:formatCode>
                <c:ptCount val="1001"/>
                <c:pt idx="1">
                  <c:v>40.0751930814025</c:v>
                </c:pt>
                <c:pt idx="2">
                  <c:v>120.30227972126</c:v>
                </c:pt>
                <c:pt idx="3">
                  <c:v>154.111574757201</c:v>
                </c:pt>
                <c:pt idx="4">
                  <c:v>141.370554472017</c:v>
                </c:pt>
                <c:pt idx="5">
                  <c:v>134.757270917889</c:v>
                </c:pt>
                <c:pt idx="6">
                  <c:v>134.290218560978</c:v>
                </c:pt>
                <c:pt idx="7">
                  <c:v>133.819972537716</c:v>
                </c:pt>
                <c:pt idx="8">
                  <c:v>133.346554928409</c:v>
                </c:pt>
                <c:pt idx="9">
                  <c:v>132.869988072981</c:v>
                </c:pt>
                <c:pt idx="10">
                  <c:v>132.390294566796</c:v>
                </c:pt>
                <c:pt idx="11">
                  <c:v>131.907497256425</c:v>
                </c:pt>
                <c:pt idx="12">
                  <c:v>131.421619235371</c:v>
                </c:pt>
                <c:pt idx="13">
                  <c:v>130.932683839751</c:v>
                </c:pt>
                <c:pt idx="14">
                  <c:v>130.440714643929</c:v>
                </c:pt>
                <c:pt idx="15">
                  <c:v>129.945735456111</c:v>
                </c:pt>
                <c:pt idx="16">
                  <c:v>129.447770313896</c:v>
                </c:pt>
                <c:pt idx="17">
                  <c:v>128.94684347979</c:v>
                </c:pt>
                <c:pt idx="18">
                  <c:v>128.442979436682</c:v>
                </c:pt>
                <c:pt idx="19">
                  <c:v>127.936202883284</c:v>
                </c:pt>
                <c:pt idx="20">
                  <c:v>127.426538729532</c:v>
                </c:pt>
                <c:pt idx="21">
                  <c:v>126.91401209196</c:v>
                </c:pt>
                <c:pt idx="22">
                  <c:v>126.398648289038</c:v>
                </c:pt>
                <c:pt idx="23">
                  <c:v>125.880472637618</c:v>
                </c:pt>
                <c:pt idx="24">
                  <c:v>125.359510605533</c:v>
                </c:pt>
                <c:pt idx="25">
                  <c:v>124.835788049338</c:v>
                </c:pt>
                <c:pt idx="26">
                  <c:v>124.309331010222</c:v>
                </c:pt>
                <c:pt idx="27">
                  <c:v>123.780165709106</c:v>
                </c:pt>
                <c:pt idx="28">
                  <c:v>123.248318541722</c:v>
                </c:pt>
                <c:pt idx="29">
                  <c:v>122.713816073687</c:v>
                </c:pt>
                <c:pt idx="30">
                  <c:v>122.176685035566</c:v>
                </c:pt>
                <c:pt idx="31">
                  <c:v>121.636952317923</c:v>
                </c:pt>
                <c:pt idx="32">
                  <c:v>121.094644966365</c:v>
                </c:pt>
                <c:pt idx="33">
                  <c:v>120.549790176576</c:v>
                </c:pt>
                <c:pt idx="34">
                  <c:v>120.00241528934</c:v>
                </c:pt>
                <c:pt idx="35">
                  <c:v>119.452547785564</c:v>
                </c:pt>
                <c:pt idx="36">
                  <c:v>118.900215281285</c:v>
                </c:pt>
                <c:pt idx="37">
                  <c:v>118.345445522681</c:v>
                </c:pt>
                <c:pt idx="38">
                  <c:v>117.78826638107</c:v>
                </c:pt>
                <c:pt idx="39">
                  <c:v>117.228705847915</c:v>
                </c:pt>
                <c:pt idx="40">
                  <c:v>116.666792029814</c:v>
                </c:pt>
                <c:pt idx="41">
                  <c:v>116.102553143505</c:v>
                </c:pt>
                <c:pt idx="42">
                  <c:v>115.53601751086</c:v>
                </c:pt>
                <c:pt idx="43">
                  <c:v>114.967213553884</c:v>
                </c:pt>
                <c:pt idx="44">
                  <c:v>114.396169789721</c:v>
                </c:pt>
                <c:pt idx="45">
                  <c:v>113.822914825659</c:v>
                </c:pt>
                <c:pt idx="46">
                  <c:v>113.247477354145</c:v>
                </c:pt>
                <c:pt idx="47">
                  <c:v>112.669886147803</c:v>
                </c:pt>
                <c:pt idx="48">
                  <c:v>112.090170054467</c:v>
                </c:pt>
                <c:pt idx="49">
                  <c:v>111.508357992215</c:v>
                </c:pt>
                <c:pt idx="50">
                  <c:v>110.924478944423</c:v>
                </c:pt>
                <c:pt idx="51">
                  <c:v>110.33856195482</c:v>
                </c:pt>
                <c:pt idx="52">
                  <c:v>109.750636122574</c:v>
                </c:pt>
                <c:pt idx="53">
                  <c:v>109.160730597373</c:v>
                </c:pt>
                <c:pt idx="54">
                  <c:v>108.568874574534</c:v>
                </c:pt>
                <c:pt idx="55">
                  <c:v>107.975097290133</c:v>
                </c:pt>
                <c:pt idx="56">
                  <c:v>107.379428016137</c:v>
                </c:pt>
                <c:pt idx="57">
                  <c:v>106.781896055577</c:v>
                </c:pt>
                <c:pt idx="58">
                  <c:v>106.182530737726</c:v>
                </c:pt>
                <c:pt idx="59">
                  <c:v>105.581361413308</c:v>
                </c:pt>
                <c:pt idx="60">
                  <c:v>104.978417449725</c:v>
                </c:pt>
                <c:pt idx="61">
                  <c:v>104.373728226314</c:v>
                </c:pt>
                <c:pt idx="62">
                  <c:v>103.767323129628</c:v>
                </c:pt>
                <c:pt idx="63">
                  <c:v>102.612350265649</c:v>
                </c:pt>
                <c:pt idx="64">
                  <c:v>100.908181604837</c:v>
                </c:pt>
                <c:pt idx="65">
                  <c:v>99.201732321918</c:v>
                </c:pt>
                <c:pt idx="66">
                  <c:v>97.4931137085405</c:v>
                </c:pt>
                <c:pt idx="67">
                  <c:v>95.2805444646003</c:v>
                </c:pt>
                <c:pt idx="68">
                  <c:v>92.5636523721195</c:v>
                </c:pt>
                <c:pt idx="69">
                  <c:v>88.9514180597993</c:v>
                </c:pt>
                <c:pt idx="70">
                  <c:v>84.4433787159254</c:v>
                </c:pt>
                <c:pt idx="71">
                  <c:v>79.933197552051</c:v>
                </c:pt>
                <c:pt idx="72">
                  <c:v>75.4213402100495</c:v>
                </c:pt>
                <c:pt idx="73">
                  <c:v>70.9082640683952</c:v>
                </c:pt>
                <c:pt idx="74">
                  <c:v>66.394418095066</c:v>
                </c:pt>
                <c:pt idx="75">
                  <c:v>61.8802427084281</c:v>
                </c:pt>
                <c:pt idx="76">
                  <c:v>57.3661696460647</c:v>
                </c:pt>
                <c:pt idx="77">
                  <c:v>52.8526218415025</c:v>
                </c:pt>
                <c:pt idx="78">
                  <c:v>48.3400133087797</c:v>
                </c:pt>
                <c:pt idx="79">
                  <c:v>43.8287490347888</c:v>
                </c:pt>
                <c:pt idx="80">
                  <c:v>39.3192248793219</c:v>
                </c:pt>
                <c:pt idx="81">
                  <c:v>35.8764315755709</c:v>
                </c:pt>
                <c:pt idx="82">
                  <c:v>33.5002522237961</c:v>
                </c:pt>
                <c:pt idx="83">
                  <c:v>31.1253947841828</c:v>
                </c:pt>
                <c:pt idx="84">
                  <c:v>28.7519713982737</c:v>
                </c:pt>
                <c:pt idx="85">
                  <c:v>26.3800915726184</c:v>
                </c:pt>
                <c:pt idx="86">
                  <c:v>24.0098621706415</c:v>
                </c:pt>
                <c:pt idx="87">
                  <c:v>21.6413874056283</c:v>
                </c:pt>
                <c:pt idx="88">
                  <c:v>19.2747688348066</c:v>
                </c:pt>
                <c:pt idx="89">
                  <c:v>17.2466923203992</c:v>
                </c:pt>
                <c:pt idx="90">
                  <c:v>15.556979478235</c:v>
                </c:pt>
                <c:pt idx="91">
                  <c:v>13.8687653833337</c:v>
                </c:pt>
                <c:pt idx="92">
                  <c:v>12.1820977597569</c:v>
                </c:pt>
                <c:pt idx="93">
                  <c:v>10.5811987587046</c:v>
                </c:pt>
                <c:pt idx="94">
                  <c:v>9.06603419826702</c:v>
                </c:pt>
                <c:pt idx="95">
                  <c:v>7.55237559117815</c:v>
                </c:pt>
                <c:pt idx="96">
                  <c:v>6.04025711250034</c:v>
                </c:pt>
                <c:pt idx="97">
                  <c:v>4.86648799292519</c:v>
                </c:pt>
                <c:pt idx="98">
                  <c:v>4.03074751885127</c:v>
                </c:pt>
                <c:pt idx="99">
                  <c:v>3.19589491653341</c:v>
                </c:pt>
                <c:pt idx="100">
                  <c:v>2.36193814536803</c:v>
                </c:pt>
                <c:pt idx="101">
                  <c:v>1.5288848350237</c:v>
                </c:pt>
                <c:pt idx="102">
                  <c:v>0.69674228674505</c:v>
                </c:pt>
                <c:pt idx="103">
                  <c:v>-0.134482525313603</c:v>
                </c:pt>
                <c:pt idx="104">
                  <c:v>-0.964782952726057</c:v>
                </c:pt>
                <c:pt idx="105">
                  <c:v>-1.79415267140464</c:v>
                </c:pt>
                <c:pt idx="106">
                  <c:v>-2.62258568018418</c:v>
                </c:pt>
                <c:pt idx="107">
                  <c:v>-3.45007629938074</c:v>
                </c:pt>
                <c:pt idx="108">
                  <c:v>-4.27661916932612</c:v>
                </c:pt>
                <c:pt idx="109">
                  <c:v>-4.68114674465356</c:v>
                </c:pt>
                <c:pt idx="110">
                  <c:v>-4.66416218180173</c:v>
                </c:pt>
                <c:pt idx="111">
                  <c:v>-4.64723073060113</c:v>
                </c:pt>
                <c:pt idx="112">
                  <c:v>-4.63035220359622</c:v>
                </c:pt>
                <c:pt idx="113">
                  <c:v>-4.61352641422749</c:v>
                </c:pt>
                <c:pt idx="114">
                  <c:v>-4.5967531768265</c:v>
                </c:pt>
                <c:pt idx="115">
                  <c:v>-4.58003230661091</c:v>
                </c:pt>
                <c:pt idx="116">
                  <c:v>-4.5633636196795</c:v>
                </c:pt>
                <c:pt idx="117">
                  <c:v>-4.54674693300736</c:v>
                </c:pt>
                <c:pt idx="118">
                  <c:v>-4.53018206444095</c:v>
                </c:pt>
                <c:pt idx="119">
                  <c:v>-4.51366883269333</c:v>
                </c:pt>
                <c:pt idx="120">
                  <c:v>-4.49720705733931</c:v>
                </c:pt>
                <c:pt idx="121">
                  <c:v>-4.48079655881071</c:v>
                </c:pt>
                <c:pt idx="122">
                  <c:v>-4.46443715839161</c:v>
                </c:pt>
                <c:pt idx="123">
                  <c:v>-4.44812867821366</c:v>
                </c:pt>
                <c:pt idx="124">
                  <c:v>-4.4318709412514</c:v>
                </c:pt>
                <c:pt idx="125">
                  <c:v>-4.41566377131757</c:v>
                </c:pt>
                <c:pt idx="126">
                  <c:v>-4.39950699305858</c:v>
                </c:pt>
                <c:pt idx="127">
                  <c:v>-4.38340043194987</c:v>
                </c:pt>
                <c:pt idx="128">
                  <c:v>-4.36734391429135</c:v>
                </c:pt>
                <c:pt idx="129">
                  <c:v>-4.35133726720291</c:v>
                </c:pt>
                <c:pt idx="130">
                  <c:v>-4.33538031861991</c:v>
                </c:pt>
                <c:pt idx="131">
                  <c:v>-4.3194728972887</c:v>
                </c:pt>
                <c:pt idx="132">
                  <c:v>-4.3036148327622</c:v>
                </c:pt>
                <c:pt idx="133">
                  <c:v>-4.28780595539548</c:v>
                </c:pt>
                <c:pt idx="134">
                  <c:v>-4.2720460963414</c:v>
                </c:pt>
                <c:pt idx="135">
                  <c:v>-4.25633508754623</c:v>
                </c:pt>
                <c:pt idx="136">
                  <c:v>-4.24067276174536</c:v>
                </c:pt>
                <c:pt idx="137">
                  <c:v>-4.22505895245898</c:v>
                </c:pt>
                <c:pt idx="138">
                  <c:v>-4.20949349398782</c:v>
                </c:pt>
                <c:pt idx="139">
                  <c:v>-4.19397622140892</c:v>
                </c:pt>
                <c:pt idx="140">
                  <c:v>-4.1785069705714</c:v>
                </c:pt>
                <c:pt idx="141">
                  <c:v>-4.1630855780923</c:v>
                </c:pt>
                <c:pt idx="142">
                  <c:v>-4.14771188135238</c:v>
                </c:pt>
                <c:pt idx="143">
                  <c:v>-4.13238571849204</c:v>
                </c:pt>
                <c:pt idx="144">
                  <c:v>-4.11710692840718</c:v>
                </c:pt>
                <c:pt idx="145">
                  <c:v>-4.10187535074514</c:v>
                </c:pt>
                <c:pt idx="146">
                  <c:v>-4.08669082590062</c:v>
                </c:pt>
                <c:pt idx="147">
                  <c:v>-4.07155319501169</c:v>
                </c:pt>
                <c:pt idx="148">
                  <c:v>-4.05646229995579</c:v>
                </c:pt>
                <c:pt idx="149">
                  <c:v>-4.0414179833457</c:v>
                </c:pt>
                <c:pt idx="150">
                  <c:v>-4.02642008852566</c:v>
                </c:pt>
                <c:pt idx="151">
                  <c:v>-4.01146845956741</c:v>
                </c:pt>
                <c:pt idx="152">
                  <c:v>-3.99656294126627</c:v>
                </c:pt>
                <c:pt idx="153">
                  <c:v>-3.98170337913734</c:v>
                </c:pt>
                <c:pt idx="154">
                  <c:v>-3.96688961941155</c:v>
                </c:pt>
                <c:pt idx="155">
                  <c:v>-3.95212150903192</c:v>
                </c:pt>
                <c:pt idx="156">
                  <c:v>-3.93739889564974</c:v>
                </c:pt>
                <c:pt idx="157">
                  <c:v>-3.92272162762073</c:v>
                </c:pt>
                <c:pt idx="158">
                  <c:v>-3.90808955400139</c:v>
                </c:pt>
                <c:pt idx="159">
                  <c:v>-3.8935025245452</c:v>
                </c:pt>
                <c:pt idx="160">
                  <c:v>-3.87896038969892</c:v>
                </c:pt>
                <c:pt idx="161">
                  <c:v>-3.86446300059895</c:v>
                </c:pt>
                <c:pt idx="162">
                  <c:v>-3.85001020906762</c:v>
                </c:pt>
                <c:pt idx="163">
                  <c:v>-3.83560186760959</c:v>
                </c:pt>
                <c:pt idx="164">
                  <c:v>-3.82123782940824</c:v>
                </c:pt>
                <c:pt idx="165">
                  <c:v>-3.80691794832205</c:v>
                </c:pt>
                <c:pt idx="166">
                  <c:v>-3.79264207888106</c:v>
                </c:pt>
                <c:pt idx="167">
                  <c:v>-3.77841007628332</c:v>
                </c:pt>
                <c:pt idx="168">
                  <c:v>-3.76422179639136</c:v>
                </c:pt>
                <c:pt idx="169">
                  <c:v>-3.75007709572871</c:v>
                </c:pt>
                <c:pt idx="170">
                  <c:v>-3.73597583147638</c:v>
                </c:pt>
                <c:pt idx="171">
                  <c:v>-3.72191786146947</c:v>
                </c:pt>
                <c:pt idx="172">
                  <c:v>-3.70790304419367</c:v>
                </c:pt>
                <c:pt idx="173">
                  <c:v>-3.69393123878189</c:v>
                </c:pt>
                <c:pt idx="174">
                  <c:v>-3.68000230501085</c:v>
                </c:pt>
                <c:pt idx="175">
                  <c:v>-3.66611610329773</c:v>
                </c:pt>
                <c:pt idx="176">
                  <c:v>-3.65227249469677</c:v>
                </c:pt>
                <c:pt idx="177">
                  <c:v>-3.63847134089603</c:v>
                </c:pt>
                <c:pt idx="178">
                  <c:v>-3.62471250421399</c:v>
                </c:pt>
                <c:pt idx="179">
                  <c:v>-3.61099584759632</c:v>
                </c:pt>
                <c:pt idx="180">
                  <c:v>-3.59732123461261</c:v>
                </c:pt>
                <c:pt idx="181">
                  <c:v>-3.58368852945309</c:v>
                </c:pt>
                <c:pt idx="182">
                  <c:v>-3.57009759692544</c:v>
                </c:pt>
                <c:pt idx="183">
                  <c:v>-3.5565483024516</c:v>
                </c:pt>
                <c:pt idx="184">
                  <c:v>-3.5430405120645</c:v>
                </c:pt>
                <c:pt idx="185">
                  <c:v>-3.529574092405</c:v>
                </c:pt>
                <c:pt idx="186">
                  <c:v>-3.51614891071868</c:v>
                </c:pt>
                <c:pt idx="187">
                  <c:v>-3.50276483485272</c:v>
                </c:pt>
                <c:pt idx="188">
                  <c:v>-3.48942173325283</c:v>
                </c:pt>
                <c:pt idx="189">
                  <c:v>-3.47611947496009</c:v>
                </c:pt>
                <c:pt idx="190">
                  <c:v>-3.46285792960798</c:v>
                </c:pt>
                <c:pt idx="191">
                  <c:v>-3.44963696741923</c:v>
                </c:pt>
                <c:pt idx="192">
                  <c:v>-3.43645645920285</c:v>
                </c:pt>
                <c:pt idx="193">
                  <c:v>-3.42331627635112</c:v>
                </c:pt>
                <c:pt idx="194">
                  <c:v>-3.41021629083656</c:v>
                </c:pt>
                <c:pt idx="195">
                  <c:v>-3.39715637520897</c:v>
                </c:pt>
                <c:pt idx="196">
                  <c:v>-3.3841364025925</c:v>
                </c:pt>
                <c:pt idx="197">
                  <c:v>-3.37115624668266</c:v>
                </c:pt>
                <c:pt idx="198">
                  <c:v>-3.35821578174346</c:v>
                </c:pt>
                <c:pt idx="199">
                  <c:v>-3.34531488260444</c:v>
                </c:pt>
                <c:pt idx="200">
                  <c:v>-3.33245342465783</c:v>
                </c:pt>
                <c:pt idx="201">
                  <c:v>-3.3196312838557</c:v>
                </c:pt>
                <c:pt idx="202">
                  <c:v>-3.1929991456546</c:v>
                </c:pt>
                <c:pt idx="203">
                  <c:v>-3.07020943826132</c:v>
                </c:pt>
                <c:pt idx="204">
                  <c:v>-2.9511443759684</c:v>
                </c:pt>
                <c:pt idx="205">
                  <c:v>-2.83569134474918</c:v>
                </c:pt>
                <c:pt idx="206">
                  <c:v>-2.72374264858618</c:v>
                </c:pt>
                <c:pt idx="207">
                  <c:v>-2.61519527073992</c:v>
                </c:pt>
                <c:pt idx="208">
                  <c:v>-2.50995064897453</c:v>
                </c:pt>
                <c:pt idx="209">
                  <c:v>-2.40791446382975</c:v>
                </c:pt>
                <c:pt idx="210">
                  <c:v>-2.30899643909555</c:v>
                </c:pt>
                <c:pt idx="211">
                  <c:v>-2.21311015370743</c:v>
                </c:pt>
                <c:pt idx="212">
                  <c:v>-2.12017286433679</c:v>
                </c:pt>
                <c:pt idx="213">
                  <c:v>-2.03010533800303</c:v>
                </c:pt>
                <c:pt idx="214">
                  <c:v>-1.94283169408185</c:v>
                </c:pt>
                <c:pt idx="215">
                  <c:v>-1.85827925512856</c:v>
                </c:pt>
                <c:pt idx="216">
                  <c:v>-1.7763784059757</c:v>
                </c:pt>
                <c:pt idx="217">
                  <c:v>-1.69706246060207</c:v>
                </c:pt>
                <c:pt idx="218">
                  <c:v>-1.62026753630486</c:v>
                </c:pt>
                <c:pt idx="219">
                  <c:v>-1.5459324347385</c:v>
                </c:pt>
                <c:pt idx="220">
                  <c:v>-1.47399852941354</c:v>
                </c:pt>
                <c:pt idx="221">
                  <c:v>-1.40440965927616</c:v>
                </c:pt>
                <c:pt idx="222">
                  <c:v>-1.33711202801395</c:v>
                </c:pt>
                <c:pt idx="223">
                  <c:v>-1.27205410875733</c:v>
                </c:pt>
                <c:pt idx="224">
                  <c:v>-1.20918655386705</c:v>
                </c:pt>
                <c:pt idx="225">
                  <c:v>-1.14846210951844</c:v>
                </c:pt>
                <c:pt idx="226">
                  <c:v>-1.08983553481123</c:v>
                </c:pt>
                <c:pt idx="227">
                  <c:v>-1.03326352515079</c:v>
                </c:pt>
                <c:pt idx="228">
                  <c:v>-0.978704639662068</c:v>
                </c:pt>
                <c:pt idx="229">
                  <c:v>-0.926119232411781</c:v>
                </c:pt>
                <c:pt idx="230">
                  <c:v>-0.875469387227511</c:v>
                </c:pt>
                <c:pt idx="231">
                  <c:v>-0.82671885591403</c:v>
                </c:pt>
                <c:pt idx="232">
                  <c:v>-0.779832999677913</c:v>
                </c:pt>
                <c:pt idx="233">
                  <c:v>-0.734778733580916</c:v>
                </c:pt>
                <c:pt idx="234">
                  <c:v>-0.691524473850912</c:v>
                </c:pt>
                <c:pt idx="235">
                  <c:v>-0.650040087886189</c:v>
                </c:pt>
                <c:pt idx="236">
                  <c:v>-0.610296846794715</c:v>
                </c:pt>
                <c:pt idx="237">
                  <c:v>-0.572267380314321</c:v>
                </c:pt>
                <c:pt idx="238">
                  <c:v>-0.535925633962558</c:v>
                </c:pt>
                <c:pt idx="239">
                  <c:v>-0.501246828266111</c:v>
                </c:pt>
                <c:pt idx="240">
                  <c:v>-0.468207419918705</c:v>
                </c:pt>
                <c:pt idx="241">
                  <c:v>-0.436785064713281</c:v>
                </c:pt>
                <c:pt idx="242">
                  <c:v>-0.406958582088235</c:v>
                </c:pt>
                <c:pt idx="243">
                  <c:v>-0.378707921118385</c:v>
                </c:pt>
                <c:pt idx="244">
                  <c:v>-0.3520141277683</c:v>
                </c:pt>
                <c:pt idx="245">
                  <c:v>-0.326859313207988</c:v>
                </c:pt>
                <c:pt idx="246">
                  <c:v>-0.303226622967876</c:v>
                </c:pt>
                <c:pt idx="247">
                  <c:v>-0.28110020668045</c:v>
                </c:pt>
                <c:pt idx="248">
                  <c:v>-0.260465188118998</c:v>
                </c:pt>
                <c:pt idx="249">
                  <c:v>-0.241307635198508</c:v>
                </c:pt>
                <c:pt idx="250">
                  <c:v>-0.223614529549473</c:v>
                </c:pt>
                <c:pt idx="251">
                  <c:v>-0.207373735211958</c:v>
                </c:pt>
                <c:pt idx="252">
                  <c:v>-0.192573965926227</c:v>
                </c:pt>
                <c:pt idx="253">
                  <c:v>-0.179204750420522</c:v>
                </c:pt>
                <c:pt idx="254">
                  <c:v>-0.167256395022655</c:v>
                </c:pt>
                <c:pt idx="255">
                  <c:v>-0.156719942860354</c:v>
                </c:pt>
                <c:pt idx="256">
                  <c:v>-0.14758712888153</c:v>
                </c:pt>
                <c:pt idx="257">
                  <c:v>-0.139850329941295</c:v>
                </c:pt>
                <c:pt idx="258">
                  <c:v>-0.133502509293037</c:v>
                </c:pt>
                <c:pt idx="259">
                  <c:v>-0.12853715501196</c:v>
                </c:pt>
                <c:pt idx="260">
                  <c:v>-0.124948212188921</c:v>
                </c:pt>
                <c:pt idx="261">
                  <c:v>-0.122730009160019</c:v>
                </c:pt>
                <c:pt idx="262">
                  <c:v>-0.121877178554014</c:v>
                </c:pt>
                <c:pt idx="263">
                  <c:v>-0.122384574482959</c:v>
                </c:pt>
                <c:pt idx="264">
                  <c:v>-0.124247187682468</c:v>
                </c:pt>
                <c:pt idx="265">
                  <c:v>-0.127460060732325</c:v>
                </c:pt>
                <c:pt idx="266">
                  <c:v>-0.132018205584623</c:v>
                </c:pt>
                <c:pt idx="267">
                  <c:v>-0.137916525473108</c:v>
                </c:pt>
                <c:pt idx="268">
                  <c:v>-0.145149742908661</c:v>
                </c:pt>
                <c:pt idx="269">
                  <c:v>-0.153712334961091</c:v>
                </c:pt>
                <c:pt idx="270">
                  <c:v>-0.163598476482598</c:v>
                </c:pt>
                <c:pt idx="271">
                  <c:v>-0.174801991427949</c:v>
                </c:pt>
                <c:pt idx="272">
                  <c:v>-0.187316312025838</c:v>
                </c:pt>
                <c:pt idx="273">
                  <c:v>-0.201134445276819</c:v>
                </c:pt>
                <c:pt idx="274">
                  <c:v>-0.216248946090529</c:v>
                </c:pt>
                <c:pt idx="275">
                  <c:v>-0.232651896307952</c:v>
                </c:pt>
                <c:pt idx="276">
                  <c:v>-0.250334888856636</c:v>
                </c:pt>
                <c:pt idx="277">
                  <c:v>-0.269289016333002</c:v>
                </c:pt>
                <c:pt idx="278">
                  <c:v>-0.289504863375944</c:v>
                </c:pt>
                <c:pt idx="279">
                  <c:v>-0.310972502275103</c:v>
                </c:pt>
                <c:pt idx="280">
                  <c:v>-0.333681491336263</c:v>
                </c:pt>
                <c:pt idx="281">
                  <c:v>-0.357620875599631</c:v>
                </c:pt>
                <c:pt idx="282">
                  <c:v>-0.382779189571925</c:v>
                </c:pt>
                <c:pt idx="283">
                  <c:v>-0.409144461689216</c:v>
                </c:pt>
                <c:pt idx="284">
                  <c:v>-0.4367042202747</c:v>
                </c:pt>
                <c:pt idx="285">
                  <c:v>-0.465445500794818</c:v>
                </c:pt>
                <c:pt idx="286">
                  <c:v>-0.495354854249305</c:v>
                </c:pt>
                <c:pt idx="287">
                  <c:v>-0.526418356557059</c:v>
                </c:pt>
                <c:pt idx="288">
                  <c:v>-0.558621618820995</c:v>
                </c:pt>
                <c:pt idx="289">
                  <c:v>-0.591949798372332</c:v>
                </c:pt>
                <c:pt idx="290">
                  <c:v>-0.626387610508673</c:v>
                </c:pt>
                <c:pt idx="291">
                  <c:v>-0.661919340851481</c:v>
                </c:pt>
                <c:pt idx="292">
                  <c:v>-0.698528858257689</c:v>
                </c:pt>
                <c:pt idx="293">
                  <c:v>-0.7361996282275</c:v>
                </c:pt>
                <c:pt idx="294">
                  <c:v>-0.774914726756449</c:v>
                </c:pt>
                <c:pt idx="295">
                  <c:v>-0.814656854584656</c:v>
                </c:pt>
                <c:pt idx="296">
                  <c:v>-0.855408351800188</c:v>
                </c:pt>
                <c:pt idx="297">
                  <c:v>-0.897151212756734</c:v>
                </c:pt>
                <c:pt idx="298">
                  <c:v>-0.939867101268524</c:v>
                </c:pt>
                <c:pt idx="299">
                  <c:v>-0.983537366047682</c:v>
                </c:pt>
                <c:pt idx="300">
                  <c:v>-1.02814305635115</c:v>
                </c:pt>
                <c:pt idx="301">
                  <c:v>-1.07366493780593</c:v>
                </c:pt>
                <c:pt idx="302">
                  <c:v>-1.12008350838284</c:v>
                </c:pt>
                <c:pt idx="303">
                  <c:v>-1.16737901449019</c:v>
                </c:pt>
                <c:pt idx="304">
                  <c:v>-1.21553146715994</c:v>
                </c:pt>
                <c:pt idx="305">
                  <c:v>-1.26452065829981</c:v>
                </c:pt>
                <c:pt idx="306">
                  <c:v>-1.31432617698591</c:v>
                </c:pt>
                <c:pt idx="307">
                  <c:v>-1.36492742577102</c:v>
                </c:pt>
                <c:pt idx="308">
                  <c:v>-1.41630363698485</c:v>
                </c:pt>
                <c:pt idx="309">
                  <c:v>-1.46843388900303</c:v>
                </c:pt>
                <c:pt idx="310">
                  <c:v>-1.52129712246251</c:v>
                </c:pt>
                <c:pt idx="311">
                  <c:v>-1.57487215640182</c:v>
                </c:pt>
                <c:pt idx="312">
                  <c:v>-1.62913770430525</c:v>
                </c:pt>
                <c:pt idx="313">
                  <c:v>-1.68407239003082</c:v>
                </c:pt>
                <c:pt idx="314">
                  <c:v>-1.73965476360252</c:v>
                </c:pt>
                <c:pt idx="315">
                  <c:v>-1.79586331684831</c:v>
                </c:pt>
                <c:pt idx="316">
                  <c:v>-1.85267649886562</c:v>
                </c:pt>
                <c:pt idx="317">
                  <c:v>-1.91007273129724</c:v>
                </c:pt>
                <c:pt idx="318">
                  <c:v>-1.96803042340107</c:v>
                </c:pt>
                <c:pt idx="319">
                  <c:v>-2.02652798689789</c:v>
                </c:pt>
                <c:pt idx="320">
                  <c:v>-2.08554385058205</c:v>
                </c:pt>
                <c:pt idx="321">
                  <c:v>-2.14505647468087</c:v>
                </c:pt>
                <c:pt idx="322">
                  <c:v>-2.20504436494909</c:v>
                </c:pt>
                <c:pt idx="323">
                  <c:v>-2.26548608648566</c:v>
                </c:pt>
                <c:pt idx="324">
                  <c:v>-2.3263602772607</c:v>
                </c:pt>
                <c:pt idx="325">
                  <c:v>-2.38764566134136</c:v>
                </c:pt>
                <c:pt idx="326">
                  <c:v>-2.44932106180613</c:v>
                </c:pt>
                <c:pt idx="327">
                  <c:v>-2.51136541333765</c:v>
                </c:pt>
                <c:pt idx="328">
                  <c:v>-2.57375777448504</c:v>
                </c:pt>
                <c:pt idx="329">
                  <c:v>-2.63647733958743</c:v>
                </c:pt>
                <c:pt idx="330">
                  <c:v>-2.69950345035122</c:v>
                </c:pt>
                <c:pt idx="331">
                  <c:v>-2.76281560707403</c:v>
                </c:pt>
                <c:pt idx="332">
                  <c:v>-2.82639347950941</c:v>
                </c:pt>
                <c:pt idx="333">
                  <c:v>-2.89021691736684</c:v>
                </c:pt>
                <c:pt idx="334">
                  <c:v>-2.9542659604424</c:v>
                </c:pt>
                <c:pt idx="335">
                  <c:v>-3.01852084837595</c:v>
                </c:pt>
                <c:pt idx="336">
                  <c:v>-3.0829620300317</c:v>
                </c:pt>
                <c:pt idx="337">
                  <c:v>-3.14757017249944</c:v>
                </c:pt>
                <c:pt idx="338">
                  <c:v>-3.21232616971436</c:v>
                </c:pt>
                <c:pt idx="339">
                  <c:v>-3.27721115069424</c:v>
                </c:pt>
                <c:pt idx="340">
                  <c:v>-3.3422064873932</c:v>
                </c:pt>
                <c:pt idx="341">
                  <c:v>-3.40729380217179</c:v>
                </c:pt>
                <c:pt idx="342">
                  <c:v>-3.4724549748841</c:v>
                </c:pt>
                <c:pt idx="343">
                  <c:v>-3.5376721495826</c:v>
                </c:pt>
                <c:pt idx="344">
                  <c:v>-3.60292774084259</c:v>
                </c:pt>
                <c:pt idx="345">
                  <c:v>-3.66820443970807</c:v>
                </c:pt>
                <c:pt idx="346">
                  <c:v>-3.73348521926177</c:v>
                </c:pt>
                <c:pt idx="347">
                  <c:v>-3.73355015652888</c:v>
                </c:pt>
                <c:pt idx="348">
                  <c:v>-3.73361509378051</c:v>
                </c:pt>
                <c:pt idx="349">
                  <c:v>-3.73368003101666</c:v>
                </c:pt>
                <c:pt idx="350">
                  <c:v>-3.73374496823731</c:v>
                </c:pt>
                <c:pt idx="351">
                  <c:v>-3.73380990544243</c:v>
                </c:pt>
                <c:pt idx="352">
                  <c:v>-3.73387484263202</c:v>
                </c:pt>
                <c:pt idx="353">
                  <c:v>-3.73393977980606</c:v>
                </c:pt>
                <c:pt idx="354">
                  <c:v>-3.73400471696453</c:v>
                </c:pt>
                <c:pt idx="355">
                  <c:v>-3.73406965410742</c:v>
                </c:pt>
                <c:pt idx="356">
                  <c:v>-3.7341345912347</c:v>
                </c:pt>
                <c:pt idx="357">
                  <c:v>-3.73419952834637</c:v>
                </c:pt>
                <c:pt idx="358">
                  <c:v>-3.73426446544241</c:v>
                </c:pt>
                <c:pt idx="359">
                  <c:v>-3.73432940252279</c:v>
                </c:pt>
                <c:pt idx="360">
                  <c:v>-3.73439433958752</c:v>
                </c:pt>
                <c:pt idx="361">
                  <c:v>-3.73445927663655</c:v>
                </c:pt>
                <c:pt idx="362">
                  <c:v>-3.73452421366989</c:v>
                </c:pt>
                <c:pt idx="363">
                  <c:v>-3.73458915068752</c:v>
                </c:pt>
                <c:pt idx="364">
                  <c:v>-3.73465408768941</c:v>
                </c:pt>
                <c:pt idx="365">
                  <c:v>-3.73471902467556</c:v>
                </c:pt>
                <c:pt idx="366">
                  <c:v>-3.73478396164594</c:v>
                </c:pt>
                <c:pt idx="367">
                  <c:v>-3.73484889860054</c:v>
                </c:pt>
                <c:pt idx="368">
                  <c:v>-3.73491383553935</c:v>
                </c:pt>
                <c:pt idx="369">
                  <c:v>-3.73497877246234</c:v>
                </c:pt>
                <c:pt idx="370">
                  <c:v>-3.73504370936951</c:v>
                </c:pt>
                <c:pt idx="371">
                  <c:v>-3.73510864626083</c:v>
                </c:pt>
                <c:pt idx="372">
                  <c:v>-3.73517358313629</c:v>
                </c:pt>
                <c:pt idx="373">
                  <c:v>-3.73523851999587</c:v>
                </c:pt>
                <c:pt idx="374">
                  <c:v>-3.73530345683955</c:v>
                </c:pt>
                <c:pt idx="375">
                  <c:v>-3.73536839366733</c:v>
                </c:pt>
                <c:pt idx="376">
                  <c:v>-3.73543333047918</c:v>
                </c:pt>
                <c:pt idx="377">
                  <c:v>-3.73549826727509</c:v>
                </c:pt>
                <c:pt idx="378">
                  <c:v>-3.73556320405503</c:v>
                </c:pt>
                <c:pt idx="379">
                  <c:v>-3.735628140819</c:v>
                </c:pt>
                <c:pt idx="380">
                  <c:v>-3.73569307756698</c:v>
                </c:pt>
                <c:pt idx="381">
                  <c:v>-3.73575801429895</c:v>
                </c:pt>
                <c:pt idx="382">
                  <c:v>-3.7358229510149</c:v>
                </c:pt>
                <c:pt idx="383">
                  <c:v>-3.7358878877148</c:v>
                </c:pt>
                <c:pt idx="384">
                  <c:v>-3.73595282439865</c:v>
                </c:pt>
                <c:pt idx="385">
                  <c:v>-3.73601776106643</c:v>
                </c:pt>
                <c:pt idx="386">
                  <c:v>-3.73608269771811</c:v>
                </c:pt>
                <c:pt idx="387">
                  <c:v>-3.73614763435369</c:v>
                </c:pt>
                <c:pt idx="388">
                  <c:v>-3.73621257097315</c:v>
                </c:pt>
                <c:pt idx="389">
                  <c:v>-3.73627750757646</c:v>
                </c:pt>
                <c:pt idx="390">
                  <c:v>-3.73634244416363</c:v>
                </c:pt>
                <c:pt idx="391">
                  <c:v>-3.73640738073462</c:v>
                </c:pt>
                <c:pt idx="392">
                  <c:v>-3.73647231728942</c:v>
                </c:pt>
                <c:pt idx="393">
                  <c:v>-3.73653725382802</c:v>
                </c:pt>
                <c:pt idx="394">
                  <c:v>-3.7366021903504</c:v>
                </c:pt>
                <c:pt idx="395">
                  <c:v>-3.73666712685655</c:v>
                </c:pt>
                <c:pt idx="396">
                  <c:v>-3.73673206334644</c:v>
                </c:pt>
                <c:pt idx="397">
                  <c:v>-3.73679699982006</c:v>
                </c:pt>
                <c:pt idx="398">
                  <c:v>-3.73686193627739</c:v>
                </c:pt>
                <c:pt idx="399">
                  <c:v>-3.73692687271843</c:v>
                </c:pt>
                <c:pt idx="400">
                  <c:v>-3.73699180914315</c:v>
                </c:pt>
                <c:pt idx="401">
                  <c:v>-3.73705674555153</c:v>
                </c:pt>
                <c:pt idx="402">
                  <c:v>-3.73712168194356</c:v>
                </c:pt>
                <c:pt idx="403">
                  <c:v>-3.73718661831922</c:v>
                </c:pt>
                <c:pt idx="404">
                  <c:v>-3.7372515546785</c:v>
                </c:pt>
                <c:pt idx="405">
                  <c:v>-3.73731649102139</c:v>
                </c:pt>
                <c:pt idx="406">
                  <c:v>-3.73738142734785</c:v>
                </c:pt>
                <c:pt idx="407">
                  <c:v>-3.73744636365789</c:v>
                </c:pt>
                <c:pt idx="408">
                  <c:v>-3.73751129995147</c:v>
                </c:pt>
                <c:pt idx="409">
                  <c:v>-3.73757623622859</c:v>
                </c:pt>
                <c:pt idx="410">
                  <c:v>-3.73764117248923</c:v>
                </c:pt>
                <c:pt idx="411">
                  <c:v>-3.73770610873338</c:v>
                </c:pt>
                <c:pt idx="412">
                  <c:v>-3.73777104496101</c:v>
                </c:pt>
                <c:pt idx="413">
                  <c:v>-3.73783598117211</c:v>
                </c:pt>
                <c:pt idx="414">
                  <c:v>-3.73790091736666</c:v>
                </c:pt>
                <c:pt idx="415">
                  <c:v>-3.73796585354465</c:v>
                </c:pt>
                <c:pt idx="416">
                  <c:v>-3.73803078970606</c:v>
                </c:pt>
                <c:pt idx="417">
                  <c:v>-3.73809572585088</c:v>
                </c:pt>
                <c:pt idx="418">
                  <c:v>-3.73816066197909</c:v>
                </c:pt>
                <c:pt idx="419">
                  <c:v>-3.73822559809067</c:v>
                </c:pt>
                <c:pt idx="420">
                  <c:v>-3.7382905341856</c:v>
                </c:pt>
                <c:pt idx="421">
                  <c:v>-3.73835547026388</c:v>
                </c:pt>
                <c:pt idx="422">
                  <c:v>-3.73842040632547</c:v>
                </c:pt>
                <c:pt idx="423">
                  <c:v>-3.73848534237038</c:v>
                </c:pt>
                <c:pt idx="424">
                  <c:v>-3.73855027839858</c:v>
                </c:pt>
                <c:pt idx="425">
                  <c:v>-3.73861521441005</c:v>
                </c:pt>
                <c:pt idx="426">
                  <c:v>-3.73868015040478</c:v>
                </c:pt>
                <c:pt idx="427">
                  <c:v>-3.73874508638275</c:v>
                </c:pt>
                <c:pt idx="428">
                  <c:v>-3.73881002234395</c:v>
                </c:pt>
                <c:pt idx="429">
                  <c:v>-3.73887495828835</c:v>
                </c:pt>
                <c:pt idx="430">
                  <c:v>-3.73893989421595</c:v>
                </c:pt>
                <c:pt idx="431">
                  <c:v>-3.73900483012673</c:v>
                </c:pt>
                <c:pt idx="432">
                  <c:v>-3.73906976602067</c:v>
                </c:pt>
                <c:pt idx="433">
                  <c:v>-3.73913470189775</c:v>
                </c:pt>
                <c:pt idx="434">
                  <c:v>-3.73919963775796</c:v>
                </c:pt>
                <c:pt idx="435">
                  <c:v>-3.73926457360128</c:v>
                </c:pt>
                <c:pt idx="436">
                  <c:v>-3.7393295094277</c:v>
                </c:pt>
                <c:pt idx="437">
                  <c:v>-3.73939444523719</c:v>
                </c:pt>
                <c:pt idx="438">
                  <c:v>-3.73945938102975</c:v>
                </c:pt>
                <c:pt idx="439">
                  <c:v>-3.73952431680536</c:v>
                </c:pt>
                <c:pt idx="440">
                  <c:v>-3.73958925256399</c:v>
                </c:pt>
                <c:pt idx="441">
                  <c:v>-3.73965418830564</c:v>
                </c:pt>
                <c:pt idx="442">
                  <c:v>-3.73971912403029</c:v>
                </c:pt>
                <c:pt idx="443">
                  <c:v>-3.73978405973792</c:v>
                </c:pt>
                <c:pt idx="444">
                  <c:v>-3.73984899542852</c:v>
                </c:pt>
                <c:pt idx="445">
                  <c:v>-3.73991393110206</c:v>
                </c:pt>
                <c:pt idx="446">
                  <c:v>-3.73997886675854</c:v>
                </c:pt>
                <c:pt idx="447">
                  <c:v>-3.74004380239793</c:v>
                </c:pt>
                <c:pt idx="448">
                  <c:v>-3.74010873802022</c:v>
                </c:pt>
                <c:pt idx="449">
                  <c:v>-3.7401736736254</c:v>
                </c:pt>
                <c:pt idx="450">
                  <c:v>-3.74023860921344</c:v>
                </c:pt>
                <c:pt idx="451">
                  <c:v>-3.74030354478434</c:v>
                </c:pt>
                <c:pt idx="452">
                  <c:v>-3.74036848033807</c:v>
                </c:pt>
                <c:pt idx="453">
                  <c:v>-3.74043341587462</c:v>
                </c:pt>
                <c:pt idx="454">
                  <c:v>-3.74049835139397</c:v>
                </c:pt>
                <c:pt idx="455">
                  <c:v>-3.74056328689611</c:v>
                </c:pt>
                <c:pt idx="456">
                  <c:v>-3.74062822238101</c:v>
                </c:pt>
                <c:pt idx="457">
                  <c:v>-3.74069315784867</c:v>
                </c:pt>
                <c:pt idx="458">
                  <c:v>-3.74075809329907</c:v>
                </c:pt>
                <c:pt idx="459">
                  <c:v>-3.74082302873219</c:v>
                </c:pt>
                <c:pt idx="460">
                  <c:v>-3.74088796414801</c:v>
                </c:pt>
                <c:pt idx="461">
                  <c:v>-3.74095289954652</c:v>
                </c:pt>
                <c:pt idx="462">
                  <c:v>-3.74101783492771</c:v>
                </c:pt>
                <c:pt idx="463">
                  <c:v>-3.74108277029155</c:v>
                </c:pt>
                <c:pt idx="464">
                  <c:v>-3.74114770563803</c:v>
                </c:pt>
                <c:pt idx="465">
                  <c:v>-3.74121264096713</c:v>
                </c:pt>
                <c:pt idx="466">
                  <c:v>-3.74127757627884</c:v>
                </c:pt>
                <c:pt idx="467">
                  <c:v>-3.74134251157314</c:v>
                </c:pt>
                <c:pt idx="468">
                  <c:v>-3.74140744685002</c:v>
                </c:pt>
                <c:pt idx="469">
                  <c:v>-3.74147238210945</c:v>
                </c:pt>
                <c:pt idx="470">
                  <c:v>-3.74153731735142</c:v>
                </c:pt>
                <c:pt idx="471">
                  <c:v>-3.74160225257592</c:v>
                </c:pt>
                <c:pt idx="472">
                  <c:v>-3.74166718778293</c:v>
                </c:pt>
                <c:pt idx="473">
                  <c:v>-3.74173212297243</c:v>
                </c:pt>
                <c:pt idx="474">
                  <c:v>-3.74179705814441</c:v>
                </c:pt>
                <c:pt idx="475">
                  <c:v>-3.74186199329885</c:v>
                </c:pt>
                <c:pt idx="476">
                  <c:v>-3.74192692843574</c:v>
                </c:pt>
                <c:pt idx="477">
                  <c:v>-3.74199186355505</c:v>
                </c:pt>
                <c:pt idx="478">
                  <c:v>-3.74205679865677</c:v>
                </c:pt>
                <c:pt idx="479">
                  <c:v>-3.74212173374089</c:v>
                </c:pt>
                <c:pt idx="480">
                  <c:v>-3.74218666880739</c:v>
                </c:pt>
                <c:pt idx="481">
                  <c:v>-3.74225160385625</c:v>
                </c:pt>
                <c:pt idx="482">
                  <c:v>-3.74231653888746</c:v>
                </c:pt>
                <c:pt idx="483">
                  <c:v>-3.742381473901</c:v>
                </c:pt>
                <c:pt idx="484">
                  <c:v>-3.74244640889685</c:v>
                </c:pt>
                <c:pt idx="485">
                  <c:v>-3.742511343875</c:v>
                </c:pt>
                <c:pt idx="486">
                  <c:v>-3.74257627883543</c:v>
                </c:pt>
                <c:pt idx="487">
                  <c:v>-3.74264121377813</c:v>
                </c:pt>
                <c:pt idx="488">
                  <c:v>-3.74270614870308</c:v>
                </c:pt>
                <c:pt idx="489">
                  <c:v>-3.74277108361026</c:v>
                </c:pt>
                <c:pt idx="490">
                  <c:v>-3.74283601849965</c:v>
                </c:pt>
                <c:pt idx="491">
                  <c:v>-3.74290095337124</c:v>
                </c:pt>
                <c:pt idx="492">
                  <c:v>-3.74296588822502</c:v>
                </c:pt>
                <c:pt idx="493">
                  <c:v>-3.74303082306097</c:v>
                </c:pt>
                <c:pt idx="494">
                  <c:v>-3.74309575787907</c:v>
                </c:pt>
                <c:pt idx="495">
                  <c:v>-3.7431606926793</c:v>
                </c:pt>
                <c:pt idx="496">
                  <c:v>-3.74322562746165</c:v>
                </c:pt>
                <c:pt idx="497">
                  <c:v>-3.7432905622261</c:v>
                </c:pt>
                <c:pt idx="498">
                  <c:v>-3.74335549697264</c:v>
                </c:pt>
                <c:pt idx="499">
                  <c:v>-3.74342043170125</c:v>
                </c:pt>
                <c:pt idx="500">
                  <c:v>-3.74348536641192</c:v>
                </c:pt>
                <c:pt idx="501">
                  <c:v>-3.74355030110462</c:v>
                </c:pt>
                <c:pt idx="502">
                  <c:v>-3.74361523577934</c:v>
                </c:pt>
                <c:pt idx="503">
                  <c:v>-3.74368017043607</c:v>
                </c:pt>
                <c:pt idx="504">
                  <c:v>-3.74374510507478</c:v>
                </c:pt>
                <c:pt idx="505">
                  <c:v>-3.74381003969547</c:v>
                </c:pt>
                <c:pt idx="506">
                  <c:v>-3.74387497429812</c:v>
                </c:pt>
                <c:pt idx="507">
                  <c:v>-3.7439399088827</c:v>
                </c:pt>
                <c:pt idx="508">
                  <c:v>-3.74400484344921</c:v>
                </c:pt>
                <c:pt idx="509">
                  <c:v>-3.74406977799762</c:v>
                </c:pt>
                <c:pt idx="510">
                  <c:v>-3.74413471252793</c:v>
                </c:pt>
                <c:pt idx="511">
                  <c:v>-3.74419964704011</c:v>
                </c:pt>
                <c:pt idx="512">
                  <c:v>-3.74426458153415</c:v>
                </c:pt>
                <c:pt idx="513">
                  <c:v>-3.74432951601003</c:v>
                </c:pt>
                <c:pt idx="514">
                  <c:v>-3.74439445046774</c:v>
                </c:pt>
                <c:pt idx="515">
                  <c:v>-3.74445938490725</c:v>
                </c:pt>
                <c:pt idx="516">
                  <c:v>-3.74452431932856</c:v>
                </c:pt>
                <c:pt idx="517">
                  <c:v>-3.74458925373165</c:v>
                </c:pt>
                <c:pt idx="518">
                  <c:v>-3.7446541881165</c:v>
                </c:pt>
                <c:pt idx="519">
                  <c:v>-3.74471912248309</c:v>
                </c:pt>
                <c:pt idx="520">
                  <c:v>-3.74478405683141</c:v>
                </c:pt>
                <c:pt idx="521">
                  <c:v>-3.74484899116145</c:v>
                </c:pt>
                <c:pt idx="522">
                  <c:v>-3.74491392547318</c:v>
                </c:pt>
                <c:pt idx="523">
                  <c:v>-3.74497885976658</c:v>
                </c:pt>
                <c:pt idx="524">
                  <c:v>-3.74504379404166</c:v>
                </c:pt>
                <c:pt idx="525">
                  <c:v>-3.74510872829838</c:v>
                </c:pt>
                <c:pt idx="526">
                  <c:v>-3.74517366253673</c:v>
                </c:pt>
                <c:pt idx="527">
                  <c:v>-3.74523859675669</c:v>
                </c:pt>
                <c:pt idx="528">
                  <c:v>-3.74530353095826</c:v>
                </c:pt>
                <c:pt idx="529">
                  <c:v>-3.7453684651414</c:v>
                </c:pt>
                <c:pt idx="530">
                  <c:v>-3.74543339930611</c:v>
                </c:pt>
                <c:pt idx="531">
                  <c:v>-3.74549833345237</c:v>
                </c:pt>
                <c:pt idx="532">
                  <c:v>-3.74556326758016</c:v>
                </c:pt>
                <c:pt idx="533">
                  <c:v>-3.74562820168948</c:v>
                </c:pt>
                <c:pt idx="534">
                  <c:v>-3.74569313578029</c:v>
                </c:pt>
                <c:pt idx="535">
                  <c:v>-3.74575806985258</c:v>
                </c:pt>
                <c:pt idx="536">
                  <c:v>-3.74582300390634</c:v>
                </c:pt>
                <c:pt idx="537">
                  <c:v>-3.74588793794156</c:v>
                </c:pt>
                <c:pt idx="538">
                  <c:v>-3.74595287195821</c:v>
                </c:pt>
                <c:pt idx="539">
                  <c:v>-3.74601780595628</c:v>
                </c:pt>
                <c:pt idx="540">
                  <c:v>-3.74608273993575</c:v>
                </c:pt>
                <c:pt idx="541">
                  <c:v>-3.74614767389662</c:v>
                </c:pt>
                <c:pt idx="542">
                  <c:v>-3.74621260783885</c:v>
                </c:pt>
                <c:pt idx="543">
                  <c:v>-3.74627754176244</c:v>
                </c:pt>
                <c:pt idx="544">
                  <c:v>-3.74634247566736</c:v>
                </c:pt>
                <c:pt idx="545">
                  <c:v>-3.7464074095536</c:v>
                </c:pt>
                <c:pt idx="546">
                  <c:v>-3.74647234342116</c:v>
                </c:pt>
                <c:pt idx="547">
                  <c:v>-3.74653727727</c:v>
                </c:pt>
                <c:pt idx="548">
                  <c:v>-3.74660221110011</c:v>
                </c:pt>
                <c:pt idx="549">
                  <c:v>-3.74666714491148</c:v>
                </c:pt>
                <c:pt idx="550">
                  <c:v>-3.74673207870409</c:v>
                </c:pt>
                <c:pt idx="551">
                  <c:v>-3.74679701247793</c:v>
                </c:pt>
                <c:pt idx="552">
                  <c:v>-3.74686194623297</c:v>
                </c:pt>
                <c:pt idx="553">
                  <c:v>-3.74692687996921</c:v>
                </c:pt>
                <c:pt idx="554">
                  <c:v>-3.74699181368662</c:v>
                </c:pt>
                <c:pt idx="555">
                  <c:v>-3.74705674738519</c:v>
                </c:pt>
                <c:pt idx="556">
                  <c:v>-3.74712168106491</c:v>
                </c:pt>
                <c:pt idx="557">
                  <c:v>-3.74718661472575</c:v>
                </c:pt>
                <c:pt idx="558">
                  <c:v>-3.7472515483677</c:v>
                </c:pt>
                <c:pt idx="559">
                  <c:v>-3.74731648199074</c:v>
                </c:pt>
                <c:pt idx="560">
                  <c:v>-3.74738141559486</c:v>
                </c:pt>
                <c:pt idx="561">
                  <c:v>-3.74744634918005</c:v>
                </c:pt>
                <c:pt idx="562">
                  <c:v>-3.74751128274628</c:v>
                </c:pt>
                <c:pt idx="563">
                  <c:v>-3.74757621629354</c:v>
                </c:pt>
                <c:pt idx="564">
                  <c:v>-3.74764114982182</c:v>
                </c:pt>
                <c:pt idx="565">
                  <c:v>-3.74770608333109</c:v>
                </c:pt>
                <c:pt idx="566">
                  <c:v>-3.74777101682134</c:v>
                </c:pt>
                <c:pt idx="567">
                  <c:v>-3.74783595029255</c:v>
                </c:pt>
                <c:pt idx="568">
                  <c:v>-3.74790088374472</c:v>
                </c:pt>
                <c:pt idx="569">
                  <c:v>-3.74796581717781</c:v>
                </c:pt>
                <c:pt idx="570">
                  <c:v>-3.74803075059182</c:v>
                </c:pt>
                <c:pt idx="571">
                  <c:v>-3.74809568398673</c:v>
                </c:pt>
                <c:pt idx="572">
                  <c:v>-3.74816061736253</c:v>
                </c:pt>
                <c:pt idx="573">
                  <c:v>-3.74822555071919</c:v>
                </c:pt>
                <c:pt idx="574">
                  <c:v>-3.7482904840567</c:v>
                </c:pt>
                <c:pt idx="575">
                  <c:v>-3.74835541737504</c:v>
                </c:pt>
                <c:pt idx="576">
                  <c:v>-3.7484203506742</c:v>
                </c:pt>
                <c:pt idx="577">
                  <c:v>-3.74848528395417</c:v>
                </c:pt>
                <c:pt idx="578">
                  <c:v>-3.74855021721492</c:v>
                </c:pt>
                <c:pt idx="579">
                  <c:v>-3.74861515045644</c:v>
                </c:pt>
                <c:pt idx="580">
                  <c:v>-3.74868008367872</c:v>
                </c:pt>
                <c:pt idx="581">
                  <c:v>-3.74874501688172</c:v>
                </c:pt>
                <c:pt idx="582">
                  <c:v>-3.74880995006545</c:v>
                </c:pt>
                <c:pt idx="583">
                  <c:v>-3.74887488322989</c:v>
                </c:pt>
                <c:pt idx="584">
                  <c:v>-3.74893981637501</c:v>
                </c:pt>
                <c:pt idx="585">
                  <c:v>-3.74900474950081</c:v>
                </c:pt>
                <c:pt idx="586">
                  <c:v>-3.74906968260726</c:v>
                </c:pt>
                <c:pt idx="587">
                  <c:v>-3.74913461569435</c:v>
                </c:pt>
                <c:pt idx="588">
                  <c:v>-3.74919954876206</c:v>
                </c:pt>
                <c:pt idx="589">
                  <c:v>-3.74926448181038</c:v>
                </c:pt>
                <c:pt idx="590">
                  <c:v>-3.74932941483929</c:v>
                </c:pt>
                <c:pt idx="591">
                  <c:v>-3.74939434784878</c:v>
                </c:pt>
                <c:pt idx="592">
                  <c:v>-3.74945928083882</c:v>
                </c:pt>
                <c:pt idx="593">
                  <c:v>-3.74952421380941</c:v>
                </c:pt>
                <c:pt idx="594">
                  <c:v>-3.74958914676052</c:v>
                </c:pt>
                <c:pt idx="595">
                  <c:v>-3.74965407969214</c:v>
                </c:pt>
                <c:pt idx="596">
                  <c:v>-3.74971901260425</c:v>
                </c:pt>
                <c:pt idx="597">
                  <c:v>-3.74978394549684</c:v>
                </c:pt>
                <c:pt idx="598">
                  <c:v>-3.7498488783699</c:v>
                </c:pt>
                <c:pt idx="599">
                  <c:v>-3.74991381122339</c:v>
                </c:pt>
                <c:pt idx="600">
                  <c:v>-3.74997874405732</c:v>
                </c:pt>
                <c:pt idx="601">
                  <c:v>-3.75004367687165</c:v>
                </c:pt>
                <c:pt idx="602">
                  <c:v>-3.75010860966638</c:v>
                </c:pt>
                <c:pt idx="603">
                  <c:v>-3.7501735424415</c:v>
                </c:pt>
                <c:pt idx="604">
                  <c:v>-3.75023847519697</c:v>
                </c:pt>
                <c:pt idx="605">
                  <c:v>-3.75030340793279</c:v>
                </c:pt>
                <c:pt idx="606">
                  <c:v>-3.75036834064894</c:v>
                </c:pt>
                <c:pt idx="607">
                  <c:v>-3.75043327334541</c:v>
                </c:pt>
                <c:pt idx="608">
                  <c:v>-3.75049820602218</c:v>
                </c:pt>
                <c:pt idx="609">
                  <c:v>-3.75056313867923</c:v>
                </c:pt>
                <c:pt idx="610">
                  <c:v>-3.75062807131654</c:v>
                </c:pt>
                <c:pt idx="611">
                  <c:v>-3.7506930039341</c:v>
                </c:pt>
                <c:pt idx="612">
                  <c:v>-3.7507579365319</c:v>
                </c:pt>
                <c:pt idx="613">
                  <c:v>-3.75082286910991</c:v>
                </c:pt>
                <c:pt idx="614">
                  <c:v>-3.75088780166813</c:v>
                </c:pt>
                <c:pt idx="615">
                  <c:v>-3.75095273420653</c:v>
                </c:pt>
                <c:pt idx="616">
                  <c:v>-3.75101766672509</c:v>
                </c:pt>
                <c:pt idx="617">
                  <c:v>-3.75108259922382</c:v>
                </c:pt>
                <c:pt idx="618">
                  <c:v>-3.75114753170267</c:v>
                </c:pt>
                <c:pt idx="619">
                  <c:v>-3.75121246416165</c:v>
                </c:pt>
                <c:pt idx="620">
                  <c:v>-3.75127739660073</c:v>
                </c:pt>
                <c:pt idx="621">
                  <c:v>-3.7513423290199</c:v>
                </c:pt>
                <c:pt idx="622">
                  <c:v>-3.75140726141914</c:v>
                </c:pt>
                <c:pt idx="623">
                  <c:v>-3.75147219379843</c:v>
                </c:pt>
                <c:pt idx="624">
                  <c:v>-3.75153712615776</c:v>
                </c:pt>
                <c:pt idx="625">
                  <c:v>-3.75160205849711</c:v>
                </c:pt>
                <c:pt idx="626">
                  <c:v>-3.75166699081647</c:v>
                </c:pt>
                <c:pt idx="627">
                  <c:v>-3.75173192311582</c:v>
                </c:pt>
                <c:pt idx="628">
                  <c:v>-3.75179685539515</c:v>
                </c:pt>
                <c:pt idx="629">
                  <c:v>-3.75186178765443</c:v>
                </c:pt>
                <c:pt idx="630">
                  <c:v>-3.75192671989365</c:v>
                </c:pt>
                <c:pt idx="631">
                  <c:v>-3.7519916521128</c:v>
                </c:pt>
                <c:pt idx="632">
                  <c:v>-3.75205658431185</c:v>
                </c:pt>
                <c:pt idx="633">
                  <c:v>-3.7521215164908</c:v>
                </c:pt>
                <c:pt idx="634">
                  <c:v>-3.75218644864963</c:v>
                </c:pt>
                <c:pt idx="635">
                  <c:v>-3.75225138078831</c:v>
                </c:pt>
                <c:pt idx="636">
                  <c:v>-3.75231631290684</c:v>
                </c:pt>
                <c:pt idx="637">
                  <c:v>-3.75238124500519</c:v>
                </c:pt>
                <c:pt idx="638">
                  <c:v>-3.75244617708336</c:v>
                </c:pt>
                <c:pt idx="639">
                  <c:v>-3.75251110914133</c:v>
                </c:pt>
                <c:pt idx="640">
                  <c:v>-3.75257604117907</c:v>
                </c:pt>
                <c:pt idx="641">
                  <c:v>-3.75264097319657</c:v>
                </c:pt>
                <c:pt idx="642">
                  <c:v>-3.75270590519382</c:v>
                </c:pt>
                <c:pt idx="643">
                  <c:v>-3.7527708371708</c:v>
                </c:pt>
                <c:pt idx="644">
                  <c:v>-3.7528357691275</c:v>
                </c:pt>
                <c:pt idx="645">
                  <c:v>-3.75290070106389</c:v>
                </c:pt>
                <c:pt idx="646">
                  <c:v>-3.75296563297996</c:v>
                </c:pt>
                <c:pt idx="647">
                  <c:v>-3.7530305648757</c:v>
                </c:pt>
                <c:pt idx="648">
                  <c:v>-3.75309549675109</c:v>
                </c:pt>
                <c:pt idx="649">
                  <c:v>-3.75316042860611</c:v>
                </c:pt>
                <c:pt idx="650">
                  <c:v>-3.75322536044075</c:v>
                </c:pt>
                <c:pt idx="651">
                  <c:v>-3.75329029225499</c:v>
                </c:pt>
                <c:pt idx="652">
                  <c:v>-3.75335522404881</c:v>
                </c:pt>
                <c:pt idx="653">
                  <c:v>-3.7534201558222</c:v>
                </c:pt>
                <c:pt idx="654">
                  <c:v>-3.75348508757515</c:v>
                </c:pt>
                <c:pt idx="655">
                  <c:v>-3.75355001930763</c:v>
                </c:pt>
                <c:pt idx="656">
                  <c:v>-3.75361495101962</c:v>
                </c:pt>
                <c:pt idx="657">
                  <c:v>-3.75367988271112</c:v>
                </c:pt>
                <c:pt idx="658">
                  <c:v>-3.75374481438211</c:v>
                </c:pt>
                <c:pt idx="659">
                  <c:v>-3.75380974603257</c:v>
                </c:pt>
                <c:pt idx="660">
                  <c:v>-3.75387467766248</c:v>
                </c:pt>
                <c:pt idx="661">
                  <c:v>-3.75393960927183</c:v>
                </c:pt>
                <c:pt idx="662">
                  <c:v>-3.75400454086061</c:v>
                </c:pt>
                <c:pt idx="663">
                  <c:v>-3.75406947242879</c:v>
                </c:pt>
                <c:pt idx="664">
                  <c:v>-3.75413440397635</c:v>
                </c:pt>
                <c:pt idx="665">
                  <c:v>-3.75419933550329</c:v>
                </c:pt>
                <c:pt idx="666">
                  <c:v>-3.75426426700959</c:v>
                </c:pt>
                <c:pt idx="667">
                  <c:v>-3.75432919849523</c:v>
                </c:pt>
                <c:pt idx="668">
                  <c:v>-3.7543941299602</c:v>
                </c:pt>
                <c:pt idx="669">
                  <c:v>-3.75445906140447</c:v>
                </c:pt>
                <c:pt idx="670">
                  <c:v>-3.75452399282803</c:v>
                </c:pt>
                <c:pt idx="671">
                  <c:v>-3.75458892423087</c:v>
                </c:pt>
                <c:pt idx="672">
                  <c:v>-3.75465385561297</c:v>
                </c:pt>
                <c:pt idx="673">
                  <c:v>-3.75471878697431</c:v>
                </c:pt>
                <c:pt idx="674">
                  <c:v>-3.75478371831489</c:v>
                </c:pt>
                <c:pt idx="675">
                  <c:v>-3.75484864963467</c:v>
                </c:pt>
                <c:pt idx="676">
                  <c:v>-3.75491358093365</c:v>
                </c:pt>
                <c:pt idx="677">
                  <c:v>-3.7549785122118</c:v>
                </c:pt>
                <c:pt idx="678">
                  <c:v>-3.75504344346912</c:v>
                </c:pt>
                <c:pt idx="679">
                  <c:v>-3.75510837470558</c:v>
                </c:pt>
                <c:pt idx="680">
                  <c:v>-3.75517330592118</c:v>
                </c:pt>
                <c:pt idx="681">
                  <c:v>-3.75523823711589</c:v>
                </c:pt>
                <c:pt idx="682">
                  <c:v>-3.75530316828969</c:v>
                </c:pt>
                <c:pt idx="683">
                  <c:v>-3.75536809944258</c:v>
                </c:pt>
                <c:pt idx="684">
                  <c:v>-3.75543303057453</c:v>
                </c:pt>
                <c:pt idx="685">
                  <c:v>-3.75549796168553</c:v>
                </c:pt>
                <c:pt idx="686">
                  <c:v>-3.75556289277557</c:v>
                </c:pt>
                <c:pt idx="687">
                  <c:v>-3.75562782384462</c:v>
                </c:pt>
                <c:pt idx="688">
                  <c:v>-3.75569275489267</c:v>
                </c:pt>
                <c:pt idx="689">
                  <c:v>-3.7557576859197</c:v>
                </c:pt>
                <c:pt idx="690">
                  <c:v>-3.7558226169257</c:v>
                </c:pt>
                <c:pt idx="691">
                  <c:v>-3.75588754791066</c:v>
                </c:pt>
                <c:pt idx="692">
                  <c:v>-3.75595247887455</c:v>
                </c:pt>
                <c:pt idx="693">
                  <c:v>-3.75601740981736</c:v>
                </c:pt>
                <c:pt idx="694">
                  <c:v>-3.75608234073907</c:v>
                </c:pt>
                <c:pt idx="695">
                  <c:v>-3.75614727163967</c:v>
                </c:pt>
                <c:pt idx="696">
                  <c:v>-3.75621220251914</c:v>
                </c:pt>
                <c:pt idx="697">
                  <c:v>-3.75627713337747</c:v>
                </c:pt>
                <c:pt idx="698">
                  <c:v>-3.75634206421463</c:v>
                </c:pt>
                <c:pt idx="699">
                  <c:v>-3.75640699503061</c:v>
                </c:pt>
                <c:pt idx="700">
                  <c:v>-3.7564719258254</c:v>
                </c:pt>
                <c:pt idx="701">
                  <c:v>-3.75653685659898</c:v>
                </c:pt>
                <c:pt idx="702">
                  <c:v>-3.75660178735133</c:v>
                </c:pt>
                <c:pt idx="703">
                  <c:v>-3.75666671808244</c:v>
                </c:pt>
                <c:pt idx="704">
                  <c:v>-3.75673164879229</c:v>
                </c:pt>
                <c:pt idx="705">
                  <c:v>-3.75679657948087</c:v>
                </c:pt>
                <c:pt idx="706">
                  <c:v>-3.75686151014816</c:v>
                </c:pt>
                <c:pt idx="707">
                  <c:v>-3.75692644079413</c:v>
                </c:pt>
                <c:pt idx="708">
                  <c:v>-3.75699137141878</c:v>
                </c:pt>
                <c:pt idx="709">
                  <c:v>-3.7570563020221</c:v>
                </c:pt>
                <c:pt idx="710">
                  <c:v>-3.75712123260405</c:v>
                </c:pt>
                <c:pt idx="711">
                  <c:v>-3.75718616316464</c:v>
                </c:pt>
                <c:pt idx="712">
                  <c:v>-3.75725109370383</c:v>
                </c:pt>
                <c:pt idx="713">
                  <c:v>-3.75731602422162</c:v>
                </c:pt>
                <c:pt idx="714">
                  <c:v>-3.75738095471799</c:v>
                </c:pt>
                <c:pt idx="715">
                  <c:v>-3.75744588519292</c:v>
                </c:pt>
                <c:pt idx="716">
                  <c:v>-3.7575108156464</c:v>
                </c:pt>
                <c:pt idx="717">
                  <c:v>-3.75757574607841</c:v>
                </c:pt>
                <c:pt idx="718">
                  <c:v>-3.75764067648893</c:v>
                </c:pt>
                <c:pt idx="719">
                  <c:v>-3.75770560687795</c:v>
                </c:pt>
                <c:pt idx="720">
                  <c:v>-3.75777053724545</c:v>
                </c:pt>
                <c:pt idx="721">
                  <c:v>-3.75783546759142</c:v>
                </c:pt>
                <c:pt idx="722">
                  <c:v>-3.75790039791584</c:v>
                </c:pt>
                <c:pt idx="723">
                  <c:v>-3.75796532821869</c:v>
                </c:pt>
                <c:pt idx="724">
                  <c:v>-3.75803025849995</c:v>
                </c:pt>
                <c:pt idx="725">
                  <c:v>-3.75809518875962</c:v>
                </c:pt>
                <c:pt idx="726">
                  <c:v>-3.75816011899767</c:v>
                </c:pt>
                <c:pt idx="727">
                  <c:v>-3.75822504921409</c:v>
                </c:pt>
                <c:pt idx="728">
                  <c:v>-3.75828997940886</c:v>
                </c:pt>
                <c:pt idx="729">
                  <c:v>-3.75835490958197</c:v>
                </c:pt>
                <c:pt idx="730">
                  <c:v>-3.75841983973339</c:v>
                </c:pt>
                <c:pt idx="731">
                  <c:v>-3.75848476986312</c:v>
                </c:pt>
                <c:pt idx="732">
                  <c:v>-3.75854969997114</c:v>
                </c:pt>
                <c:pt idx="733">
                  <c:v>-3.75861463005743</c:v>
                </c:pt>
                <c:pt idx="734">
                  <c:v>-3.75867956012197</c:v>
                </c:pt>
                <c:pt idx="735">
                  <c:v>-3.75874449016475</c:v>
                </c:pt>
                <c:pt idx="736">
                  <c:v>-3.75880942018575</c:v>
                </c:pt>
                <c:pt idx="737">
                  <c:v>-3.75887435018496</c:v>
                </c:pt>
                <c:pt idx="738">
                  <c:v>-3.75893928016236</c:v>
                </c:pt>
                <c:pt idx="739">
                  <c:v>-3.75900421011794</c:v>
                </c:pt>
                <c:pt idx="740">
                  <c:v>-3.75906914005167</c:v>
                </c:pt>
                <c:pt idx="741">
                  <c:v>-3.75913406996354</c:v>
                </c:pt>
                <c:pt idx="742">
                  <c:v>-3.75919899985354</c:v>
                </c:pt>
                <c:pt idx="743">
                  <c:v>-3.75926392972164</c:v>
                </c:pt>
                <c:pt idx="744">
                  <c:v>-3.75932885956785</c:v>
                </c:pt>
                <c:pt idx="745">
                  <c:v>-3.75939378939212</c:v>
                </c:pt>
                <c:pt idx="746">
                  <c:v>-3.75945871919446</c:v>
                </c:pt>
                <c:pt idx="747">
                  <c:v>-3.75952364897484</c:v>
                </c:pt>
                <c:pt idx="748">
                  <c:v>-3.75958857873324</c:v>
                </c:pt>
                <c:pt idx="749">
                  <c:v>-3.75965350846967</c:v>
                </c:pt>
                <c:pt idx="750">
                  <c:v>-3.75971843818408</c:v>
                </c:pt>
                <c:pt idx="751">
                  <c:v>-3.75978336787648</c:v>
                </c:pt>
                <c:pt idx="752">
                  <c:v>-3.75984829754684</c:v>
                </c:pt>
                <c:pt idx="753">
                  <c:v>-3.75991322719514</c:v>
                </c:pt>
                <c:pt idx="754">
                  <c:v>-3.75997815682138</c:v>
                </c:pt>
                <c:pt idx="755">
                  <c:v>-3.76004308642553</c:v>
                </c:pt>
                <c:pt idx="756">
                  <c:v>-3.76010801600758</c:v>
                </c:pt>
                <c:pt idx="757">
                  <c:v>-3.76017294556751</c:v>
                </c:pt>
                <c:pt idx="758">
                  <c:v>-3.76023787510531</c:v>
                </c:pt>
                <c:pt idx="759">
                  <c:v>-3.76030280462095</c:v>
                </c:pt>
                <c:pt idx="760">
                  <c:v>-3.76036773411444</c:v>
                </c:pt>
                <c:pt idx="761">
                  <c:v>-3.76043266358574</c:v>
                </c:pt>
                <c:pt idx="762">
                  <c:v>-3.76049759303484</c:v>
                </c:pt>
                <c:pt idx="763">
                  <c:v>-3.76056252246172</c:v>
                </c:pt>
                <c:pt idx="764">
                  <c:v>-3.76062745186638</c:v>
                </c:pt>
                <c:pt idx="765">
                  <c:v>-3.76069238124878</c:v>
                </c:pt>
                <c:pt idx="766">
                  <c:v>-3.76075731060892</c:v>
                </c:pt>
                <c:pt idx="767">
                  <c:v>-3.76082223994679</c:v>
                </c:pt>
                <c:pt idx="768">
                  <c:v>-3.76088716926236</c:v>
                </c:pt>
                <c:pt idx="769">
                  <c:v>-3.76095209855561</c:v>
                </c:pt>
                <c:pt idx="770">
                  <c:v>-3.76101702782654</c:v>
                </c:pt>
                <c:pt idx="771">
                  <c:v>-3.76108195707512</c:v>
                </c:pt>
                <c:pt idx="772">
                  <c:v>-3.76114688630135</c:v>
                </c:pt>
                <c:pt idx="773">
                  <c:v>-3.76121181550519</c:v>
                </c:pt>
                <c:pt idx="774">
                  <c:v>-3.76127674468664</c:v>
                </c:pt>
                <c:pt idx="775">
                  <c:v>-3.76134167384569</c:v>
                </c:pt>
                <c:pt idx="776">
                  <c:v>-3.7614066029823</c:v>
                </c:pt>
                <c:pt idx="777">
                  <c:v>-3.76147153209648</c:v>
                </c:pt>
                <c:pt idx="778">
                  <c:v>-3.7615364611882</c:v>
                </c:pt>
                <c:pt idx="779">
                  <c:v>-3.76160139025744</c:v>
                </c:pt>
                <c:pt idx="780">
                  <c:v>-3.7616663193042</c:v>
                </c:pt>
                <c:pt idx="781">
                  <c:v>-3.76173124832845</c:v>
                </c:pt>
                <c:pt idx="782">
                  <c:v>-3.76179617733017</c:v>
                </c:pt>
                <c:pt idx="783">
                  <c:v>-3.76186110630936</c:v>
                </c:pt>
                <c:pt idx="784">
                  <c:v>-3.76192603526599</c:v>
                </c:pt>
                <c:pt idx="785">
                  <c:v>-3.76199096420005</c:v>
                </c:pt>
                <c:pt idx="786">
                  <c:v>-3.76205589311153</c:v>
                </c:pt>
                <c:pt idx="787">
                  <c:v>-3.7621208220004</c:v>
                </c:pt>
                <c:pt idx="788">
                  <c:v>-3.76218575086665</c:v>
                </c:pt>
                <c:pt idx="789">
                  <c:v>-3.76225067971026</c:v>
                </c:pt>
                <c:pt idx="790">
                  <c:v>-3.76231560853122</c:v>
                </c:pt>
                <c:pt idx="791">
                  <c:v>-3.76238053732952</c:v>
                </c:pt>
                <c:pt idx="792">
                  <c:v>-3.76244546610513</c:v>
                </c:pt>
                <c:pt idx="793">
                  <c:v>-3.76251039485804</c:v>
                </c:pt>
                <c:pt idx="794">
                  <c:v>-3.76257532358823</c:v>
                </c:pt>
                <c:pt idx="795">
                  <c:v>-3.76264025229569</c:v>
                </c:pt>
                <c:pt idx="796">
                  <c:v>-3.76270518098041</c:v>
                </c:pt>
                <c:pt idx="797">
                  <c:v>-3.76277010964235</c:v>
                </c:pt>
                <c:pt idx="798">
                  <c:v>-3.76283503828151</c:v>
                </c:pt>
                <c:pt idx="799">
                  <c:v>-3.76289996689788</c:v>
                </c:pt>
                <c:pt idx="800">
                  <c:v>-3.76296489549143</c:v>
                </c:pt>
                <c:pt idx="801">
                  <c:v>-3.76302982406216</c:v>
                </c:pt>
                <c:pt idx="802">
                  <c:v>-3.76309475261003</c:v>
                </c:pt>
                <c:pt idx="803">
                  <c:v>-3.76315968113505</c:v>
                </c:pt>
                <c:pt idx="804">
                  <c:v>-3.76322460963718</c:v>
                </c:pt>
                <c:pt idx="805">
                  <c:v>-3.76328953811643</c:v>
                </c:pt>
                <c:pt idx="806">
                  <c:v>-3.76335446657275</c:v>
                </c:pt>
                <c:pt idx="807">
                  <c:v>-3.76341939500616</c:v>
                </c:pt>
                <c:pt idx="808">
                  <c:v>-3.76348432341662</c:v>
                </c:pt>
                <c:pt idx="809">
                  <c:v>-3.76354925180412</c:v>
                </c:pt>
                <c:pt idx="810">
                  <c:v>-3.76361418016864</c:v>
                </c:pt>
                <c:pt idx="811">
                  <c:v>-3.76367910851018</c:v>
                </c:pt>
                <c:pt idx="812">
                  <c:v>-3.7637440368287</c:v>
                </c:pt>
                <c:pt idx="813">
                  <c:v>-3.7638089651242</c:v>
                </c:pt>
                <c:pt idx="814">
                  <c:v>-3.76387389339666</c:v>
                </c:pt>
                <c:pt idx="815">
                  <c:v>-3.76393882164607</c:v>
                </c:pt>
                <c:pt idx="816">
                  <c:v>-3.7640037498724</c:v>
                </c:pt>
                <c:pt idx="817">
                  <c:v>-3.76406867807564</c:v>
                </c:pt>
                <c:pt idx="818">
                  <c:v>-3.76413360625578</c:v>
                </c:pt>
                <c:pt idx="819">
                  <c:v>-3.7641985344128</c:v>
                </c:pt>
                <c:pt idx="820">
                  <c:v>-3.76426346254667</c:v>
                </c:pt>
                <c:pt idx="821">
                  <c:v>-3.7643283906574</c:v>
                </c:pt>
                <c:pt idx="822">
                  <c:v>-3.76439331874496</c:v>
                </c:pt>
                <c:pt idx="823">
                  <c:v>-3.76445824680933</c:v>
                </c:pt>
                <c:pt idx="824">
                  <c:v>-3.76452317485049</c:v>
                </c:pt>
                <c:pt idx="825">
                  <c:v>-3.76458810286844</c:v>
                </c:pt>
                <c:pt idx="826">
                  <c:v>-3.76465303086316</c:v>
                </c:pt>
                <c:pt idx="827">
                  <c:v>-3.76471795883462</c:v>
                </c:pt>
                <c:pt idx="828">
                  <c:v>-3.76478288678282</c:v>
                </c:pt>
                <c:pt idx="829">
                  <c:v>-3.76484781470773</c:v>
                </c:pt>
                <c:pt idx="830">
                  <c:v>-3.76491274260935</c:v>
                </c:pt>
                <c:pt idx="831">
                  <c:v>-3.76497767048765</c:v>
                </c:pt>
                <c:pt idx="832">
                  <c:v>-3.76504259834262</c:v>
                </c:pt>
                <c:pt idx="833">
                  <c:v>-3.76510752617424</c:v>
                </c:pt>
                <c:pt idx="834">
                  <c:v>-3.7651724539825</c:v>
                </c:pt>
                <c:pt idx="835">
                  <c:v>-3.76523738176737</c:v>
                </c:pt>
                <c:pt idx="836">
                  <c:v>-3.76530230952885</c:v>
                </c:pt>
                <c:pt idx="837">
                  <c:v>-3.76536723726692</c:v>
                </c:pt>
                <c:pt idx="838">
                  <c:v>-3.76543216498156</c:v>
                </c:pt>
                <c:pt idx="839">
                  <c:v>-3.76549709267276</c:v>
                </c:pt>
                <c:pt idx="840">
                  <c:v>-3.76556202034049</c:v>
                </c:pt>
                <c:pt idx="841">
                  <c:v>-3.76562694798475</c:v>
                </c:pt>
                <c:pt idx="842">
                  <c:v>-3.76569187560551</c:v>
                </c:pt>
                <c:pt idx="843">
                  <c:v>-3.76575680320277</c:v>
                </c:pt>
                <c:pt idx="844">
                  <c:v>-3.7658217307765</c:v>
                </c:pt>
                <c:pt idx="845">
                  <c:v>-3.76588665832669</c:v>
                </c:pt>
                <c:pt idx="846">
                  <c:v>-3.76595158585332</c:v>
                </c:pt>
                <c:pt idx="847">
                  <c:v>-3.76601651335637</c:v>
                </c:pt>
                <c:pt idx="848">
                  <c:v>-3.76608144083584</c:v>
                </c:pt>
                <c:pt idx="849">
                  <c:v>-3.7661463682917</c:v>
                </c:pt>
                <c:pt idx="850">
                  <c:v>-3.76621129572394</c:v>
                </c:pt>
                <c:pt idx="851">
                  <c:v>-3.76627622313254</c:v>
                </c:pt>
                <c:pt idx="852">
                  <c:v>-3.76634115051748</c:v>
                </c:pt>
                <c:pt idx="853">
                  <c:v>-3.76640607787875</c:v>
                </c:pt>
                <c:pt idx="854">
                  <c:v>-3.76647100521634</c:v>
                </c:pt>
                <c:pt idx="855">
                  <c:v>-3.76653593253022</c:v>
                </c:pt>
                <c:pt idx="856">
                  <c:v>-3.76660085982038</c:v>
                </c:pt>
                <c:pt idx="857">
                  <c:v>-3.76666578708681</c:v>
                </c:pt>
                <c:pt idx="858">
                  <c:v>-3.76673071432948</c:v>
                </c:pt>
                <c:pt idx="859">
                  <c:v>-3.76679564154839</c:v>
                </c:pt>
                <c:pt idx="860">
                  <c:v>-3.76686056874351</c:v>
                </c:pt>
                <c:pt idx="861">
                  <c:v>-3.76692549591483</c:v>
                </c:pt>
                <c:pt idx="862">
                  <c:v>-3.76699042306234</c:v>
                </c:pt>
                <c:pt idx="863">
                  <c:v>-3.76705535018601</c:v>
                </c:pt>
                <c:pt idx="864">
                  <c:v>-3.76712027728584</c:v>
                </c:pt>
                <c:pt idx="865">
                  <c:v>-3.7671852043618</c:v>
                </c:pt>
                <c:pt idx="866">
                  <c:v>-3.76725013141388</c:v>
                </c:pt>
                <c:pt idx="867">
                  <c:v>-3.76731505844206</c:v>
                </c:pt>
                <c:pt idx="868">
                  <c:v>-3.76737998544632</c:v>
                </c:pt>
                <c:pt idx="869">
                  <c:v>-3.76744491242666</c:v>
                </c:pt>
                <c:pt idx="870">
                  <c:v>-3.76750983938305</c:v>
                </c:pt>
                <c:pt idx="871">
                  <c:v>-3.76757476631548</c:v>
                </c:pt>
                <c:pt idx="872">
                  <c:v>-3.76763969322394</c:v>
                </c:pt>
                <c:pt idx="873">
                  <c:v>-3.76770462010839</c:v>
                </c:pt>
                <c:pt idx="874">
                  <c:v>-3.76776954696884</c:v>
                </c:pt>
                <c:pt idx="875">
                  <c:v>-3.76783447380526</c:v>
                </c:pt>
                <c:pt idx="876">
                  <c:v>-3.76789940061764</c:v>
                </c:pt>
                <c:pt idx="877">
                  <c:v>-3.76796432740596</c:v>
                </c:pt>
                <c:pt idx="878">
                  <c:v>-3.7680292541702</c:v>
                </c:pt>
                <c:pt idx="879">
                  <c:v>-3.76809418091036</c:v>
                </c:pt>
                <c:pt idx="880">
                  <c:v>-3.7681591076264</c:v>
                </c:pt>
                <c:pt idx="881">
                  <c:v>-3.76822403431832</c:v>
                </c:pt>
                <c:pt idx="882">
                  <c:v>-3.76828896098611</c:v>
                </c:pt>
                <c:pt idx="883">
                  <c:v>-3.76835388762973</c:v>
                </c:pt>
                <c:pt idx="884">
                  <c:v>-3.76841881424918</c:v>
                </c:pt>
                <c:pt idx="885">
                  <c:v>-3.76848374084445</c:v>
                </c:pt>
                <c:pt idx="886">
                  <c:v>-3.76854866741551</c:v>
                </c:pt>
                <c:pt idx="887">
                  <c:v>-3.76861359396235</c:v>
                </c:pt>
                <c:pt idx="888">
                  <c:v>-3.76867852048496</c:v>
                </c:pt>
                <c:pt idx="889">
                  <c:v>-3.76874344698331</c:v>
                </c:pt>
                <c:pt idx="890">
                  <c:v>-3.7688083734574</c:v>
                </c:pt>
                <c:pt idx="891">
                  <c:v>-3.7688732999072</c:v>
                </c:pt>
                <c:pt idx="892">
                  <c:v>-3.76893822633269</c:v>
                </c:pt>
                <c:pt idx="893">
                  <c:v>-3.76900315273387</c:v>
                </c:pt>
                <c:pt idx="894">
                  <c:v>-3.76906807911072</c:v>
                </c:pt>
                <c:pt idx="895">
                  <c:v>-3.76913300546321</c:v>
                </c:pt>
                <c:pt idx="896">
                  <c:v>-3.76919793179134</c:v>
                </c:pt>
                <c:pt idx="897">
                  <c:v>-3.76926285809509</c:v>
                </c:pt>
                <c:pt idx="898">
                  <c:v>-3.76932778437444</c:v>
                </c:pt>
                <c:pt idx="899">
                  <c:v>-3.76939271062937</c:v>
                </c:pt>
                <c:pt idx="900">
                  <c:v>-3.76945763685988</c:v>
                </c:pt>
                <c:pt idx="901">
                  <c:v>-3.76952256306594</c:v>
                </c:pt>
                <c:pt idx="902">
                  <c:v>-3.76958748924754</c:v>
                </c:pt>
                <c:pt idx="903">
                  <c:v>-3.76965241540465</c:v>
                </c:pt>
                <c:pt idx="904">
                  <c:v>-3.76971734153728</c:v>
                </c:pt>
                <c:pt idx="905">
                  <c:v>-3.76978226764538</c:v>
                </c:pt>
                <c:pt idx="906">
                  <c:v>-3.76984719372897</c:v>
                </c:pt>
                <c:pt idx="907">
                  <c:v>-3.76991211978801</c:v>
                </c:pt>
                <c:pt idx="908">
                  <c:v>-3.76997704582249</c:v>
                </c:pt>
                <c:pt idx="909">
                  <c:v>-3.77004197183239</c:v>
                </c:pt>
                <c:pt idx="910">
                  <c:v>-3.7701068978177</c:v>
                </c:pt>
                <c:pt idx="911">
                  <c:v>-3.77017182377841</c:v>
                </c:pt>
                <c:pt idx="912">
                  <c:v>-3.77023674971449</c:v>
                </c:pt>
                <c:pt idx="913">
                  <c:v>-3.77030167562593</c:v>
                </c:pt>
                <c:pt idx="914">
                  <c:v>-3.77036660151271</c:v>
                </c:pt>
                <c:pt idx="915">
                  <c:v>-3.77043152737482</c:v>
                </c:pt>
                <c:pt idx="916">
                  <c:v>-3.77049645321224</c:v>
                </c:pt>
                <c:pt idx="917">
                  <c:v>-3.77056137902496</c:v>
                </c:pt>
                <c:pt idx="918">
                  <c:v>-3.77062630481295</c:v>
                </c:pt>
                <c:pt idx="919">
                  <c:v>-3.77069123057621</c:v>
                </c:pt>
                <c:pt idx="920">
                  <c:v>-3.77075615631471</c:v>
                </c:pt>
                <c:pt idx="921">
                  <c:v>-3.77082108202845</c:v>
                </c:pt>
                <c:pt idx="922">
                  <c:v>-3.77088600771739</c:v>
                </c:pt>
                <c:pt idx="923">
                  <c:v>-3.77095093338154</c:v>
                </c:pt>
                <c:pt idx="924">
                  <c:v>-3.77101585902087</c:v>
                </c:pt>
                <c:pt idx="925">
                  <c:v>-3.77108078463537</c:v>
                </c:pt>
                <c:pt idx="926">
                  <c:v>-3.77114571022501</c:v>
                </c:pt>
                <c:pt idx="927">
                  <c:v>-3.77121063578979</c:v>
                </c:pt>
                <c:pt idx="928">
                  <c:v>-3.77127556132968</c:v>
                </c:pt>
                <c:pt idx="929">
                  <c:v>-3.77134048684468</c:v>
                </c:pt>
                <c:pt idx="930">
                  <c:v>-3.77140541233476</c:v>
                </c:pt>
                <c:pt idx="931">
                  <c:v>-3.77147033779991</c:v>
                </c:pt>
                <c:pt idx="932">
                  <c:v>-3.77153526324011</c:v>
                </c:pt>
                <c:pt idx="933">
                  <c:v>-3.77160018865535</c:v>
                </c:pt>
                <c:pt idx="934">
                  <c:v>-3.77166511404561</c:v>
                </c:pt>
                <c:pt idx="935">
                  <c:v>-3.77173003941088</c:v>
                </c:pt>
                <c:pt idx="936">
                  <c:v>-3.77179496475113</c:v>
                </c:pt>
                <c:pt idx="937">
                  <c:v>-3.77185989006636</c:v>
                </c:pt>
                <c:pt idx="938">
                  <c:v>-3.77192481535654</c:v>
                </c:pt>
                <c:pt idx="939">
                  <c:v>-3.77198974062166</c:v>
                </c:pt>
                <c:pt idx="940">
                  <c:v>-3.77205466586171</c:v>
                </c:pt>
                <c:pt idx="941">
                  <c:v>-3.77211959107666</c:v>
                </c:pt>
                <c:pt idx="942">
                  <c:v>-3.7721845162665</c:v>
                </c:pt>
                <c:pt idx="943">
                  <c:v>-3.77224944143122</c:v>
                </c:pt>
                <c:pt idx="944">
                  <c:v>-3.7723143665708</c:v>
                </c:pt>
                <c:pt idx="945">
                  <c:v>-3.77237929168522</c:v>
                </c:pt>
                <c:pt idx="946">
                  <c:v>-3.77244421677447</c:v>
                </c:pt>
                <c:pt idx="947">
                  <c:v>-3.77250914183852</c:v>
                </c:pt>
                <c:pt idx="948">
                  <c:v>-3.77257406687738</c:v>
                </c:pt>
                <c:pt idx="949">
                  <c:v>-3.77263899189101</c:v>
                </c:pt>
                <c:pt idx="950">
                  <c:v>-3.7727039168794</c:v>
                </c:pt>
                <c:pt idx="951">
                  <c:v>-3.77276884184254</c:v>
                </c:pt>
                <c:pt idx="952">
                  <c:v>-3.77283376678041</c:v>
                </c:pt>
                <c:pt idx="953">
                  <c:v>-3.772898691693</c:v>
                </c:pt>
                <c:pt idx="954">
                  <c:v>-3.77296361658028</c:v>
                </c:pt>
                <c:pt idx="955">
                  <c:v>-3.77302854144224</c:v>
                </c:pt>
                <c:pt idx="956">
                  <c:v>-3.77309346627887</c:v>
                </c:pt>
                <c:pt idx="957">
                  <c:v>-3.77315839109015</c:v>
                </c:pt>
                <c:pt idx="958">
                  <c:v>-3.77322331587606</c:v>
                </c:pt>
                <c:pt idx="959">
                  <c:v>-3.77328824063659</c:v>
                </c:pt>
                <c:pt idx="960">
                  <c:v>-3.77335316537172</c:v>
                </c:pt>
                <c:pt idx="961">
                  <c:v>-3.77341809008143</c:v>
                </c:pt>
                <c:pt idx="962">
                  <c:v>-3.77348301476571</c:v>
                </c:pt>
                <c:pt idx="963">
                  <c:v>-3.77354793942455</c:v>
                </c:pt>
                <c:pt idx="964">
                  <c:v>-3.77361286405792</c:v>
                </c:pt>
                <c:pt idx="965">
                  <c:v>-3.77367778866581</c:v>
                </c:pt>
                <c:pt idx="966">
                  <c:v>-3.77374271324821</c:v>
                </c:pt>
                <c:pt idx="967">
                  <c:v>-3.77380763780509</c:v>
                </c:pt>
                <c:pt idx="968">
                  <c:v>-3.77387256233645</c:v>
                </c:pt>
                <c:pt idx="969">
                  <c:v>-3.77393748684226</c:v>
                </c:pt>
                <c:pt idx="970">
                  <c:v>-3.77400241132251</c:v>
                </c:pt>
                <c:pt idx="971">
                  <c:v>-3.77406733577719</c:v>
                </c:pt>
                <c:pt idx="972">
                  <c:v>-3.77413226020627</c:v>
                </c:pt>
                <c:pt idx="973">
                  <c:v>-3.77419718460974</c:v>
                </c:pt>
                <c:pt idx="974">
                  <c:v>-3.77426210898759</c:v>
                </c:pt>
                <c:pt idx="975">
                  <c:v>-3.7743270333398</c:v>
                </c:pt>
                <c:pt idx="976">
                  <c:v>-3.77439195766635</c:v>
                </c:pt>
                <c:pt idx="977">
                  <c:v>-3.77445688196722</c:v>
                </c:pt>
                <c:pt idx="978">
                  <c:v>-3.77452180624241</c:v>
                </c:pt>
                <c:pt idx="979">
                  <c:v>-3.77458673049189</c:v>
                </c:pt>
                <c:pt idx="980">
                  <c:v>-3.77465165471565</c:v>
                </c:pt>
                <c:pt idx="981">
                  <c:v>-3.77471657891367</c:v>
                </c:pt>
                <c:pt idx="982">
                  <c:v>-3.77478150308594</c:v>
                </c:pt>
                <c:pt idx="983">
                  <c:v>-3.77484642723244</c:v>
                </c:pt>
                <c:pt idx="984">
                  <c:v>-3.77491135135315</c:v>
                </c:pt>
                <c:pt idx="985">
                  <c:v>-3.77497627544806</c:v>
                </c:pt>
                <c:pt idx="986">
                  <c:v>-3.77504119951715</c:v>
                </c:pt>
                <c:pt idx="987">
                  <c:v>-3.77510612356041</c:v>
                </c:pt>
                <c:pt idx="988">
                  <c:v>-3.77517104757781</c:v>
                </c:pt>
                <c:pt idx="989">
                  <c:v>-3.77523597156935</c:v>
                </c:pt>
                <c:pt idx="990">
                  <c:v>-3.77530089553501</c:v>
                </c:pt>
                <c:pt idx="991">
                  <c:v>-3.77536581947477</c:v>
                </c:pt>
                <c:pt idx="992">
                  <c:v>-3.77543074338861</c:v>
                </c:pt>
                <c:pt idx="993">
                  <c:v>-3.77549566727652</c:v>
                </c:pt>
                <c:pt idx="994">
                  <c:v>-3.77556059113848</c:v>
                </c:pt>
                <c:pt idx="995">
                  <c:v>-3.77562551497448</c:v>
                </c:pt>
                <c:pt idx="996">
                  <c:v>-3.7756904387845</c:v>
                </c:pt>
                <c:pt idx="997">
                  <c:v>-3.77575536256852</c:v>
                </c:pt>
                <c:pt idx="998">
                  <c:v>-3.77582028632653</c:v>
                </c:pt>
                <c:pt idx="999">
                  <c:v>-3.77588521005852</c:v>
                </c:pt>
                <c:pt idx="1000">
                  <c:v>-3.77595013376446</c:v>
                </c:pt>
              </c:numCache>
            </c:numRef>
          </c:yVal>
          <c:smooth val="0"/>
        </c:ser>
        <c:axId val="35025416"/>
        <c:axId val="96148490"/>
      </c:scatterChart>
      <c:valAx>
        <c:axId val="35025416"/>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96148490"/>
        <c:crosses val="autoZero"/>
        <c:crossBetween val="midCat"/>
      </c:valAx>
      <c:valAx>
        <c:axId val="96148490"/>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152586712372"/>
              <c:y val="0.29702060637879"/>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35025416"/>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29060484417"/>
          <c:y val="0.0947630922693267"/>
          <c:w val="0.864282170402778"/>
          <c:h val="0.738417115106969"/>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Calculs!$J$4:$J$1004</c:f>
              <c:numCache>
                <c:formatCode>General</c:formatCode>
                <c:ptCount val="1001"/>
                <c:pt idx="0">
                  <c:v>0</c:v>
                </c:pt>
                <c:pt idx="1">
                  <c:v>0.0002640509309752</c:v>
                </c:pt>
                <c:pt idx="2">
                  <c:v>0.00175273237688055</c:v>
                </c:pt>
                <c:pt idx="3">
                  <c:v>0.00545610406193197</c:v>
                </c:pt>
                <c:pt idx="4">
                  <c:v>0.0115570799799965</c:v>
                </c:pt>
                <c:pt idx="5">
                  <c:v>0.019887626763166</c:v>
                </c:pt>
                <c:pt idx="6">
                  <c:v>0.0303862731855809</c:v>
                </c:pt>
                <c:pt idx="7">
                  <c:v>0.0430448816483504</c:v>
                </c:pt>
                <c:pt idx="8">
                  <c:v>0.0578552592877925</c:v>
                </c:pt>
                <c:pt idx="9">
                  <c:v>0.0748091583611076</c:v>
                </c:pt>
                <c:pt idx="10">
                  <c:v>0.093898276636523</c:v>
                </c:pt>
                <c:pt idx="11">
                  <c:v>0.115114257787836</c:v>
                </c:pt>
                <c:pt idx="12">
                  <c:v>0.138448691793286</c:v>
                </c:pt>
                <c:pt idx="13">
                  <c:v>0.163893115338667</c:v>
                </c:pt>
                <c:pt idx="14">
                  <c:v>0.191439012224629</c:v>
                </c:pt>
                <c:pt idx="15">
                  <c:v>0.221077813778067</c:v>
                </c:pt>
                <c:pt idx="16">
                  <c:v>0.252800899267539</c:v>
                </c:pt>
                <c:pt idx="17">
                  <c:v>0.28659959632262</c:v>
                </c:pt>
                <c:pt idx="18">
                  <c:v>0.322465181357135</c:v>
                </c:pt>
                <c:pt idx="19">
                  <c:v>0.360388879996165</c:v>
                </c:pt>
                <c:pt idx="20">
                  <c:v>0.400361867506773</c:v>
                </c:pt>
                <c:pt idx="21">
                  <c:v>0.442375269232349</c:v>
                </c:pt>
                <c:pt idx="22">
                  <c:v>0.486504097934803</c:v>
                </c:pt>
                <c:pt idx="23">
                  <c:v>0.532827327943045</c:v>
                </c:pt>
                <c:pt idx="24">
                  <c:v>0.581343823304871</c:v>
                </c:pt>
                <c:pt idx="25">
                  <c:v>0.632052086116819</c:v>
                </c:pt>
                <c:pt idx="26">
                  <c:v>0.684950227130358</c:v>
                </c:pt>
                <c:pt idx="27">
                  <c:v>0.740035991052591</c:v>
                </c:pt>
                <c:pt idx="28">
                  <c:v>0.797306779056704</c:v>
                </c:pt>
                <c:pt idx="29">
                  <c:v>0.856759668909874</c:v>
                </c:pt>
                <c:pt idx="30">
                  <c:v>0.918391433054189</c:v>
                </c:pt>
                <c:pt idx="31">
                  <c:v>0.982198554918847</c:v>
                </c:pt>
                <c:pt idx="32">
                  <c:v>1.04817724369602</c:v>
                </c:pt>
                <c:pt idx="33">
                  <c:v>1.11632344777567</c:v>
                </c:pt>
                <c:pt idx="34">
                  <c:v>1.18663286700435</c:v>
                </c:pt>
                <c:pt idx="35">
                  <c:v>1.25910096390855</c:v>
                </c:pt>
                <c:pt idx="36">
                  <c:v>1.33372297400227</c:v>
                </c:pt>
                <c:pt idx="37">
                  <c:v>1.41049391528209</c:v>
                </c:pt>
                <c:pt idx="38">
                  <c:v>1.48940859699853</c:v>
                </c:pt>
                <c:pt idx="39">
                  <c:v>1.57046162778065</c:v>
                </c:pt>
                <c:pt idx="40">
                  <c:v>1.65364742318099</c:v>
                </c:pt>
                <c:pt idx="41">
                  <c:v>1.7389602126994</c:v>
                </c:pt>
                <c:pt idx="42">
                  <c:v>1.8263940463369</c:v>
                </c:pt>
                <c:pt idx="43">
                  <c:v>1.9159428007248</c:v>
                </c:pt>
                <c:pt idx="44">
                  <c:v>2.00760018486897</c:v>
                </c:pt>
                <c:pt idx="45">
                  <c:v>2.10135974554421</c:v>
                </c:pt>
                <c:pt idx="46">
                  <c:v>2.19721487237039</c:v>
                </c:pt>
                <c:pt idx="47">
                  <c:v>2.29515880259785</c:v>
                </c:pt>
                <c:pt idx="48">
                  <c:v>2.39518462562717</c:v>
                </c:pt>
                <c:pt idx="49">
                  <c:v>2.49728528728538</c:v>
                </c:pt>
                <c:pt idx="50">
                  <c:v>2.60145359387868</c:v>
                </c:pt>
                <c:pt idx="51">
                  <c:v>2.70768221603955</c:v>
                </c:pt>
                <c:pt idx="52">
                  <c:v>2.81596369238441</c:v>
                </c:pt>
                <c:pt idx="53">
                  <c:v>2.92629043299643</c:v>
                </c:pt>
                <c:pt idx="54">
                  <c:v>3.03865472274672</c:v>
                </c:pt>
                <c:pt idx="55">
                  <c:v>3.15304872446584</c:v>
                </c:pt>
                <c:pt idx="56">
                  <c:v>3.2694644819765</c:v>
                </c:pt>
                <c:pt idx="57">
                  <c:v>3.38789392299733</c:v>
                </c:pt>
                <c:pt idx="58">
                  <c:v>3.50832886192681</c:v>
                </c:pt>
                <c:pt idx="59">
                  <c:v>3.63076100251548</c:v>
                </c:pt>
                <c:pt idx="60">
                  <c:v>3.75518194043399</c:v>
                </c:pt>
                <c:pt idx="61">
                  <c:v>3.88158316574394</c:v>
                </c:pt>
                <c:pt idx="62">
                  <c:v>4.00995606527774</c:v>
                </c:pt>
                <c:pt idx="63">
                  <c:v>4.14028673339737</c:v>
                </c:pt>
                <c:pt idx="64">
                  <c:v>4.27255075481131</c:v>
                </c:pt>
                <c:pt idx="65">
                  <c:v>4.40671836379116</c:v>
                </c:pt>
                <c:pt idx="66">
                  <c:v>4.54275963260079</c:v>
                </c:pt>
                <c:pt idx="67">
                  <c:v>4.68063968571726</c:v>
                </c:pt>
                <c:pt idx="68">
                  <c:v>4.82031389031129</c:v>
                </c:pt>
                <c:pt idx="69">
                  <c:v>4.96172407542431</c:v>
                </c:pt>
                <c:pt idx="70">
                  <c:v>5.10479473646288</c:v>
                </c:pt>
                <c:pt idx="71">
                  <c:v>5.249441542874</c:v>
                </c:pt>
                <c:pt idx="72">
                  <c:v>5.39557988836756</c:v>
                </c:pt>
                <c:pt idx="73">
                  <c:v>5.54312490378916</c:v>
                </c:pt>
                <c:pt idx="74">
                  <c:v>5.69199146949723</c:v>
                </c:pt>
                <c:pt idx="75">
                  <c:v>5.84209422726325</c:v>
                </c:pt>
                <c:pt idx="76">
                  <c:v>5.99334759171102</c:v>
                </c:pt>
                <c:pt idx="77">
                  <c:v>6.145665761309</c:v>
                </c:pt>
                <c:pt idx="78">
                  <c:v>6.29896272892765</c:v>
                </c:pt>
                <c:pt idx="79">
                  <c:v>6.45315229197218</c:v>
                </c:pt>
                <c:pt idx="80">
                  <c:v>6.60814806209938</c:v>
                </c:pt>
                <c:pt idx="81">
                  <c:v>6.76387381597904</c:v>
                </c:pt>
                <c:pt idx="82">
                  <c:v>6.9202738780059</c:v>
                </c:pt>
                <c:pt idx="83">
                  <c:v>7.07730282163948</c:v>
                </c:pt>
                <c:pt idx="84">
                  <c:v>7.23491513542946</c:v>
                </c:pt>
                <c:pt idx="85">
                  <c:v>7.39306522574327</c:v>
                </c:pt>
                <c:pt idx="86">
                  <c:v>7.55170741938369</c:v>
                </c:pt>
                <c:pt idx="87">
                  <c:v>7.71079596609759</c:v>
                </c:pt>
                <c:pt idx="88">
                  <c:v>7.87028504097633</c:v>
                </c:pt>
                <c:pt idx="89">
                  <c:v>8.03013204755353</c:v>
                </c:pt>
                <c:pt idx="90">
                  <c:v>8.1903009297815</c:v>
                </c:pt>
                <c:pt idx="91">
                  <c:v>8.35075888252431</c:v>
                </c:pt>
                <c:pt idx="92">
                  <c:v>8.51147305252637</c:v>
                </c:pt>
                <c:pt idx="93">
                  <c:v>8.67241136882667</c:v>
                </c:pt>
                <c:pt idx="94">
                  <c:v>8.83354337526783</c:v>
                </c:pt>
                <c:pt idx="95">
                  <c:v>8.99483940420411</c:v>
                </c:pt>
                <c:pt idx="96">
                  <c:v>9.15626974792777</c:v>
                </c:pt>
                <c:pt idx="97">
                  <c:v>9.31780799326488</c:v>
                </c:pt>
                <c:pt idx="98">
                  <c:v>9.47943436442749</c:v>
                </c:pt>
                <c:pt idx="99">
                  <c:v>9.64113239797863</c:v>
                </c:pt>
                <c:pt idx="100">
                  <c:v>9.80288560926065</c:v>
                </c:pt>
                <c:pt idx="101">
                  <c:v>9.96467749250837</c:v>
                </c:pt>
                <c:pt idx="102">
                  <c:v>10.1264915209482</c:v>
                </c:pt>
                <c:pt idx="103">
                  <c:v>10.2883111468834</c:v>
                </c:pt>
                <c:pt idx="104">
                  <c:v>10.450119801765</c:v>
                </c:pt>
                <c:pt idx="105">
                  <c:v>10.611900896249</c:v>
                </c:pt>
                <c:pt idx="106">
                  <c:v>10.7736378202387</c:v>
                </c:pt>
                <c:pt idx="107">
                  <c:v>10.9353139429132</c:v>
                </c:pt>
                <c:pt idx="108">
                  <c:v>11.096912612741</c:v>
                </c:pt>
                <c:pt idx="109">
                  <c:v>11.2584213855259</c:v>
                </c:pt>
                <c:pt idx="110">
                  <c:v>11.4198362625145</c:v>
                </c:pt>
                <c:pt idx="111">
                  <c:v>11.5811574724183</c:v>
                </c:pt>
                <c:pt idx="112">
                  <c:v>11.7423852433695</c:v>
                </c:pt>
                <c:pt idx="113">
                  <c:v>11.903519802924</c:v>
                </c:pt>
                <c:pt idx="114">
                  <c:v>12.0645613780633</c:v>
                </c:pt>
                <c:pt idx="115">
                  <c:v>12.2255101951969</c:v>
                </c:pt>
                <c:pt idx="116">
                  <c:v>12.3863664801642</c:v>
                </c:pt>
                <c:pt idx="117">
                  <c:v>12.5471304582369</c:v>
                </c:pt>
                <c:pt idx="118">
                  <c:v>12.7078023541214</c:v>
                </c:pt>
                <c:pt idx="119">
                  <c:v>12.8683823919603</c:v>
                </c:pt>
                <c:pt idx="120">
                  <c:v>13.0288707953355</c:v>
                </c:pt>
                <c:pt idx="121">
                  <c:v>13.1892677872693</c:v>
                </c:pt>
                <c:pt idx="122">
                  <c:v>13.3495735902276</c:v>
                </c:pt>
                <c:pt idx="123">
                  <c:v>13.5097884261211</c:v>
                </c:pt>
                <c:pt idx="124">
                  <c:v>13.6699125163081</c:v>
                </c:pt>
                <c:pt idx="125">
                  <c:v>13.8299460815963</c:v>
                </c:pt>
                <c:pt idx="126">
                  <c:v>13.9898893422449</c:v>
                </c:pt>
                <c:pt idx="127">
                  <c:v>14.1497425179669</c:v>
                </c:pt>
                <c:pt idx="128">
                  <c:v>14.3095058279307</c:v>
                </c:pt>
                <c:pt idx="129">
                  <c:v>14.469179490763</c:v>
                </c:pt>
                <c:pt idx="130">
                  <c:v>14.6287637245499</c:v>
                </c:pt>
                <c:pt idx="131">
                  <c:v>14.7882587468398</c:v>
                </c:pt>
                <c:pt idx="132">
                  <c:v>14.9476647746448</c:v>
                </c:pt>
                <c:pt idx="133">
                  <c:v>15.1069820244432</c:v>
                </c:pt>
                <c:pt idx="134">
                  <c:v>15.2662107121813</c:v>
                </c:pt>
                <c:pt idx="135">
                  <c:v>15.4253510532754</c:v>
                </c:pt>
                <c:pt idx="136">
                  <c:v>15.584403262614</c:v>
                </c:pt>
                <c:pt idx="137">
                  <c:v>15.7433675545594</c:v>
                </c:pt>
                <c:pt idx="138">
                  <c:v>15.9022441429502</c:v>
                </c:pt>
                <c:pt idx="139">
                  <c:v>16.0610332411029</c:v>
                </c:pt>
                <c:pt idx="140">
                  <c:v>16.2197350618142</c:v>
                </c:pt>
                <c:pt idx="141">
                  <c:v>16.3783498173626</c:v>
                </c:pt>
                <c:pt idx="142">
                  <c:v>16.5368777195106</c:v>
                </c:pt>
                <c:pt idx="143">
                  <c:v>16.6953189795065</c:v>
                </c:pt>
                <c:pt idx="144">
                  <c:v>16.8536738080865</c:v>
                </c:pt>
                <c:pt idx="145">
                  <c:v>17.0119424154764</c:v>
                </c:pt>
                <c:pt idx="146">
                  <c:v>17.1701250113938</c:v>
                </c:pt>
                <c:pt idx="147">
                  <c:v>17.3282218050499</c:v>
                </c:pt>
                <c:pt idx="148">
                  <c:v>17.4862330051512</c:v>
                </c:pt>
                <c:pt idx="149">
                  <c:v>17.6441588199017</c:v>
                </c:pt>
                <c:pt idx="150">
                  <c:v>17.8019994570046</c:v>
                </c:pt>
                <c:pt idx="151">
                  <c:v>17.9597551236641</c:v>
                </c:pt>
                <c:pt idx="152">
                  <c:v>18.1174260265877</c:v>
                </c:pt>
                <c:pt idx="153">
                  <c:v>18.2750123719874</c:v>
                </c:pt>
                <c:pt idx="154">
                  <c:v>18.4325143655821</c:v>
                </c:pt>
                <c:pt idx="155">
                  <c:v>18.5899322125992</c:v>
                </c:pt>
                <c:pt idx="156">
                  <c:v>18.7472661177764</c:v>
                </c:pt>
                <c:pt idx="157">
                  <c:v>18.9045162853638</c:v>
                </c:pt>
                <c:pt idx="158">
                  <c:v>19.0616829191253</c:v>
                </c:pt>
                <c:pt idx="159">
                  <c:v>19.2187662223407</c:v>
                </c:pt>
                <c:pt idx="160">
                  <c:v>19.3757663978076</c:v>
                </c:pt>
                <c:pt idx="161">
                  <c:v>19.5326836478426</c:v>
                </c:pt>
                <c:pt idx="162">
                  <c:v>19.689518174284</c:v>
                </c:pt>
                <c:pt idx="163">
                  <c:v>19.8462701784928</c:v>
                </c:pt>
                <c:pt idx="164">
                  <c:v>20.0029398613548</c:v>
                </c:pt>
                <c:pt idx="165">
                  <c:v>20.1595274232823</c:v>
                </c:pt>
                <c:pt idx="166">
                  <c:v>20.3160330642159</c:v>
                </c:pt>
                <c:pt idx="167">
                  <c:v>20.4724569836262</c:v>
                </c:pt>
                <c:pt idx="168">
                  <c:v>20.6287993805156</c:v>
                </c:pt>
                <c:pt idx="169">
                  <c:v>20.78506045342</c:v>
                </c:pt>
                <c:pt idx="170">
                  <c:v>20.9412404004103</c:v>
                </c:pt>
                <c:pt idx="171">
                  <c:v>21.0973394190945</c:v>
                </c:pt>
                <c:pt idx="172">
                  <c:v>21.2533577066193</c:v>
                </c:pt>
                <c:pt idx="173">
                  <c:v>21.4092954596715</c:v>
                </c:pt>
                <c:pt idx="174">
                  <c:v>21.5651528744801</c:v>
                </c:pt>
                <c:pt idx="175">
                  <c:v>21.7209301468177</c:v>
                </c:pt>
                <c:pt idx="176">
                  <c:v>21.8766274720023</c:v>
                </c:pt>
                <c:pt idx="177">
                  <c:v>22.032245044899</c:v>
                </c:pt>
                <c:pt idx="178">
                  <c:v>22.1877830599215</c:v>
                </c:pt>
                <c:pt idx="179">
                  <c:v>22.343241711034</c:v>
                </c:pt>
                <c:pt idx="180">
                  <c:v>22.4986211917525</c:v>
                </c:pt>
                <c:pt idx="181">
                  <c:v>22.653921695147</c:v>
                </c:pt>
                <c:pt idx="182">
                  <c:v>22.8091434138424</c:v>
                </c:pt>
                <c:pt idx="183">
                  <c:v>22.9642865400208</c:v>
                </c:pt>
                <c:pt idx="184">
                  <c:v>23.1193512654227</c:v>
                </c:pt>
                <c:pt idx="185">
                  <c:v>23.2743377813486</c:v>
                </c:pt>
                <c:pt idx="186">
                  <c:v>23.4292462786611</c:v>
                </c:pt>
                <c:pt idx="187">
                  <c:v>23.5840769477858</c:v>
                </c:pt>
                <c:pt idx="188">
                  <c:v>23.7388299787135</c:v>
                </c:pt>
                <c:pt idx="189">
                  <c:v>23.8935055610012</c:v>
                </c:pt>
                <c:pt idx="190">
                  <c:v>24.0481038837743</c:v>
                </c:pt>
                <c:pt idx="191">
                  <c:v>24.2026251357277</c:v>
                </c:pt>
                <c:pt idx="192">
                  <c:v>24.3570695051275</c:v>
                </c:pt>
                <c:pt idx="193">
                  <c:v>24.5114371798127</c:v>
                </c:pt>
                <c:pt idx="194">
                  <c:v>24.6657283471965</c:v>
                </c:pt>
                <c:pt idx="195">
                  <c:v>24.819943194268</c:v>
                </c:pt>
                <c:pt idx="196">
                  <c:v>24.9740819075937</c:v>
                </c:pt>
                <c:pt idx="197">
                  <c:v>25.1281446733192</c:v>
                </c:pt>
                <c:pt idx="198">
                  <c:v>25.2821316771702</c:v>
                </c:pt>
                <c:pt idx="199">
                  <c:v>25.4360431044547</c:v>
                </c:pt>
                <c:pt idx="200">
                  <c:v>25.589879140064</c:v>
                </c:pt>
                <c:pt idx="201">
                  <c:v>27.1241072462749</c:v>
                </c:pt>
                <c:pt idx="202">
                  <c:v>28.6509153679725</c:v>
                </c:pt>
                <c:pt idx="203">
                  <c:v>30.1704845272051</c:v>
                </c:pt>
                <c:pt idx="204">
                  <c:v>31.6829917738662</c:v>
                </c:pt>
                <c:pt idx="205">
                  <c:v>33.1886103254613</c:v>
                </c:pt>
                <c:pt idx="206">
                  <c:v>34.6875097008918</c:v>
                </c:pt>
                <c:pt idx="207">
                  <c:v>36.1798558485309</c:v>
                </c:pt>
                <c:pt idx="208">
                  <c:v>37.6658112688444</c:v>
                </c:pt>
                <c:pt idx="209">
                  <c:v>39.1455351317959</c:v>
                </c:pt>
                <c:pt idx="210">
                  <c:v>40.6191833892532</c:v>
                </c:pt>
                <c:pt idx="211">
                  <c:v>42.0869088826014</c:v>
                </c:pt>
                <c:pt idx="212">
                  <c:v>43.5488614457487</c:v>
                </c:pt>
                <c:pt idx="213">
                  <c:v>45.0051880036973</c:v>
                </c:pt>
                <c:pt idx="214">
                  <c:v>46.4560326668361</c:v>
                </c:pt>
                <c:pt idx="215">
                  <c:v>47.9015368210961</c:v>
                </c:pt>
                <c:pt idx="216">
                  <c:v>49.3418392140975</c:v>
                </c:pt>
                <c:pt idx="217">
                  <c:v>50.7770760373982</c:v>
                </c:pt>
                <c:pt idx="218">
                  <c:v>52.2073810049423</c:v>
                </c:pt>
                <c:pt idx="219">
                  <c:v>53.6328854277912</c:v>
                </c:pt>
                <c:pt idx="220">
                  <c:v>55.0537182852011</c:v>
                </c:pt>
                <c:pt idx="221">
                  <c:v>56.4700062920988</c:v>
                </c:pt>
                <c:pt idx="222">
                  <c:v>57.8818739629875</c:v>
                </c:pt>
                <c:pt idx="223">
                  <c:v>59.2894436722966</c:v>
                </c:pt>
                <c:pt idx="224">
                  <c:v>60.6928357111703</c:v>
                </c:pt>
                <c:pt idx="225">
                  <c:v>62.0921683406678</c:v>
                </c:pt>
                <c:pt idx="226">
                  <c:v>63.4875578413254</c:v>
                </c:pt>
                <c:pt idx="227">
                  <c:v>64.8791185590055</c:v>
                </c:pt>
                <c:pt idx="228">
                  <c:v>66.2669629469261</c:v>
                </c:pt>
                <c:pt idx="229">
                  <c:v>67.6512016037385</c:v>
                </c:pt>
                <c:pt idx="230">
                  <c:v>69.0319433074777</c:v>
                </c:pt>
                <c:pt idx="231">
                  <c:v>70.4092950451771</c:v>
                </c:pt>
                <c:pt idx="232">
                  <c:v>71.7833620378873</c:v>
                </c:pt>
                <c:pt idx="233">
                  <c:v>73.154247760791</c:v>
                </c:pt>
                <c:pt idx="234">
                  <c:v>74.5220539580438</c:v>
                </c:pt>
                <c:pt idx="235">
                  <c:v>75.8868806519034</c:v>
                </c:pt>
                <c:pt idx="236">
                  <c:v>77.2488261456333</c:v>
                </c:pt>
                <c:pt idx="237">
                  <c:v>78.6079870195742</c:v>
                </c:pt>
                <c:pt idx="238">
                  <c:v>79.9644581196798</c:v>
                </c:pt>
                <c:pt idx="239">
                  <c:v>81.3183325376901</c:v>
                </c:pt>
                <c:pt idx="240">
                  <c:v>82.6697015819911</c:v>
                </c:pt>
                <c:pt idx="241">
                  <c:v>84.018654738055</c:v>
                </c:pt>
                <c:pt idx="242">
                  <c:v>85.3652796171916</c:v>
                </c:pt>
                <c:pt idx="243">
                  <c:v>86.7096618921615</c:v>
                </c:pt>
                <c:pt idx="244">
                  <c:v>88.0518852180017</c:v>
                </c:pt>
                <c:pt idx="245">
                  <c:v>89.3920311362153</c:v>
                </c:pt>
                <c:pt idx="246">
                  <c:v>90.730178960275</c:v>
                </c:pt>
                <c:pt idx="247">
                  <c:v>92.0664056402108</c:v>
                </c:pt>
                <c:pt idx="248">
                  <c:v>93.4007856039167</c:v>
                </c:pt>
                <c:pt idx="249">
                  <c:v>94.7333905727708</c:v>
                </c:pt>
                <c:pt idx="250">
                  <c:v>96.0642893492522</c:v>
                </c:pt>
                <c:pt idx="251">
                  <c:v>97.3935475745626</c:v>
                </c:pt>
                <c:pt idx="252">
                  <c:v>98.7212274548912</c:v>
                </c:pt>
                <c:pt idx="253">
                  <c:v>100.047387456033</c:v>
                </c:pt>
                <c:pt idx="254">
                  <c:v>101.372081967693</c:v>
                </c:pt>
                <c:pt idx="255">
                  <c:v>102.695360941113</c:v>
                </c:pt>
                <c:pt idx="256">
                  <c:v>104.017269506614</c:v>
                </c:pt>
                <c:pt idx="257">
                  <c:v>105.337847581295</c:v>
                </c:pt>
                <c:pt idx="258">
                  <c:v>106.65712948104</c:v>
                </c:pt>
                <c:pt idx="259">
                  <c:v>107.975143554761</c:v>
                </c:pt>
                <c:pt idx="260">
                  <c:v>109.29191186161</c:v>
                </c:pt>
                <c:pt idx="261">
                  <c:v>110.607449912884</c:v>
                </c:pt>
                <c:pt idx="262">
                  <c:v>111.921766498765</c:v>
                </c:pt>
                <c:pt idx="263">
                  <c:v>113.234863615499</c:v>
                </c:pt>
                <c:pt idx="264">
                  <c:v>114.546736501578</c:v>
                </c:pt>
                <c:pt idx="265">
                  <c:v>115.857373782858</c:v>
                </c:pt>
                <c:pt idx="266">
                  <c:v>117.166757717944</c:v>
                </c:pt>
                <c:pt idx="267">
                  <c:v>118.47486452808</c:v>
                </c:pt>
                <c:pt idx="268">
                  <c:v>119.781664791249</c:v>
                </c:pt>
                <c:pt idx="269">
                  <c:v>121.087123878618</c:v>
                </c:pt>
                <c:pt idx="270">
                  <c:v>122.391202412443</c:v>
                </c:pt>
                <c:pt idx="271">
                  <c:v>123.693856727445</c:v>
                </c:pt>
                <c:pt idx="272">
                  <c:v>124.995039321455</c:v>
                </c:pt>
                <c:pt idx="273">
                  <c:v>126.294699285146</c:v>
                </c:pt>
                <c:pt idx="274">
                  <c:v>127.592782704301</c:v>
                </c:pt>
                <c:pt idx="275">
                  <c:v>128.889233031113</c:v>
                </c:pt>
                <c:pt idx="276">
                  <c:v>130.183991423304</c:v>
                </c:pt>
                <c:pt idx="277">
                  <c:v>131.476997051489</c:v>
                </c:pt>
                <c:pt idx="278">
                  <c:v>132.768187376292</c:v>
                </c:pt>
                <c:pt idx="279">
                  <c:v>134.057498397319</c:v>
                </c:pt>
                <c:pt idx="280">
                  <c:v>135.344864876434</c:v>
                </c:pt>
                <c:pt idx="281">
                  <c:v>136.630220537849</c:v>
                </c:pt>
                <c:pt idx="282">
                  <c:v>137.91349824748</c:v>
                </c:pt>
                <c:pt idx="283">
                  <c:v>139.194630173895</c:v>
                </c:pt>
                <c:pt idx="284">
                  <c:v>140.473547932965</c:v>
                </c:pt>
                <c:pt idx="285">
                  <c:v>141.750182718156</c:v>
                </c:pt>
                <c:pt idx="286">
                  <c:v>143.024465418141</c:v>
                </c:pt>
                <c:pt idx="287">
                  <c:v>144.296326723279</c:v>
                </c:pt>
                <c:pt idx="288">
                  <c:v>145.565697222252</c:v>
                </c:pt>
                <c:pt idx="289">
                  <c:v>146.832507490033</c:v>
                </c:pt>
                <c:pt idx="290">
                  <c:v>148.096688168197</c:v>
                </c:pt>
                <c:pt idx="291">
                  <c:v>149.358170038437</c:v>
                </c:pt>
                <c:pt idx="292">
                  <c:v>150.616884090054</c:v>
                </c:pt>
                <c:pt idx="293">
                  <c:v>151.872761582084</c:v>
                </c:pt>
                <c:pt idx="294">
                  <c:v>153.125734100618</c:v>
                </c:pt>
                <c:pt idx="295">
                  <c:v>154.375733611838</c:v>
                </c:pt>
                <c:pt idx="296">
                  <c:v>155.622692511179</c:v>
                </c:pt>
                <c:pt idx="297">
                  <c:v>156.866543668995</c:v>
                </c:pt>
                <c:pt idx="298">
                  <c:v>158.107220473077</c:v>
                </c:pt>
                <c:pt idx="299">
                  <c:v>159.34465686828</c:v>
                </c:pt>
                <c:pt idx="300">
                  <c:v>160.578787393525</c:v>
                </c:pt>
                <c:pt idx="301">
                  <c:v>161.809547216404</c:v>
                </c:pt>
                <c:pt idx="302">
                  <c:v>163.036872165549</c:v>
                </c:pt>
                <c:pt idx="303">
                  <c:v>164.260698760965</c:v>
                </c:pt>
                <c:pt idx="304">
                  <c:v>165.480964242463</c:v>
                </c:pt>
                <c:pt idx="305">
                  <c:v>166.697606596321</c:v>
                </c:pt>
                <c:pt idx="306">
                  <c:v>167.910564580289</c:v>
                </c:pt>
                <c:pt idx="307">
                  <c:v>169.119777747057</c:v>
                </c:pt>
                <c:pt idx="308">
                  <c:v>170.325186466254</c:v>
                </c:pt>
                <c:pt idx="309">
                  <c:v>171.526731945079</c:v>
                </c:pt>
                <c:pt idx="310">
                  <c:v>172.724356247625</c:v>
                </c:pt>
                <c:pt idx="311">
                  <c:v>173.918002312976</c:v>
                </c:pt>
                <c:pt idx="312">
                  <c:v>175.107613972118</c:v>
                </c:pt>
                <c:pt idx="313">
                  <c:v>176.293135963735</c:v>
                </c:pt>
                <c:pt idx="314">
                  <c:v>177.474513948929</c:v>
                </c:pt>
                <c:pt idx="315">
                  <c:v>178.651694524911</c:v>
                </c:pt>
                <c:pt idx="316">
                  <c:v>179.824625237706</c:v>
                </c:pt>
                <c:pt idx="317">
                  <c:v>180.993254593904</c:v>
                </c:pt>
                <c:pt idx="318">
                  <c:v>182.157532071501</c:v>
                </c:pt>
                <c:pt idx="319">
                  <c:v>183.317408129849</c:v>
                </c:pt>
                <c:pt idx="320">
                  <c:v>184.47283421876</c:v>
                </c:pt>
                <c:pt idx="321">
                  <c:v>185.623762786773</c:v>
                </c:pt>
                <c:pt idx="322">
                  <c:v>186.770147288634</c:v>
                </c:pt>
                <c:pt idx="323">
                  <c:v>187.911942191991</c:v>
                </c:pt>
                <c:pt idx="324">
                  <c:v>189.049102983338</c:v>
                </c:pt>
                <c:pt idx="325">
                  <c:v>190.181586173237</c:v>
                </c:pt>
                <c:pt idx="326">
                  <c:v>191.30934930082</c:v>
                </c:pt>
                <c:pt idx="327">
                  <c:v>192.432350937613</c:v>
                </c:pt>
                <c:pt idx="328">
                  <c:v>193.550550690681</c:v>
                </c:pt>
                <c:pt idx="329">
                  <c:v>194.663909205136</c:v>
                </c:pt>
                <c:pt idx="330">
                  <c:v>195.772388166001</c:v>
                </c:pt>
                <c:pt idx="331">
                  <c:v>196.875950299465</c:v>
                </c:pt>
                <c:pt idx="332">
                  <c:v>197.974559373545</c:v>
                </c:pt>
                <c:pt idx="333">
                  <c:v>199.06818019816</c:v>
                </c:pt>
                <c:pt idx="334">
                  <c:v>200.156778624649</c:v>
                </c:pt>
                <c:pt idx="335">
                  <c:v>201.240321544737</c:v>
                </c:pt>
                <c:pt idx="336">
                  <c:v>202.31877688897</c:v>
                </c:pt>
                <c:pt idx="337">
                  <c:v>203.392113624637</c:v>
                </c:pt>
                <c:pt idx="338">
                  <c:v>204.460301753185</c:v>
                </c:pt>
                <c:pt idx="339">
                  <c:v>205.523312307158</c:v>
                </c:pt>
                <c:pt idx="340">
                  <c:v>206.581117346653</c:v>
                </c:pt>
                <c:pt idx="341">
                  <c:v>207.633689955331</c:v>
                </c:pt>
                <c:pt idx="342">
                  <c:v>208.68100423598</c:v>
                </c:pt>
                <c:pt idx="343">
                  <c:v>209.723035305651</c:v>
                </c:pt>
                <c:pt idx="344">
                  <c:v>210.759759290385</c:v>
                </c:pt>
                <c:pt idx="345">
                  <c:v>211.791153319536</c:v>
                </c:pt>
                <c:pt idx="346">
                  <c:v>211.791153319536</c:v>
                </c:pt>
                <c:pt idx="347">
                  <c:v>211.791153319536</c:v>
                </c:pt>
                <c:pt idx="348">
                  <c:v>211.791153319536</c:v>
                </c:pt>
                <c:pt idx="349">
                  <c:v>211.791153319536</c:v>
                </c:pt>
                <c:pt idx="350">
                  <c:v>211.791153319536</c:v>
                </c:pt>
                <c:pt idx="351">
                  <c:v>211.791153319536</c:v>
                </c:pt>
                <c:pt idx="352">
                  <c:v>211.791153319536</c:v>
                </c:pt>
                <c:pt idx="353">
                  <c:v>211.791153319536</c:v>
                </c:pt>
                <c:pt idx="354">
                  <c:v>211.791153319536</c:v>
                </c:pt>
                <c:pt idx="355">
                  <c:v>211.791153319536</c:v>
                </c:pt>
                <c:pt idx="356">
                  <c:v>211.791153319536</c:v>
                </c:pt>
                <c:pt idx="357">
                  <c:v>211.791153319536</c:v>
                </c:pt>
                <c:pt idx="358">
                  <c:v>211.791153319536</c:v>
                </c:pt>
                <c:pt idx="359">
                  <c:v>211.791153319536</c:v>
                </c:pt>
                <c:pt idx="360">
                  <c:v>211.791153319536</c:v>
                </c:pt>
                <c:pt idx="361">
                  <c:v>211.791153319536</c:v>
                </c:pt>
                <c:pt idx="362">
                  <c:v>211.791153319536</c:v>
                </c:pt>
                <c:pt idx="363">
                  <c:v>211.791153319536</c:v>
                </c:pt>
                <c:pt idx="364">
                  <c:v>211.791153319536</c:v>
                </c:pt>
                <c:pt idx="365">
                  <c:v>211.791153319536</c:v>
                </c:pt>
                <c:pt idx="366">
                  <c:v>211.791153319536</c:v>
                </c:pt>
                <c:pt idx="367">
                  <c:v>211.791153319536</c:v>
                </c:pt>
                <c:pt idx="368">
                  <c:v>211.791153319536</c:v>
                </c:pt>
                <c:pt idx="369">
                  <c:v>211.791153319536</c:v>
                </c:pt>
                <c:pt idx="370">
                  <c:v>211.791153319536</c:v>
                </c:pt>
                <c:pt idx="371">
                  <c:v>211.791153319536</c:v>
                </c:pt>
                <c:pt idx="372">
                  <c:v>211.791153319536</c:v>
                </c:pt>
                <c:pt idx="373">
                  <c:v>211.791153319536</c:v>
                </c:pt>
                <c:pt idx="374">
                  <c:v>211.791153319536</c:v>
                </c:pt>
                <c:pt idx="375">
                  <c:v>211.791153319536</c:v>
                </c:pt>
                <c:pt idx="376">
                  <c:v>211.791153319536</c:v>
                </c:pt>
                <c:pt idx="377">
                  <c:v>211.791153319536</c:v>
                </c:pt>
                <c:pt idx="378">
                  <c:v>211.791153319536</c:v>
                </c:pt>
                <c:pt idx="379">
                  <c:v>211.791153319536</c:v>
                </c:pt>
                <c:pt idx="380">
                  <c:v>211.791153319536</c:v>
                </c:pt>
                <c:pt idx="381">
                  <c:v>211.791153319536</c:v>
                </c:pt>
                <c:pt idx="382">
                  <c:v>211.791153319536</c:v>
                </c:pt>
                <c:pt idx="383">
                  <c:v>211.791153319536</c:v>
                </c:pt>
                <c:pt idx="384">
                  <c:v>211.791153319536</c:v>
                </c:pt>
                <c:pt idx="385">
                  <c:v>211.791153319536</c:v>
                </c:pt>
                <c:pt idx="386">
                  <c:v>211.791153319536</c:v>
                </c:pt>
                <c:pt idx="387">
                  <c:v>211.791153319536</c:v>
                </c:pt>
                <c:pt idx="388">
                  <c:v>211.791153319536</c:v>
                </c:pt>
                <c:pt idx="389">
                  <c:v>211.791153319536</c:v>
                </c:pt>
                <c:pt idx="390">
                  <c:v>211.791153319536</c:v>
                </c:pt>
                <c:pt idx="391">
                  <c:v>211.791153319536</c:v>
                </c:pt>
                <c:pt idx="392">
                  <c:v>211.791153319536</c:v>
                </c:pt>
                <c:pt idx="393">
                  <c:v>211.791153319536</c:v>
                </c:pt>
                <c:pt idx="394">
                  <c:v>211.791153319536</c:v>
                </c:pt>
                <c:pt idx="395">
                  <c:v>211.791153319536</c:v>
                </c:pt>
                <c:pt idx="396">
                  <c:v>211.791153319536</c:v>
                </c:pt>
                <c:pt idx="397">
                  <c:v>211.791153319536</c:v>
                </c:pt>
                <c:pt idx="398">
                  <c:v>211.791153319536</c:v>
                </c:pt>
                <c:pt idx="399">
                  <c:v>211.791153319536</c:v>
                </c:pt>
                <c:pt idx="400">
                  <c:v>211.791153319536</c:v>
                </c:pt>
                <c:pt idx="401">
                  <c:v>211.791153319536</c:v>
                </c:pt>
                <c:pt idx="402">
                  <c:v>211.791153319536</c:v>
                </c:pt>
                <c:pt idx="403">
                  <c:v>211.791153319536</c:v>
                </c:pt>
                <c:pt idx="404">
                  <c:v>211.791153319536</c:v>
                </c:pt>
                <c:pt idx="405">
                  <c:v>211.791153319536</c:v>
                </c:pt>
                <c:pt idx="406">
                  <c:v>211.791153319536</c:v>
                </c:pt>
                <c:pt idx="407">
                  <c:v>211.791153319536</c:v>
                </c:pt>
                <c:pt idx="408">
                  <c:v>211.791153319536</c:v>
                </c:pt>
                <c:pt idx="409">
                  <c:v>211.791153319536</c:v>
                </c:pt>
                <c:pt idx="410">
                  <c:v>211.791153319536</c:v>
                </c:pt>
                <c:pt idx="411">
                  <c:v>211.791153319536</c:v>
                </c:pt>
                <c:pt idx="412">
                  <c:v>211.791153319536</c:v>
                </c:pt>
                <c:pt idx="413">
                  <c:v>211.791153319536</c:v>
                </c:pt>
                <c:pt idx="414">
                  <c:v>211.791153319536</c:v>
                </c:pt>
                <c:pt idx="415">
                  <c:v>211.791153319536</c:v>
                </c:pt>
                <c:pt idx="416">
                  <c:v>211.791153319536</c:v>
                </c:pt>
                <c:pt idx="417">
                  <c:v>211.791153319536</c:v>
                </c:pt>
                <c:pt idx="418">
                  <c:v>211.791153319536</c:v>
                </c:pt>
                <c:pt idx="419">
                  <c:v>211.791153319536</c:v>
                </c:pt>
                <c:pt idx="420">
                  <c:v>211.791153319536</c:v>
                </c:pt>
                <c:pt idx="421">
                  <c:v>211.791153319536</c:v>
                </c:pt>
                <c:pt idx="422">
                  <c:v>211.791153319536</c:v>
                </c:pt>
                <c:pt idx="423">
                  <c:v>211.791153319536</c:v>
                </c:pt>
                <c:pt idx="424">
                  <c:v>211.791153319536</c:v>
                </c:pt>
                <c:pt idx="425">
                  <c:v>211.791153319536</c:v>
                </c:pt>
                <c:pt idx="426">
                  <c:v>211.791153319536</c:v>
                </c:pt>
                <c:pt idx="427">
                  <c:v>211.791153319536</c:v>
                </c:pt>
                <c:pt idx="428">
                  <c:v>211.791153319536</c:v>
                </c:pt>
                <c:pt idx="429">
                  <c:v>211.791153319536</c:v>
                </c:pt>
                <c:pt idx="430">
                  <c:v>211.791153319536</c:v>
                </c:pt>
                <c:pt idx="431">
                  <c:v>211.791153319536</c:v>
                </c:pt>
                <c:pt idx="432">
                  <c:v>211.791153319536</c:v>
                </c:pt>
                <c:pt idx="433">
                  <c:v>211.791153319536</c:v>
                </c:pt>
                <c:pt idx="434">
                  <c:v>211.791153319536</c:v>
                </c:pt>
                <c:pt idx="435">
                  <c:v>211.791153319536</c:v>
                </c:pt>
                <c:pt idx="436">
                  <c:v>211.791153319536</c:v>
                </c:pt>
                <c:pt idx="437">
                  <c:v>211.791153319536</c:v>
                </c:pt>
                <c:pt idx="438">
                  <c:v>211.791153319536</c:v>
                </c:pt>
                <c:pt idx="439">
                  <c:v>211.791153319536</c:v>
                </c:pt>
                <c:pt idx="440">
                  <c:v>211.791153319536</c:v>
                </c:pt>
                <c:pt idx="441">
                  <c:v>211.791153319536</c:v>
                </c:pt>
                <c:pt idx="442">
                  <c:v>211.791153319536</c:v>
                </c:pt>
                <c:pt idx="443">
                  <c:v>211.791153319536</c:v>
                </c:pt>
                <c:pt idx="444">
                  <c:v>211.791153319536</c:v>
                </c:pt>
                <c:pt idx="445">
                  <c:v>211.791153319536</c:v>
                </c:pt>
                <c:pt idx="446">
                  <c:v>211.791153319536</c:v>
                </c:pt>
                <c:pt idx="447">
                  <c:v>211.791153319536</c:v>
                </c:pt>
                <c:pt idx="448">
                  <c:v>211.791153319536</c:v>
                </c:pt>
                <c:pt idx="449">
                  <c:v>211.791153319536</c:v>
                </c:pt>
                <c:pt idx="450">
                  <c:v>211.791153319536</c:v>
                </c:pt>
                <c:pt idx="451">
                  <c:v>211.791153319536</c:v>
                </c:pt>
                <c:pt idx="452">
                  <c:v>211.791153319536</c:v>
                </c:pt>
                <c:pt idx="453">
                  <c:v>211.791153319536</c:v>
                </c:pt>
                <c:pt idx="454">
                  <c:v>211.791153319536</c:v>
                </c:pt>
                <c:pt idx="455">
                  <c:v>211.791153319536</c:v>
                </c:pt>
                <c:pt idx="456">
                  <c:v>211.791153319536</c:v>
                </c:pt>
                <c:pt idx="457">
                  <c:v>211.791153319536</c:v>
                </c:pt>
                <c:pt idx="458">
                  <c:v>211.791153319536</c:v>
                </c:pt>
                <c:pt idx="459">
                  <c:v>211.791153319536</c:v>
                </c:pt>
                <c:pt idx="460">
                  <c:v>211.791153319536</c:v>
                </c:pt>
                <c:pt idx="461">
                  <c:v>211.791153319536</c:v>
                </c:pt>
                <c:pt idx="462">
                  <c:v>211.791153319536</c:v>
                </c:pt>
                <c:pt idx="463">
                  <c:v>211.791153319536</c:v>
                </c:pt>
                <c:pt idx="464">
                  <c:v>211.791153319536</c:v>
                </c:pt>
                <c:pt idx="465">
                  <c:v>211.791153319536</c:v>
                </c:pt>
                <c:pt idx="466">
                  <c:v>211.791153319536</c:v>
                </c:pt>
                <c:pt idx="467">
                  <c:v>211.791153319536</c:v>
                </c:pt>
                <c:pt idx="468">
                  <c:v>211.791153319536</c:v>
                </c:pt>
                <c:pt idx="469">
                  <c:v>211.791153319536</c:v>
                </c:pt>
                <c:pt idx="470">
                  <c:v>211.791153319536</c:v>
                </c:pt>
                <c:pt idx="471">
                  <c:v>211.791153319536</c:v>
                </c:pt>
                <c:pt idx="472">
                  <c:v>211.791153319536</c:v>
                </c:pt>
                <c:pt idx="473">
                  <c:v>211.791153319536</c:v>
                </c:pt>
                <c:pt idx="474">
                  <c:v>211.791153319536</c:v>
                </c:pt>
                <c:pt idx="475">
                  <c:v>211.791153319536</c:v>
                </c:pt>
                <c:pt idx="476">
                  <c:v>211.791153319536</c:v>
                </c:pt>
                <c:pt idx="477">
                  <c:v>211.791153319536</c:v>
                </c:pt>
                <c:pt idx="478">
                  <c:v>211.791153319536</c:v>
                </c:pt>
                <c:pt idx="479">
                  <c:v>211.791153319536</c:v>
                </c:pt>
                <c:pt idx="480">
                  <c:v>211.791153319536</c:v>
                </c:pt>
                <c:pt idx="481">
                  <c:v>211.791153319536</c:v>
                </c:pt>
                <c:pt idx="482">
                  <c:v>211.791153319536</c:v>
                </c:pt>
                <c:pt idx="483">
                  <c:v>211.791153319536</c:v>
                </c:pt>
                <c:pt idx="484">
                  <c:v>211.791153319536</c:v>
                </c:pt>
                <c:pt idx="485">
                  <c:v>211.791153319536</c:v>
                </c:pt>
                <c:pt idx="486">
                  <c:v>211.791153319536</c:v>
                </c:pt>
                <c:pt idx="487">
                  <c:v>211.791153319536</c:v>
                </c:pt>
                <c:pt idx="488">
                  <c:v>211.791153319536</c:v>
                </c:pt>
                <c:pt idx="489">
                  <c:v>211.791153319536</c:v>
                </c:pt>
                <c:pt idx="490">
                  <c:v>211.791153319536</c:v>
                </c:pt>
                <c:pt idx="491">
                  <c:v>211.791153319536</c:v>
                </c:pt>
                <c:pt idx="492">
                  <c:v>211.791153319536</c:v>
                </c:pt>
                <c:pt idx="493">
                  <c:v>211.791153319536</c:v>
                </c:pt>
                <c:pt idx="494">
                  <c:v>211.791153319536</c:v>
                </c:pt>
                <c:pt idx="495">
                  <c:v>211.791153319536</c:v>
                </c:pt>
                <c:pt idx="496">
                  <c:v>211.791153319536</c:v>
                </c:pt>
                <c:pt idx="497">
                  <c:v>211.791153319536</c:v>
                </c:pt>
                <c:pt idx="498">
                  <c:v>211.791153319536</c:v>
                </c:pt>
                <c:pt idx="499">
                  <c:v>211.791153319536</c:v>
                </c:pt>
                <c:pt idx="500">
                  <c:v>211.791153319536</c:v>
                </c:pt>
                <c:pt idx="501">
                  <c:v>211.791153319536</c:v>
                </c:pt>
                <c:pt idx="502">
                  <c:v>211.791153319536</c:v>
                </c:pt>
                <c:pt idx="503">
                  <c:v>211.791153319536</c:v>
                </c:pt>
                <c:pt idx="504">
                  <c:v>211.791153319536</c:v>
                </c:pt>
                <c:pt idx="505">
                  <c:v>211.791153319536</c:v>
                </c:pt>
                <c:pt idx="506">
                  <c:v>211.791153319536</c:v>
                </c:pt>
                <c:pt idx="507">
                  <c:v>211.791153319536</c:v>
                </c:pt>
                <c:pt idx="508">
                  <c:v>211.791153319536</c:v>
                </c:pt>
                <c:pt idx="509">
                  <c:v>211.791153319536</c:v>
                </c:pt>
                <c:pt idx="510">
                  <c:v>211.791153319536</c:v>
                </c:pt>
                <c:pt idx="511">
                  <c:v>211.791153319536</c:v>
                </c:pt>
                <c:pt idx="512">
                  <c:v>211.791153319536</c:v>
                </c:pt>
                <c:pt idx="513">
                  <c:v>211.791153319536</c:v>
                </c:pt>
                <c:pt idx="514">
                  <c:v>211.791153319536</c:v>
                </c:pt>
                <c:pt idx="515">
                  <c:v>211.791153319536</c:v>
                </c:pt>
                <c:pt idx="516">
                  <c:v>211.791153319536</c:v>
                </c:pt>
                <c:pt idx="517">
                  <c:v>211.791153319536</c:v>
                </c:pt>
                <c:pt idx="518">
                  <c:v>211.791153319536</c:v>
                </c:pt>
                <c:pt idx="519">
                  <c:v>211.791153319536</c:v>
                </c:pt>
                <c:pt idx="520">
                  <c:v>211.791153319536</c:v>
                </c:pt>
                <c:pt idx="521">
                  <c:v>211.791153319536</c:v>
                </c:pt>
                <c:pt idx="522">
                  <c:v>211.791153319536</c:v>
                </c:pt>
                <c:pt idx="523">
                  <c:v>211.791153319536</c:v>
                </c:pt>
                <c:pt idx="524">
                  <c:v>211.791153319536</c:v>
                </c:pt>
                <c:pt idx="525">
                  <c:v>211.791153319536</c:v>
                </c:pt>
                <c:pt idx="526">
                  <c:v>211.791153319536</c:v>
                </c:pt>
                <c:pt idx="527">
                  <c:v>211.791153319536</c:v>
                </c:pt>
                <c:pt idx="528">
                  <c:v>211.791153319536</c:v>
                </c:pt>
                <c:pt idx="529">
                  <c:v>211.791153319536</c:v>
                </c:pt>
                <c:pt idx="530">
                  <c:v>211.791153319536</c:v>
                </c:pt>
                <c:pt idx="531">
                  <c:v>211.791153319536</c:v>
                </c:pt>
                <c:pt idx="532">
                  <c:v>211.791153319536</c:v>
                </c:pt>
                <c:pt idx="533">
                  <c:v>211.791153319536</c:v>
                </c:pt>
                <c:pt idx="534">
                  <c:v>211.791153319536</c:v>
                </c:pt>
                <c:pt idx="535">
                  <c:v>211.791153319536</c:v>
                </c:pt>
                <c:pt idx="536">
                  <c:v>211.791153319536</c:v>
                </c:pt>
                <c:pt idx="537">
                  <c:v>211.791153319536</c:v>
                </c:pt>
                <c:pt idx="538">
                  <c:v>211.791153319536</c:v>
                </c:pt>
                <c:pt idx="539">
                  <c:v>211.791153319536</c:v>
                </c:pt>
                <c:pt idx="540">
                  <c:v>211.791153319536</c:v>
                </c:pt>
                <c:pt idx="541">
                  <c:v>211.791153319536</c:v>
                </c:pt>
                <c:pt idx="542">
                  <c:v>211.791153319536</c:v>
                </c:pt>
                <c:pt idx="543">
                  <c:v>211.791153319536</c:v>
                </c:pt>
                <c:pt idx="544">
                  <c:v>211.791153319536</c:v>
                </c:pt>
                <c:pt idx="545">
                  <c:v>211.791153319536</c:v>
                </c:pt>
                <c:pt idx="546">
                  <c:v>211.791153319536</c:v>
                </c:pt>
                <c:pt idx="547">
                  <c:v>211.791153319536</c:v>
                </c:pt>
                <c:pt idx="548">
                  <c:v>211.791153319536</c:v>
                </c:pt>
                <c:pt idx="549">
                  <c:v>211.791153319536</c:v>
                </c:pt>
                <c:pt idx="550">
                  <c:v>211.791153319536</c:v>
                </c:pt>
                <c:pt idx="551">
                  <c:v>211.791153319536</c:v>
                </c:pt>
                <c:pt idx="552">
                  <c:v>211.791153319536</c:v>
                </c:pt>
                <c:pt idx="553">
                  <c:v>211.791153319536</c:v>
                </c:pt>
                <c:pt idx="554">
                  <c:v>211.791153319536</c:v>
                </c:pt>
                <c:pt idx="555">
                  <c:v>211.791153319536</c:v>
                </c:pt>
                <c:pt idx="556">
                  <c:v>211.791153319536</c:v>
                </c:pt>
                <c:pt idx="557">
                  <c:v>211.791153319536</c:v>
                </c:pt>
                <c:pt idx="558">
                  <c:v>211.791153319536</c:v>
                </c:pt>
                <c:pt idx="559">
                  <c:v>211.791153319536</c:v>
                </c:pt>
                <c:pt idx="560">
                  <c:v>211.791153319536</c:v>
                </c:pt>
                <c:pt idx="561">
                  <c:v>211.791153319536</c:v>
                </c:pt>
                <c:pt idx="562">
                  <c:v>211.791153319536</c:v>
                </c:pt>
                <c:pt idx="563">
                  <c:v>211.791153319536</c:v>
                </c:pt>
                <c:pt idx="564">
                  <c:v>211.791153319536</c:v>
                </c:pt>
                <c:pt idx="565">
                  <c:v>211.791153319536</c:v>
                </c:pt>
                <c:pt idx="566">
                  <c:v>211.791153319536</c:v>
                </c:pt>
                <c:pt idx="567">
                  <c:v>211.791153319536</c:v>
                </c:pt>
                <c:pt idx="568">
                  <c:v>211.791153319536</c:v>
                </c:pt>
                <c:pt idx="569">
                  <c:v>211.791153319536</c:v>
                </c:pt>
                <c:pt idx="570">
                  <c:v>211.791153319536</c:v>
                </c:pt>
                <c:pt idx="571">
                  <c:v>211.791153319536</c:v>
                </c:pt>
                <c:pt idx="572">
                  <c:v>211.791153319536</c:v>
                </c:pt>
                <c:pt idx="573">
                  <c:v>211.791153319536</c:v>
                </c:pt>
                <c:pt idx="574">
                  <c:v>211.791153319536</c:v>
                </c:pt>
                <c:pt idx="575">
                  <c:v>211.791153319536</c:v>
                </c:pt>
                <c:pt idx="576">
                  <c:v>211.791153319536</c:v>
                </c:pt>
                <c:pt idx="577">
                  <c:v>211.791153319536</c:v>
                </c:pt>
                <c:pt idx="578">
                  <c:v>211.791153319536</c:v>
                </c:pt>
                <c:pt idx="579">
                  <c:v>211.791153319536</c:v>
                </c:pt>
                <c:pt idx="580">
                  <c:v>211.791153319536</c:v>
                </c:pt>
                <c:pt idx="581">
                  <c:v>211.791153319536</c:v>
                </c:pt>
                <c:pt idx="582">
                  <c:v>211.791153319536</c:v>
                </c:pt>
                <c:pt idx="583">
                  <c:v>211.791153319536</c:v>
                </c:pt>
                <c:pt idx="584">
                  <c:v>211.791153319536</c:v>
                </c:pt>
                <c:pt idx="585">
                  <c:v>211.791153319536</c:v>
                </c:pt>
                <c:pt idx="586">
                  <c:v>211.791153319536</c:v>
                </c:pt>
                <c:pt idx="587">
                  <c:v>211.791153319536</c:v>
                </c:pt>
                <c:pt idx="588">
                  <c:v>211.791153319536</c:v>
                </c:pt>
                <c:pt idx="589">
                  <c:v>211.791153319536</c:v>
                </c:pt>
                <c:pt idx="590">
                  <c:v>211.791153319536</c:v>
                </c:pt>
                <c:pt idx="591">
                  <c:v>211.791153319536</c:v>
                </c:pt>
                <c:pt idx="592">
                  <c:v>211.791153319536</c:v>
                </c:pt>
                <c:pt idx="593">
                  <c:v>211.791153319536</c:v>
                </c:pt>
                <c:pt idx="594">
                  <c:v>211.791153319536</c:v>
                </c:pt>
                <c:pt idx="595">
                  <c:v>211.791153319536</c:v>
                </c:pt>
                <c:pt idx="596">
                  <c:v>211.791153319536</c:v>
                </c:pt>
                <c:pt idx="597">
                  <c:v>211.791153319536</c:v>
                </c:pt>
                <c:pt idx="598">
                  <c:v>211.791153319536</c:v>
                </c:pt>
                <c:pt idx="599">
                  <c:v>211.791153319536</c:v>
                </c:pt>
                <c:pt idx="600">
                  <c:v>211.791153319536</c:v>
                </c:pt>
                <c:pt idx="601">
                  <c:v>211.791153319536</c:v>
                </c:pt>
                <c:pt idx="602">
                  <c:v>211.791153319536</c:v>
                </c:pt>
                <c:pt idx="603">
                  <c:v>211.791153319536</c:v>
                </c:pt>
                <c:pt idx="604">
                  <c:v>211.791153319536</c:v>
                </c:pt>
                <c:pt idx="605">
                  <c:v>211.791153319536</c:v>
                </c:pt>
                <c:pt idx="606">
                  <c:v>211.791153319536</c:v>
                </c:pt>
                <c:pt idx="607">
                  <c:v>211.791153319536</c:v>
                </c:pt>
                <c:pt idx="608">
                  <c:v>211.791153319536</c:v>
                </c:pt>
                <c:pt idx="609">
                  <c:v>211.791153319536</c:v>
                </c:pt>
                <c:pt idx="610">
                  <c:v>211.791153319536</c:v>
                </c:pt>
                <c:pt idx="611">
                  <c:v>211.791153319536</c:v>
                </c:pt>
                <c:pt idx="612">
                  <c:v>211.791153319536</c:v>
                </c:pt>
                <c:pt idx="613">
                  <c:v>211.791153319536</c:v>
                </c:pt>
                <c:pt idx="614">
                  <c:v>211.791153319536</c:v>
                </c:pt>
                <c:pt idx="615">
                  <c:v>211.791153319536</c:v>
                </c:pt>
                <c:pt idx="616">
                  <c:v>211.791153319536</c:v>
                </c:pt>
                <c:pt idx="617">
                  <c:v>211.791153319536</c:v>
                </c:pt>
                <c:pt idx="618">
                  <c:v>211.791153319536</c:v>
                </c:pt>
                <c:pt idx="619">
                  <c:v>211.791153319536</c:v>
                </c:pt>
                <c:pt idx="620">
                  <c:v>211.791153319536</c:v>
                </c:pt>
                <c:pt idx="621">
                  <c:v>211.791153319536</c:v>
                </c:pt>
                <c:pt idx="622">
                  <c:v>211.791153319536</c:v>
                </c:pt>
                <c:pt idx="623">
                  <c:v>211.791153319536</c:v>
                </c:pt>
                <c:pt idx="624">
                  <c:v>211.791153319536</c:v>
                </c:pt>
                <c:pt idx="625">
                  <c:v>211.791153319536</c:v>
                </c:pt>
                <c:pt idx="626">
                  <c:v>211.791153319536</c:v>
                </c:pt>
                <c:pt idx="627">
                  <c:v>211.791153319536</c:v>
                </c:pt>
                <c:pt idx="628">
                  <c:v>211.791153319536</c:v>
                </c:pt>
                <c:pt idx="629">
                  <c:v>211.791153319536</c:v>
                </c:pt>
                <c:pt idx="630">
                  <c:v>211.791153319536</c:v>
                </c:pt>
                <c:pt idx="631">
                  <c:v>211.791153319536</c:v>
                </c:pt>
                <c:pt idx="632">
                  <c:v>211.791153319536</c:v>
                </c:pt>
                <c:pt idx="633">
                  <c:v>211.791153319536</c:v>
                </c:pt>
                <c:pt idx="634">
                  <c:v>211.791153319536</c:v>
                </c:pt>
                <c:pt idx="635">
                  <c:v>211.791153319536</c:v>
                </c:pt>
                <c:pt idx="636">
                  <c:v>211.791153319536</c:v>
                </c:pt>
                <c:pt idx="637">
                  <c:v>211.791153319536</c:v>
                </c:pt>
                <c:pt idx="638">
                  <c:v>211.791153319536</c:v>
                </c:pt>
                <c:pt idx="639">
                  <c:v>211.791153319536</c:v>
                </c:pt>
                <c:pt idx="640">
                  <c:v>211.791153319536</c:v>
                </c:pt>
                <c:pt idx="641">
                  <c:v>211.791153319536</c:v>
                </c:pt>
                <c:pt idx="642">
                  <c:v>211.791153319536</c:v>
                </c:pt>
                <c:pt idx="643">
                  <c:v>211.791153319536</c:v>
                </c:pt>
                <c:pt idx="644">
                  <c:v>211.791153319536</c:v>
                </c:pt>
                <c:pt idx="645">
                  <c:v>211.791153319536</c:v>
                </c:pt>
                <c:pt idx="646">
                  <c:v>211.791153319536</c:v>
                </c:pt>
                <c:pt idx="647">
                  <c:v>211.791153319536</c:v>
                </c:pt>
                <c:pt idx="648">
                  <c:v>211.791153319536</c:v>
                </c:pt>
                <c:pt idx="649">
                  <c:v>211.791153319536</c:v>
                </c:pt>
                <c:pt idx="650">
                  <c:v>211.791153319536</c:v>
                </c:pt>
                <c:pt idx="651">
                  <c:v>211.791153319536</c:v>
                </c:pt>
                <c:pt idx="652">
                  <c:v>211.791153319536</c:v>
                </c:pt>
                <c:pt idx="653">
                  <c:v>211.791153319536</c:v>
                </c:pt>
                <c:pt idx="654">
                  <c:v>211.791153319536</c:v>
                </c:pt>
                <c:pt idx="655">
                  <c:v>211.791153319536</c:v>
                </c:pt>
                <c:pt idx="656">
                  <c:v>211.791153319536</c:v>
                </c:pt>
                <c:pt idx="657">
                  <c:v>211.791153319536</c:v>
                </c:pt>
                <c:pt idx="658">
                  <c:v>211.791153319536</c:v>
                </c:pt>
                <c:pt idx="659">
                  <c:v>211.791153319536</c:v>
                </c:pt>
                <c:pt idx="660">
                  <c:v>211.791153319536</c:v>
                </c:pt>
                <c:pt idx="661">
                  <c:v>211.791153319536</c:v>
                </c:pt>
                <c:pt idx="662">
                  <c:v>211.791153319536</c:v>
                </c:pt>
                <c:pt idx="663">
                  <c:v>211.791153319536</c:v>
                </c:pt>
                <c:pt idx="664">
                  <c:v>211.791153319536</c:v>
                </c:pt>
                <c:pt idx="665">
                  <c:v>211.791153319536</c:v>
                </c:pt>
                <c:pt idx="666">
                  <c:v>211.791153319536</c:v>
                </c:pt>
                <c:pt idx="667">
                  <c:v>211.791153319536</c:v>
                </c:pt>
                <c:pt idx="668">
                  <c:v>211.791153319536</c:v>
                </c:pt>
                <c:pt idx="669">
                  <c:v>211.791153319536</c:v>
                </c:pt>
                <c:pt idx="670">
                  <c:v>211.791153319536</c:v>
                </c:pt>
                <c:pt idx="671">
                  <c:v>211.791153319536</c:v>
                </c:pt>
                <c:pt idx="672">
                  <c:v>211.791153319536</c:v>
                </c:pt>
                <c:pt idx="673">
                  <c:v>211.791153319536</c:v>
                </c:pt>
                <c:pt idx="674">
                  <c:v>211.791153319536</c:v>
                </c:pt>
                <c:pt idx="675">
                  <c:v>211.791153319536</c:v>
                </c:pt>
                <c:pt idx="676">
                  <c:v>211.791153319536</c:v>
                </c:pt>
                <c:pt idx="677">
                  <c:v>211.791153319536</c:v>
                </c:pt>
                <c:pt idx="678">
                  <c:v>211.791153319536</c:v>
                </c:pt>
                <c:pt idx="679">
                  <c:v>211.791153319536</c:v>
                </c:pt>
                <c:pt idx="680">
                  <c:v>211.791153319536</c:v>
                </c:pt>
                <c:pt idx="681">
                  <c:v>211.791153319536</c:v>
                </c:pt>
                <c:pt idx="682">
                  <c:v>211.791153319536</c:v>
                </c:pt>
                <c:pt idx="683">
                  <c:v>211.791153319536</c:v>
                </c:pt>
                <c:pt idx="684">
                  <c:v>211.791153319536</c:v>
                </c:pt>
                <c:pt idx="685">
                  <c:v>211.791153319536</c:v>
                </c:pt>
                <c:pt idx="686">
                  <c:v>211.791153319536</c:v>
                </c:pt>
                <c:pt idx="687">
                  <c:v>211.791153319536</c:v>
                </c:pt>
                <c:pt idx="688">
                  <c:v>211.791153319536</c:v>
                </c:pt>
                <c:pt idx="689">
                  <c:v>211.791153319536</c:v>
                </c:pt>
                <c:pt idx="690">
                  <c:v>211.791153319536</c:v>
                </c:pt>
                <c:pt idx="691">
                  <c:v>211.791153319536</c:v>
                </c:pt>
                <c:pt idx="692">
                  <c:v>211.791153319536</c:v>
                </c:pt>
                <c:pt idx="693">
                  <c:v>211.791153319536</c:v>
                </c:pt>
                <c:pt idx="694">
                  <c:v>211.791153319536</c:v>
                </c:pt>
                <c:pt idx="695">
                  <c:v>211.791153319536</c:v>
                </c:pt>
                <c:pt idx="696">
                  <c:v>211.791153319536</c:v>
                </c:pt>
                <c:pt idx="697">
                  <c:v>211.791153319536</c:v>
                </c:pt>
                <c:pt idx="698">
                  <c:v>211.791153319536</c:v>
                </c:pt>
                <c:pt idx="699">
                  <c:v>211.791153319536</c:v>
                </c:pt>
                <c:pt idx="700">
                  <c:v>211.791153319536</c:v>
                </c:pt>
                <c:pt idx="701">
                  <c:v>211.791153319536</c:v>
                </c:pt>
                <c:pt idx="702">
                  <c:v>211.791153319536</c:v>
                </c:pt>
                <c:pt idx="703">
                  <c:v>211.791153319536</c:v>
                </c:pt>
                <c:pt idx="704">
                  <c:v>211.791153319536</c:v>
                </c:pt>
                <c:pt idx="705">
                  <c:v>211.791153319536</c:v>
                </c:pt>
                <c:pt idx="706">
                  <c:v>211.791153319536</c:v>
                </c:pt>
                <c:pt idx="707">
                  <c:v>211.791153319536</c:v>
                </c:pt>
                <c:pt idx="708">
                  <c:v>211.791153319536</c:v>
                </c:pt>
                <c:pt idx="709">
                  <c:v>211.791153319536</c:v>
                </c:pt>
                <c:pt idx="710">
                  <c:v>211.791153319536</c:v>
                </c:pt>
                <c:pt idx="711">
                  <c:v>211.791153319536</c:v>
                </c:pt>
                <c:pt idx="712">
                  <c:v>211.791153319536</c:v>
                </c:pt>
                <c:pt idx="713">
                  <c:v>211.791153319536</c:v>
                </c:pt>
                <c:pt idx="714">
                  <c:v>211.791153319536</c:v>
                </c:pt>
                <c:pt idx="715">
                  <c:v>211.791153319536</c:v>
                </c:pt>
                <c:pt idx="716">
                  <c:v>211.791153319536</c:v>
                </c:pt>
                <c:pt idx="717">
                  <c:v>211.791153319536</c:v>
                </c:pt>
                <c:pt idx="718">
                  <c:v>211.791153319536</c:v>
                </c:pt>
                <c:pt idx="719">
                  <c:v>211.791153319536</c:v>
                </c:pt>
                <c:pt idx="720">
                  <c:v>211.791153319536</c:v>
                </c:pt>
                <c:pt idx="721">
                  <c:v>211.791153319536</c:v>
                </c:pt>
                <c:pt idx="722">
                  <c:v>211.791153319536</c:v>
                </c:pt>
                <c:pt idx="723">
                  <c:v>211.791153319536</c:v>
                </c:pt>
                <c:pt idx="724">
                  <c:v>211.791153319536</c:v>
                </c:pt>
                <c:pt idx="725">
                  <c:v>211.791153319536</c:v>
                </c:pt>
                <c:pt idx="726">
                  <c:v>211.791153319536</c:v>
                </c:pt>
                <c:pt idx="727">
                  <c:v>211.791153319536</c:v>
                </c:pt>
                <c:pt idx="728">
                  <c:v>211.791153319536</c:v>
                </c:pt>
                <c:pt idx="729">
                  <c:v>211.791153319536</c:v>
                </c:pt>
                <c:pt idx="730">
                  <c:v>211.791153319536</c:v>
                </c:pt>
                <c:pt idx="731">
                  <c:v>211.791153319536</c:v>
                </c:pt>
                <c:pt idx="732">
                  <c:v>211.791153319536</c:v>
                </c:pt>
                <c:pt idx="733">
                  <c:v>211.791153319536</c:v>
                </c:pt>
                <c:pt idx="734">
                  <c:v>211.791153319536</c:v>
                </c:pt>
                <c:pt idx="735">
                  <c:v>211.791153319536</c:v>
                </c:pt>
                <c:pt idx="736">
                  <c:v>211.791153319536</c:v>
                </c:pt>
                <c:pt idx="737">
                  <c:v>211.791153319536</c:v>
                </c:pt>
                <c:pt idx="738">
                  <c:v>211.791153319536</c:v>
                </c:pt>
                <c:pt idx="739">
                  <c:v>211.791153319536</c:v>
                </c:pt>
                <c:pt idx="740">
                  <c:v>211.791153319536</c:v>
                </c:pt>
                <c:pt idx="741">
                  <c:v>211.791153319536</c:v>
                </c:pt>
                <c:pt idx="742">
                  <c:v>211.791153319536</c:v>
                </c:pt>
                <c:pt idx="743">
                  <c:v>211.791153319536</c:v>
                </c:pt>
                <c:pt idx="744">
                  <c:v>211.791153319536</c:v>
                </c:pt>
                <c:pt idx="745">
                  <c:v>211.791153319536</c:v>
                </c:pt>
                <c:pt idx="746">
                  <c:v>211.791153319536</c:v>
                </c:pt>
                <c:pt idx="747">
                  <c:v>211.791153319536</c:v>
                </c:pt>
                <c:pt idx="748">
                  <c:v>211.791153319536</c:v>
                </c:pt>
                <c:pt idx="749">
                  <c:v>211.791153319536</c:v>
                </c:pt>
                <c:pt idx="750">
                  <c:v>211.791153319536</c:v>
                </c:pt>
                <c:pt idx="751">
                  <c:v>211.791153319536</c:v>
                </c:pt>
                <c:pt idx="752">
                  <c:v>211.791153319536</c:v>
                </c:pt>
                <c:pt idx="753">
                  <c:v>211.791153319536</c:v>
                </c:pt>
                <c:pt idx="754">
                  <c:v>211.791153319536</c:v>
                </c:pt>
                <c:pt idx="755">
                  <c:v>211.791153319536</c:v>
                </c:pt>
                <c:pt idx="756">
                  <c:v>211.791153319536</c:v>
                </c:pt>
                <c:pt idx="757">
                  <c:v>211.791153319536</c:v>
                </c:pt>
                <c:pt idx="758">
                  <c:v>211.791153319536</c:v>
                </c:pt>
                <c:pt idx="759">
                  <c:v>211.791153319536</c:v>
                </c:pt>
                <c:pt idx="760">
                  <c:v>211.791153319536</c:v>
                </c:pt>
                <c:pt idx="761">
                  <c:v>211.791153319536</c:v>
                </c:pt>
                <c:pt idx="762">
                  <c:v>211.791153319536</c:v>
                </c:pt>
                <c:pt idx="763">
                  <c:v>211.791153319536</c:v>
                </c:pt>
                <c:pt idx="764">
                  <c:v>211.791153319536</c:v>
                </c:pt>
                <c:pt idx="765">
                  <c:v>211.791153319536</c:v>
                </c:pt>
                <c:pt idx="766">
                  <c:v>211.791153319536</c:v>
                </c:pt>
                <c:pt idx="767">
                  <c:v>211.791153319536</c:v>
                </c:pt>
                <c:pt idx="768">
                  <c:v>211.791153319536</c:v>
                </c:pt>
                <c:pt idx="769">
                  <c:v>211.791153319536</c:v>
                </c:pt>
                <c:pt idx="770">
                  <c:v>211.791153319536</c:v>
                </c:pt>
                <c:pt idx="771">
                  <c:v>211.791153319536</c:v>
                </c:pt>
                <c:pt idx="772">
                  <c:v>211.791153319536</c:v>
                </c:pt>
                <c:pt idx="773">
                  <c:v>211.791153319536</c:v>
                </c:pt>
                <c:pt idx="774">
                  <c:v>211.791153319536</c:v>
                </c:pt>
                <c:pt idx="775">
                  <c:v>211.791153319536</c:v>
                </c:pt>
                <c:pt idx="776">
                  <c:v>211.791153319536</c:v>
                </c:pt>
                <c:pt idx="777">
                  <c:v>211.791153319536</c:v>
                </c:pt>
                <c:pt idx="778">
                  <c:v>211.791153319536</c:v>
                </c:pt>
                <c:pt idx="779">
                  <c:v>211.791153319536</c:v>
                </c:pt>
                <c:pt idx="780">
                  <c:v>211.791153319536</c:v>
                </c:pt>
                <c:pt idx="781">
                  <c:v>211.791153319536</c:v>
                </c:pt>
                <c:pt idx="782">
                  <c:v>211.791153319536</c:v>
                </c:pt>
                <c:pt idx="783">
                  <c:v>211.791153319536</c:v>
                </c:pt>
                <c:pt idx="784">
                  <c:v>211.791153319536</c:v>
                </c:pt>
                <c:pt idx="785">
                  <c:v>211.791153319536</c:v>
                </c:pt>
                <c:pt idx="786">
                  <c:v>211.791153319536</c:v>
                </c:pt>
                <c:pt idx="787">
                  <c:v>211.791153319536</c:v>
                </c:pt>
                <c:pt idx="788">
                  <c:v>211.791153319536</c:v>
                </c:pt>
                <c:pt idx="789">
                  <c:v>211.791153319536</c:v>
                </c:pt>
                <c:pt idx="790">
                  <c:v>211.791153319536</c:v>
                </c:pt>
                <c:pt idx="791">
                  <c:v>211.791153319536</c:v>
                </c:pt>
                <c:pt idx="792">
                  <c:v>211.791153319536</c:v>
                </c:pt>
                <c:pt idx="793">
                  <c:v>211.791153319536</c:v>
                </c:pt>
                <c:pt idx="794">
                  <c:v>211.791153319536</c:v>
                </c:pt>
                <c:pt idx="795">
                  <c:v>211.791153319536</c:v>
                </c:pt>
                <c:pt idx="796">
                  <c:v>211.791153319536</c:v>
                </c:pt>
                <c:pt idx="797">
                  <c:v>211.791153319536</c:v>
                </c:pt>
                <c:pt idx="798">
                  <c:v>211.791153319536</c:v>
                </c:pt>
                <c:pt idx="799">
                  <c:v>211.791153319536</c:v>
                </c:pt>
                <c:pt idx="800">
                  <c:v>211.791153319536</c:v>
                </c:pt>
                <c:pt idx="801">
                  <c:v>211.791153319536</c:v>
                </c:pt>
                <c:pt idx="802">
                  <c:v>211.791153319536</c:v>
                </c:pt>
                <c:pt idx="803">
                  <c:v>211.791153319536</c:v>
                </c:pt>
                <c:pt idx="804">
                  <c:v>211.791153319536</c:v>
                </c:pt>
                <c:pt idx="805">
                  <c:v>211.791153319536</c:v>
                </c:pt>
                <c:pt idx="806">
                  <c:v>211.791153319536</c:v>
                </c:pt>
                <c:pt idx="807">
                  <c:v>211.791153319536</c:v>
                </c:pt>
                <c:pt idx="808">
                  <c:v>211.791153319536</c:v>
                </c:pt>
                <c:pt idx="809">
                  <c:v>211.791153319536</c:v>
                </c:pt>
                <c:pt idx="810">
                  <c:v>211.791153319536</c:v>
                </c:pt>
                <c:pt idx="811">
                  <c:v>211.791153319536</c:v>
                </c:pt>
                <c:pt idx="812">
                  <c:v>211.791153319536</c:v>
                </c:pt>
                <c:pt idx="813">
                  <c:v>211.791153319536</c:v>
                </c:pt>
                <c:pt idx="814">
                  <c:v>211.791153319536</c:v>
                </c:pt>
                <c:pt idx="815">
                  <c:v>211.791153319536</c:v>
                </c:pt>
                <c:pt idx="816">
                  <c:v>211.791153319536</c:v>
                </c:pt>
                <c:pt idx="817">
                  <c:v>211.791153319536</c:v>
                </c:pt>
                <c:pt idx="818">
                  <c:v>211.791153319536</c:v>
                </c:pt>
                <c:pt idx="819">
                  <c:v>211.791153319536</c:v>
                </c:pt>
                <c:pt idx="820">
                  <c:v>211.791153319536</c:v>
                </c:pt>
                <c:pt idx="821">
                  <c:v>211.791153319536</c:v>
                </c:pt>
                <c:pt idx="822">
                  <c:v>211.791153319536</c:v>
                </c:pt>
                <c:pt idx="823">
                  <c:v>211.791153319536</c:v>
                </c:pt>
                <c:pt idx="824">
                  <c:v>211.791153319536</c:v>
                </c:pt>
                <c:pt idx="825">
                  <c:v>211.791153319536</c:v>
                </c:pt>
                <c:pt idx="826">
                  <c:v>211.791153319536</c:v>
                </c:pt>
                <c:pt idx="827">
                  <c:v>211.791153319536</c:v>
                </c:pt>
                <c:pt idx="828">
                  <c:v>211.791153319536</c:v>
                </c:pt>
                <c:pt idx="829">
                  <c:v>211.791153319536</c:v>
                </c:pt>
                <c:pt idx="830">
                  <c:v>211.791153319536</c:v>
                </c:pt>
                <c:pt idx="831">
                  <c:v>211.791153319536</c:v>
                </c:pt>
                <c:pt idx="832">
                  <c:v>211.791153319536</c:v>
                </c:pt>
                <c:pt idx="833">
                  <c:v>211.791153319536</c:v>
                </c:pt>
                <c:pt idx="834">
                  <c:v>211.791153319536</c:v>
                </c:pt>
                <c:pt idx="835">
                  <c:v>211.791153319536</c:v>
                </c:pt>
                <c:pt idx="836">
                  <c:v>211.791153319536</c:v>
                </c:pt>
                <c:pt idx="837">
                  <c:v>211.791153319536</c:v>
                </c:pt>
                <c:pt idx="838">
                  <c:v>211.791153319536</c:v>
                </c:pt>
                <c:pt idx="839">
                  <c:v>211.791153319536</c:v>
                </c:pt>
                <c:pt idx="840">
                  <c:v>211.791153319536</c:v>
                </c:pt>
                <c:pt idx="841">
                  <c:v>211.791153319536</c:v>
                </c:pt>
                <c:pt idx="842">
                  <c:v>211.791153319536</c:v>
                </c:pt>
                <c:pt idx="843">
                  <c:v>211.791153319536</c:v>
                </c:pt>
                <c:pt idx="844">
                  <c:v>211.791153319536</c:v>
                </c:pt>
                <c:pt idx="845">
                  <c:v>211.791153319536</c:v>
                </c:pt>
                <c:pt idx="846">
                  <c:v>211.791153319536</c:v>
                </c:pt>
                <c:pt idx="847">
                  <c:v>211.791153319536</c:v>
                </c:pt>
                <c:pt idx="848">
                  <c:v>211.791153319536</c:v>
                </c:pt>
                <c:pt idx="849">
                  <c:v>211.791153319536</c:v>
                </c:pt>
                <c:pt idx="850">
                  <c:v>211.791153319536</c:v>
                </c:pt>
                <c:pt idx="851">
                  <c:v>211.791153319536</c:v>
                </c:pt>
                <c:pt idx="852">
                  <c:v>211.791153319536</c:v>
                </c:pt>
                <c:pt idx="853">
                  <c:v>211.791153319536</c:v>
                </c:pt>
                <c:pt idx="854">
                  <c:v>211.791153319536</c:v>
                </c:pt>
                <c:pt idx="855">
                  <c:v>211.791153319536</c:v>
                </c:pt>
                <c:pt idx="856">
                  <c:v>211.791153319536</c:v>
                </c:pt>
                <c:pt idx="857">
                  <c:v>211.791153319536</c:v>
                </c:pt>
                <c:pt idx="858">
                  <c:v>211.791153319536</c:v>
                </c:pt>
                <c:pt idx="859">
                  <c:v>211.791153319536</c:v>
                </c:pt>
                <c:pt idx="860">
                  <c:v>211.791153319536</c:v>
                </c:pt>
                <c:pt idx="861">
                  <c:v>211.791153319536</c:v>
                </c:pt>
                <c:pt idx="862">
                  <c:v>211.791153319536</c:v>
                </c:pt>
                <c:pt idx="863">
                  <c:v>211.791153319536</c:v>
                </c:pt>
                <c:pt idx="864">
                  <c:v>211.791153319536</c:v>
                </c:pt>
                <c:pt idx="865">
                  <c:v>211.791153319536</c:v>
                </c:pt>
                <c:pt idx="866">
                  <c:v>211.791153319536</c:v>
                </c:pt>
                <c:pt idx="867">
                  <c:v>211.791153319536</c:v>
                </c:pt>
                <c:pt idx="868">
                  <c:v>211.791153319536</c:v>
                </c:pt>
                <c:pt idx="869">
                  <c:v>211.791153319536</c:v>
                </c:pt>
                <c:pt idx="870">
                  <c:v>211.791153319536</c:v>
                </c:pt>
                <c:pt idx="871">
                  <c:v>211.791153319536</c:v>
                </c:pt>
                <c:pt idx="872">
                  <c:v>211.791153319536</c:v>
                </c:pt>
                <c:pt idx="873">
                  <c:v>211.791153319536</c:v>
                </c:pt>
                <c:pt idx="874">
                  <c:v>211.791153319536</c:v>
                </c:pt>
                <c:pt idx="875">
                  <c:v>211.791153319536</c:v>
                </c:pt>
                <c:pt idx="876">
                  <c:v>211.791153319536</c:v>
                </c:pt>
                <c:pt idx="877">
                  <c:v>211.791153319536</c:v>
                </c:pt>
                <c:pt idx="878">
                  <c:v>211.791153319536</c:v>
                </c:pt>
                <c:pt idx="879">
                  <c:v>211.791153319536</c:v>
                </c:pt>
                <c:pt idx="880">
                  <c:v>211.791153319536</c:v>
                </c:pt>
                <c:pt idx="881">
                  <c:v>211.791153319536</c:v>
                </c:pt>
                <c:pt idx="882">
                  <c:v>211.791153319536</c:v>
                </c:pt>
                <c:pt idx="883">
                  <c:v>211.791153319536</c:v>
                </c:pt>
                <c:pt idx="884">
                  <c:v>211.791153319536</c:v>
                </c:pt>
                <c:pt idx="885">
                  <c:v>211.791153319536</c:v>
                </c:pt>
                <c:pt idx="886">
                  <c:v>211.791153319536</c:v>
                </c:pt>
                <c:pt idx="887">
                  <c:v>211.791153319536</c:v>
                </c:pt>
                <c:pt idx="888">
                  <c:v>211.791153319536</c:v>
                </c:pt>
                <c:pt idx="889">
                  <c:v>211.791153319536</c:v>
                </c:pt>
                <c:pt idx="890">
                  <c:v>211.791153319536</c:v>
                </c:pt>
                <c:pt idx="891">
                  <c:v>211.791153319536</c:v>
                </c:pt>
                <c:pt idx="892">
                  <c:v>211.791153319536</c:v>
                </c:pt>
                <c:pt idx="893">
                  <c:v>211.791153319536</c:v>
                </c:pt>
                <c:pt idx="894">
                  <c:v>211.791153319536</c:v>
                </c:pt>
                <c:pt idx="895">
                  <c:v>211.791153319536</c:v>
                </c:pt>
                <c:pt idx="896">
                  <c:v>211.791153319536</c:v>
                </c:pt>
                <c:pt idx="897">
                  <c:v>211.791153319536</c:v>
                </c:pt>
                <c:pt idx="898">
                  <c:v>211.791153319536</c:v>
                </c:pt>
                <c:pt idx="899">
                  <c:v>211.791153319536</c:v>
                </c:pt>
                <c:pt idx="900">
                  <c:v>211.791153319536</c:v>
                </c:pt>
                <c:pt idx="901">
                  <c:v>211.791153319536</c:v>
                </c:pt>
                <c:pt idx="902">
                  <c:v>211.791153319536</c:v>
                </c:pt>
                <c:pt idx="903">
                  <c:v>211.791153319536</c:v>
                </c:pt>
                <c:pt idx="904">
                  <c:v>211.791153319536</c:v>
                </c:pt>
                <c:pt idx="905">
                  <c:v>211.791153319536</c:v>
                </c:pt>
                <c:pt idx="906">
                  <c:v>211.791153319536</c:v>
                </c:pt>
                <c:pt idx="907">
                  <c:v>211.791153319536</c:v>
                </c:pt>
                <c:pt idx="908">
                  <c:v>211.791153319536</c:v>
                </c:pt>
                <c:pt idx="909">
                  <c:v>211.791153319536</c:v>
                </c:pt>
                <c:pt idx="910">
                  <c:v>211.791153319536</c:v>
                </c:pt>
                <c:pt idx="911">
                  <c:v>211.791153319536</c:v>
                </c:pt>
                <c:pt idx="912">
                  <c:v>211.791153319536</c:v>
                </c:pt>
                <c:pt idx="913">
                  <c:v>211.791153319536</c:v>
                </c:pt>
                <c:pt idx="914">
                  <c:v>211.791153319536</c:v>
                </c:pt>
                <c:pt idx="915">
                  <c:v>211.791153319536</c:v>
                </c:pt>
                <c:pt idx="916">
                  <c:v>211.791153319536</c:v>
                </c:pt>
                <c:pt idx="917">
                  <c:v>211.791153319536</c:v>
                </c:pt>
                <c:pt idx="918">
                  <c:v>211.791153319536</c:v>
                </c:pt>
                <c:pt idx="919">
                  <c:v>211.791153319536</c:v>
                </c:pt>
                <c:pt idx="920">
                  <c:v>211.791153319536</c:v>
                </c:pt>
                <c:pt idx="921">
                  <c:v>211.791153319536</c:v>
                </c:pt>
                <c:pt idx="922">
                  <c:v>211.791153319536</c:v>
                </c:pt>
                <c:pt idx="923">
                  <c:v>211.791153319536</c:v>
                </c:pt>
                <c:pt idx="924">
                  <c:v>211.791153319536</c:v>
                </c:pt>
                <c:pt idx="925">
                  <c:v>211.791153319536</c:v>
                </c:pt>
                <c:pt idx="926">
                  <c:v>211.791153319536</c:v>
                </c:pt>
                <c:pt idx="927">
                  <c:v>211.791153319536</c:v>
                </c:pt>
                <c:pt idx="928">
                  <c:v>211.791153319536</c:v>
                </c:pt>
                <c:pt idx="929">
                  <c:v>211.791153319536</c:v>
                </c:pt>
                <c:pt idx="930">
                  <c:v>211.791153319536</c:v>
                </c:pt>
                <c:pt idx="931">
                  <c:v>211.791153319536</c:v>
                </c:pt>
                <c:pt idx="932">
                  <c:v>211.791153319536</c:v>
                </c:pt>
                <c:pt idx="933">
                  <c:v>211.791153319536</c:v>
                </c:pt>
                <c:pt idx="934">
                  <c:v>211.791153319536</c:v>
                </c:pt>
                <c:pt idx="935">
                  <c:v>211.791153319536</c:v>
                </c:pt>
                <c:pt idx="936">
                  <c:v>211.791153319536</c:v>
                </c:pt>
                <c:pt idx="937">
                  <c:v>211.791153319536</c:v>
                </c:pt>
                <c:pt idx="938">
                  <c:v>211.791153319536</c:v>
                </c:pt>
                <c:pt idx="939">
                  <c:v>211.791153319536</c:v>
                </c:pt>
                <c:pt idx="940">
                  <c:v>211.791153319536</c:v>
                </c:pt>
                <c:pt idx="941">
                  <c:v>211.791153319536</c:v>
                </c:pt>
                <c:pt idx="942">
                  <c:v>211.791153319536</c:v>
                </c:pt>
                <c:pt idx="943">
                  <c:v>211.791153319536</c:v>
                </c:pt>
                <c:pt idx="944">
                  <c:v>211.791153319536</c:v>
                </c:pt>
                <c:pt idx="945">
                  <c:v>211.791153319536</c:v>
                </c:pt>
                <c:pt idx="946">
                  <c:v>211.791153319536</c:v>
                </c:pt>
                <c:pt idx="947">
                  <c:v>211.791153319536</c:v>
                </c:pt>
                <c:pt idx="948">
                  <c:v>211.791153319536</c:v>
                </c:pt>
                <c:pt idx="949">
                  <c:v>211.791153319536</c:v>
                </c:pt>
                <c:pt idx="950">
                  <c:v>211.791153319536</c:v>
                </c:pt>
                <c:pt idx="951">
                  <c:v>211.791153319536</c:v>
                </c:pt>
                <c:pt idx="952">
                  <c:v>211.791153319536</c:v>
                </c:pt>
                <c:pt idx="953">
                  <c:v>211.791153319536</c:v>
                </c:pt>
                <c:pt idx="954">
                  <c:v>211.791153319536</c:v>
                </c:pt>
                <c:pt idx="955">
                  <c:v>211.791153319536</c:v>
                </c:pt>
                <c:pt idx="956">
                  <c:v>211.791153319536</c:v>
                </c:pt>
                <c:pt idx="957">
                  <c:v>211.791153319536</c:v>
                </c:pt>
                <c:pt idx="958">
                  <c:v>211.791153319536</c:v>
                </c:pt>
                <c:pt idx="959">
                  <c:v>211.791153319536</c:v>
                </c:pt>
                <c:pt idx="960">
                  <c:v>211.791153319536</c:v>
                </c:pt>
                <c:pt idx="961">
                  <c:v>211.791153319536</c:v>
                </c:pt>
                <c:pt idx="962">
                  <c:v>211.791153319536</c:v>
                </c:pt>
                <c:pt idx="963">
                  <c:v>211.791153319536</c:v>
                </c:pt>
                <c:pt idx="964">
                  <c:v>211.791153319536</c:v>
                </c:pt>
                <c:pt idx="965">
                  <c:v>211.791153319536</c:v>
                </c:pt>
                <c:pt idx="966">
                  <c:v>211.791153319536</c:v>
                </c:pt>
                <c:pt idx="967">
                  <c:v>211.791153319536</c:v>
                </c:pt>
                <c:pt idx="968">
                  <c:v>211.791153319536</c:v>
                </c:pt>
                <c:pt idx="969">
                  <c:v>211.791153319536</c:v>
                </c:pt>
                <c:pt idx="970">
                  <c:v>211.791153319536</c:v>
                </c:pt>
                <c:pt idx="971">
                  <c:v>211.791153319536</c:v>
                </c:pt>
                <c:pt idx="972">
                  <c:v>211.791153319536</c:v>
                </c:pt>
                <c:pt idx="973">
                  <c:v>211.791153319536</c:v>
                </c:pt>
                <c:pt idx="974">
                  <c:v>211.791153319536</c:v>
                </c:pt>
                <c:pt idx="975">
                  <c:v>211.791153319536</c:v>
                </c:pt>
                <c:pt idx="976">
                  <c:v>211.791153319536</c:v>
                </c:pt>
                <c:pt idx="977">
                  <c:v>211.791153319536</c:v>
                </c:pt>
                <c:pt idx="978">
                  <c:v>211.791153319536</c:v>
                </c:pt>
                <c:pt idx="979">
                  <c:v>211.791153319536</c:v>
                </c:pt>
                <c:pt idx="980">
                  <c:v>211.791153319536</c:v>
                </c:pt>
                <c:pt idx="981">
                  <c:v>211.791153319536</c:v>
                </c:pt>
                <c:pt idx="982">
                  <c:v>211.791153319536</c:v>
                </c:pt>
                <c:pt idx="983">
                  <c:v>211.791153319536</c:v>
                </c:pt>
                <c:pt idx="984">
                  <c:v>211.791153319536</c:v>
                </c:pt>
                <c:pt idx="985">
                  <c:v>211.791153319536</c:v>
                </c:pt>
                <c:pt idx="986">
                  <c:v>211.791153319536</c:v>
                </c:pt>
                <c:pt idx="987">
                  <c:v>211.791153319536</c:v>
                </c:pt>
                <c:pt idx="988">
                  <c:v>211.791153319536</c:v>
                </c:pt>
                <c:pt idx="989">
                  <c:v>211.791153319536</c:v>
                </c:pt>
                <c:pt idx="990">
                  <c:v>211.791153319536</c:v>
                </c:pt>
                <c:pt idx="991">
                  <c:v>211.791153319536</c:v>
                </c:pt>
                <c:pt idx="992">
                  <c:v>211.791153319536</c:v>
                </c:pt>
                <c:pt idx="993">
                  <c:v>211.791153319536</c:v>
                </c:pt>
                <c:pt idx="994">
                  <c:v>211.791153319536</c:v>
                </c:pt>
                <c:pt idx="995">
                  <c:v>211.791153319536</c:v>
                </c:pt>
                <c:pt idx="996">
                  <c:v>211.791153319536</c:v>
                </c:pt>
                <c:pt idx="997">
                  <c:v>211.791153319536</c:v>
                </c:pt>
                <c:pt idx="998">
                  <c:v>211.791153319536</c:v>
                </c:pt>
                <c:pt idx="999">
                  <c:v>211.791153319536</c:v>
                </c:pt>
                <c:pt idx="1000">
                  <c:v>211.791153319536</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16.5001</c:v>
                </c:pt>
                <c:pt idx="347">
                  <c:v>16.5002</c:v>
                </c:pt>
                <c:pt idx="348">
                  <c:v>16.5003</c:v>
                </c:pt>
                <c:pt idx="349">
                  <c:v>16.5004</c:v>
                </c:pt>
                <c:pt idx="350">
                  <c:v>16.5005</c:v>
                </c:pt>
                <c:pt idx="351">
                  <c:v>16.5006</c:v>
                </c:pt>
                <c:pt idx="352">
                  <c:v>16.5007</c:v>
                </c:pt>
                <c:pt idx="353">
                  <c:v>16.5008</c:v>
                </c:pt>
                <c:pt idx="354">
                  <c:v>16.5009</c:v>
                </c:pt>
                <c:pt idx="355">
                  <c:v>16.501</c:v>
                </c:pt>
                <c:pt idx="356">
                  <c:v>16.5011</c:v>
                </c:pt>
                <c:pt idx="357">
                  <c:v>16.5012</c:v>
                </c:pt>
                <c:pt idx="358">
                  <c:v>16.5013</c:v>
                </c:pt>
                <c:pt idx="359">
                  <c:v>16.5014</c:v>
                </c:pt>
                <c:pt idx="360">
                  <c:v>16.5015</c:v>
                </c:pt>
                <c:pt idx="361">
                  <c:v>16.5016</c:v>
                </c:pt>
                <c:pt idx="362">
                  <c:v>16.5017</c:v>
                </c:pt>
                <c:pt idx="363">
                  <c:v>16.5018</c:v>
                </c:pt>
                <c:pt idx="364">
                  <c:v>16.5019</c:v>
                </c:pt>
                <c:pt idx="365">
                  <c:v>16.502</c:v>
                </c:pt>
                <c:pt idx="366">
                  <c:v>16.5021</c:v>
                </c:pt>
                <c:pt idx="367">
                  <c:v>16.5022</c:v>
                </c:pt>
                <c:pt idx="368">
                  <c:v>16.5023</c:v>
                </c:pt>
                <c:pt idx="369">
                  <c:v>16.5024</c:v>
                </c:pt>
                <c:pt idx="370">
                  <c:v>16.5025</c:v>
                </c:pt>
                <c:pt idx="371">
                  <c:v>16.5026</c:v>
                </c:pt>
                <c:pt idx="372">
                  <c:v>16.5027</c:v>
                </c:pt>
                <c:pt idx="373">
                  <c:v>16.5028</c:v>
                </c:pt>
                <c:pt idx="374">
                  <c:v>16.5029</c:v>
                </c:pt>
                <c:pt idx="375">
                  <c:v>16.503</c:v>
                </c:pt>
                <c:pt idx="376">
                  <c:v>16.5031</c:v>
                </c:pt>
                <c:pt idx="377">
                  <c:v>16.5032</c:v>
                </c:pt>
                <c:pt idx="378">
                  <c:v>16.5033</c:v>
                </c:pt>
                <c:pt idx="379">
                  <c:v>16.5034</c:v>
                </c:pt>
                <c:pt idx="380">
                  <c:v>16.5035</c:v>
                </c:pt>
                <c:pt idx="381">
                  <c:v>16.5036</c:v>
                </c:pt>
                <c:pt idx="382">
                  <c:v>16.5037</c:v>
                </c:pt>
                <c:pt idx="383">
                  <c:v>16.5038</c:v>
                </c:pt>
                <c:pt idx="384">
                  <c:v>16.5039</c:v>
                </c:pt>
                <c:pt idx="385">
                  <c:v>16.504</c:v>
                </c:pt>
                <c:pt idx="386">
                  <c:v>16.5041</c:v>
                </c:pt>
                <c:pt idx="387">
                  <c:v>16.5042</c:v>
                </c:pt>
                <c:pt idx="388">
                  <c:v>16.5043</c:v>
                </c:pt>
                <c:pt idx="389">
                  <c:v>16.5044</c:v>
                </c:pt>
                <c:pt idx="390">
                  <c:v>16.5045</c:v>
                </c:pt>
                <c:pt idx="391">
                  <c:v>16.5046</c:v>
                </c:pt>
                <c:pt idx="392">
                  <c:v>16.5047</c:v>
                </c:pt>
                <c:pt idx="393">
                  <c:v>16.5048</c:v>
                </c:pt>
                <c:pt idx="394">
                  <c:v>16.5049</c:v>
                </c:pt>
                <c:pt idx="395">
                  <c:v>16.505</c:v>
                </c:pt>
                <c:pt idx="396">
                  <c:v>16.5051</c:v>
                </c:pt>
                <c:pt idx="397">
                  <c:v>16.5052</c:v>
                </c:pt>
                <c:pt idx="398">
                  <c:v>16.5053</c:v>
                </c:pt>
                <c:pt idx="399">
                  <c:v>16.5054</c:v>
                </c:pt>
                <c:pt idx="400">
                  <c:v>16.5055</c:v>
                </c:pt>
                <c:pt idx="401">
                  <c:v>16.5056</c:v>
                </c:pt>
                <c:pt idx="402">
                  <c:v>16.5057</c:v>
                </c:pt>
                <c:pt idx="403">
                  <c:v>16.5058</c:v>
                </c:pt>
                <c:pt idx="404">
                  <c:v>16.5059</c:v>
                </c:pt>
                <c:pt idx="405">
                  <c:v>16.506</c:v>
                </c:pt>
                <c:pt idx="406">
                  <c:v>16.5061</c:v>
                </c:pt>
                <c:pt idx="407">
                  <c:v>16.5062</c:v>
                </c:pt>
                <c:pt idx="408">
                  <c:v>16.5063</c:v>
                </c:pt>
                <c:pt idx="409">
                  <c:v>16.5064</c:v>
                </c:pt>
                <c:pt idx="410">
                  <c:v>16.5065</c:v>
                </c:pt>
                <c:pt idx="411">
                  <c:v>16.5066</c:v>
                </c:pt>
                <c:pt idx="412">
                  <c:v>16.5067</c:v>
                </c:pt>
                <c:pt idx="413">
                  <c:v>16.5068</c:v>
                </c:pt>
                <c:pt idx="414">
                  <c:v>16.5069</c:v>
                </c:pt>
                <c:pt idx="415">
                  <c:v>16.507</c:v>
                </c:pt>
                <c:pt idx="416">
                  <c:v>16.5071</c:v>
                </c:pt>
                <c:pt idx="417">
                  <c:v>16.5072</c:v>
                </c:pt>
                <c:pt idx="418">
                  <c:v>16.5073</c:v>
                </c:pt>
                <c:pt idx="419">
                  <c:v>16.5074</c:v>
                </c:pt>
                <c:pt idx="420">
                  <c:v>16.5075</c:v>
                </c:pt>
                <c:pt idx="421">
                  <c:v>16.5076</c:v>
                </c:pt>
                <c:pt idx="422">
                  <c:v>16.5077</c:v>
                </c:pt>
                <c:pt idx="423">
                  <c:v>16.5078</c:v>
                </c:pt>
                <c:pt idx="424">
                  <c:v>16.5079</c:v>
                </c:pt>
                <c:pt idx="425">
                  <c:v>16.508</c:v>
                </c:pt>
                <c:pt idx="426">
                  <c:v>16.5081</c:v>
                </c:pt>
                <c:pt idx="427">
                  <c:v>16.5082</c:v>
                </c:pt>
                <c:pt idx="428">
                  <c:v>16.5083</c:v>
                </c:pt>
                <c:pt idx="429">
                  <c:v>16.5084</c:v>
                </c:pt>
                <c:pt idx="430">
                  <c:v>16.5084999999999</c:v>
                </c:pt>
                <c:pt idx="431">
                  <c:v>16.5085999999999</c:v>
                </c:pt>
                <c:pt idx="432">
                  <c:v>16.5086999999999</c:v>
                </c:pt>
                <c:pt idx="433">
                  <c:v>16.5087999999999</c:v>
                </c:pt>
                <c:pt idx="434">
                  <c:v>16.5088999999999</c:v>
                </c:pt>
                <c:pt idx="435">
                  <c:v>16.5089999999999</c:v>
                </c:pt>
                <c:pt idx="436">
                  <c:v>16.5090999999999</c:v>
                </c:pt>
                <c:pt idx="437">
                  <c:v>16.5091999999999</c:v>
                </c:pt>
                <c:pt idx="438">
                  <c:v>16.5092999999999</c:v>
                </c:pt>
                <c:pt idx="439">
                  <c:v>16.5093999999999</c:v>
                </c:pt>
                <c:pt idx="440">
                  <c:v>16.5094999999999</c:v>
                </c:pt>
                <c:pt idx="441">
                  <c:v>16.5095999999999</c:v>
                </c:pt>
                <c:pt idx="442">
                  <c:v>16.5096999999999</c:v>
                </c:pt>
                <c:pt idx="443">
                  <c:v>16.5097999999999</c:v>
                </c:pt>
                <c:pt idx="444">
                  <c:v>16.5098999999999</c:v>
                </c:pt>
                <c:pt idx="445">
                  <c:v>16.5099999999999</c:v>
                </c:pt>
                <c:pt idx="446">
                  <c:v>16.5100999999999</c:v>
                </c:pt>
                <c:pt idx="447">
                  <c:v>16.5101999999999</c:v>
                </c:pt>
                <c:pt idx="448">
                  <c:v>16.5102999999999</c:v>
                </c:pt>
                <c:pt idx="449">
                  <c:v>16.5103999999999</c:v>
                </c:pt>
                <c:pt idx="450">
                  <c:v>16.5104999999999</c:v>
                </c:pt>
                <c:pt idx="451">
                  <c:v>16.5105999999999</c:v>
                </c:pt>
                <c:pt idx="452">
                  <c:v>16.5106999999999</c:v>
                </c:pt>
                <c:pt idx="453">
                  <c:v>16.5107999999999</c:v>
                </c:pt>
                <c:pt idx="454">
                  <c:v>16.5108999999999</c:v>
                </c:pt>
                <c:pt idx="455">
                  <c:v>16.5109999999999</c:v>
                </c:pt>
                <c:pt idx="456">
                  <c:v>16.5110999999999</c:v>
                </c:pt>
                <c:pt idx="457">
                  <c:v>16.5111999999999</c:v>
                </c:pt>
                <c:pt idx="458">
                  <c:v>16.5112999999999</c:v>
                </c:pt>
                <c:pt idx="459">
                  <c:v>16.5113999999999</c:v>
                </c:pt>
                <c:pt idx="460">
                  <c:v>16.5114999999999</c:v>
                </c:pt>
                <c:pt idx="461">
                  <c:v>16.5115999999999</c:v>
                </c:pt>
                <c:pt idx="462">
                  <c:v>16.5116999999999</c:v>
                </c:pt>
                <c:pt idx="463">
                  <c:v>16.5117999999999</c:v>
                </c:pt>
                <c:pt idx="464">
                  <c:v>16.5118999999999</c:v>
                </c:pt>
                <c:pt idx="465">
                  <c:v>16.5119999999999</c:v>
                </c:pt>
                <c:pt idx="466">
                  <c:v>16.5120999999999</c:v>
                </c:pt>
                <c:pt idx="467">
                  <c:v>16.5121999999999</c:v>
                </c:pt>
                <c:pt idx="468">
                  <c:v>16.5122999999999</c:v>
                </c:pt>
                <c:pt idx="469">
                  <c:v>16.5123999999999</c:v>
                </c:pt>
                <c:pt idx="470">
                  <c:v>16.5124999999999</c:v>
                </c:pt>
                <c:pt idx="471">
                  <c:v>16.5125999999999</c:v>
                </c:pt>
                <c:pt idx="472">
                  <c:v>16.5126999999999</c:v>
                </c:pt>
                <c:pt idx="473">
                  <c:v>16.5127999999999</c:v>
                </c:pt>
                <c:pt idx="474">
                  <c:v>16.5128999999999</c:v>
                </c:pt>
                <c:pt idx="475">
                  <c:v>16.5129999999999</c:v>
                </c:pt>
                <c:pt idx="476">
                  <c:v>16.5130999999999</c:v>
                </c:pt>
                <c:pt idx="477">
                  <c:v>16.5131999999999</c:v>
                </c:pt>
                <c:pt idx="478">
                  <c:v>16.5132999999999</c:v>
                </c:pt>
                <c:pt idx="479">
                  <c:v>16.5133999999999</c:v>
                </c:pt>
                <c:pt idx="480">
                  <c:v>16.5134999999999</c:v>
                </c:pt>
                <c:pt idx="481">
                  <c:v>16.5135999999999</c:v>
                </c:pt>
                <c:pt idx="482">
                  <c:v>16.5136999999999</c:v>
                </c:pt>
                <c:pt idx="483">
                  <c:v>16.5137999999999</c:v>
                </c:pt>
                <c:pt idx="484">
                  <c:v>16.5138999999999</c:v>
                </c:pt>
                <c:pt idx="485">
                  <c:v>16.5139999999999</c:v>
                </c:pt>
                <c:pt idx="486">
                  <c:v>16.5140999999999</c:v>
                </c:pt>
                <c:pt idx="487">
                  <c:v>16.5141999999999</c:v>
                </c:pt>
                <c:pt idx="488">
                  <c:v>16.5142999999999</c:v>
                </c:pt>
                <c:pt idx="489">
                  <c:v>16.5143999999999</c:v>
                </c:pt>
                <c:pt idx="490">
                  <c:v>16.5144999999999</c:v>
                </c:pt>
                <c:pt idx="491">
                  <c:v>16.5145999999999</c:v>
                </c:pt>
                <c:pt idx="492">
                  <c:v>16.5146999999999</c:v>
                </c:pt>
                <c:pt idx="493">
                  <c:v>16.5147999999999</c:v>
                </c:pt>
                <c:pt idx="494">
                  <c:v>16.5148999999999</c:v>
                </c:pt>
                <c:pt idx="495">
                  <c:v>16.5149999999999</c:v>
                </c:pt>
                <c:pt idx="496">
                  <c:v>16.5150999999999</c:v>
                </c:pt>
                <c:pt idx="497">
                  <c:v>16.5151999999999</c:v>
                </c:pt>
                <c:pt idx="498">
                  <c:v>16.5152999999999</c:v>
                </c:pt>
                <c:pt idx="499">
                  <c:v>16.5153999999999</c:v>
                </c:pt>
                <c:pt idx="500">
                  <c:v>16.5154999999999</c:v>
                </c:pt>
                <c:pt idx="501">
                  <c:v>16.5155999999999</c:v>
                </c:pt>
                <c:pt idx="502">
                  <c:v>16.5156999999999</c:v>
                </c:pt>
                <c:pt idx="503">
                  <c:v>16.5157999999999</c:v>
                </c:pt>
                <c:pt idx="504">
                  <c:v>16.5158999999999</c:v>
                </c:pt>
                <c:pt idx="505">
                  <c:v>16.5159999999999</c:v>
                </c:pt>
                <c:pt idx="506">
                  <c:v>16.5160999999999</c:v>
                </c:pt>
                <c:pt idx="507">
                  <c:v>16.5161999999999</c:v>
                </c:pt>
                <c:pt idx="508">
                  <c:v>16.5162999999999</c:v>
                </c:pt>
                <c:pt idx="509">
                  <c:v>16.5163999999999</c:v>
                </c:pt>
                <c:pt idx="510">
                  <c:v>16.5164999999999</c:v>
                </c:pt>
                <c:pt idx="511">
                  <c:v>16.5165999999999</c:v>
                </c:pt>
                <c:pt idx="512">
                  <c:v>16.5166999999999</c:v>
                </c:pt>
                <c:pt idx="513">
                  <c:v>16.5167999999999</c:v>
                </c:pt>
                <c:pt idx="514">
                  <c:v>16.5168999999999</c:v>
                </c:pt>
                <c:pt idx="515">
                  <c:v>16.5169999999999</c:v>
                </c:pt>
                <c:pt idx="516">
                  <c:v>16.5170999999999</c:v>
                </c:pt>
                <c:pt idx="517">
                  <c:v>16.5171999999999</c:v>
                </c:pt>
                <c:pt idx="518">
                  <c:v>16.5172999999999</c:v>
                </c:pt>
                <c:pt idx="519">
                  <c:v>16.5173999999999</c:v>
                </c:pt>
                <c:pt idx="520">
                  <c:v>16.5174999999999</c:v>
                </c:pt>
                <c:pt idx="521">
                  <c:v>16.5175999999999</c:v>
                </c:pt>
                <c:pt idx="522">
                  <c:v>16.5176999999999</c:v>
                </c:pt>
                <c:pt idx="523">
                  <c:v>16.5177999999999</c:v>
                </c:pt>
                <c:pt idx="524">
                  <c:v>16.5178999999999</c:v>
                </c:pt>
                <c:pt idx="525">
                  <c:v>16.5179999999999</c:v>
                </c:pt>
                <c:pt idx="526">
                  <c:v>16.5180999999999</c:v>
                </c:pt>
                <c:pt idx="527">
                  <c:v>16.5181999999999</c:v>
                </c:pt>
                <c:pt idx="528">
                  <c:v>16.5182999999999</c:v>
                </c:pt>
                <c:pt idx="529">
                  <c:v>16.5183999999999</c:v>
                </c:pt>
                <c:pt idx="530">
                  <c:v>16.5184999999999</c:v>
                </c:pt>
                <c:pt idx="531">
                  <c:v>16.5185999999999</c:v>
                </c:pt>
                <c:pt idx="532">
                  <c:v>16.5186999999999</c:v>
                </c:pt>
                <c:pt idx="533">
                  <c:v>16.5187999999999</c:v>
                </c:pt>
                <c:pt idx="534">
                  <c:v>16.5188999999999</c:v>
                </c:pt>
                <c:pt idx="535">
                  <c:v>16.5189999999999</c:v>
                </c:pt>
                <c:pt idx="536">
                  <c:v>16.5190999999999</c:v>
                </c:pt>
                <c:pt idx="537">
                  <c:v>16.5191999999999</c:v>
                </c:pt>
                <c:pt idx="538">
                  <c:v>16.5192999999999</c:v>
                </c:pt>
                <c:pt idx="539">
                  <c:v>16.5193999999999</c:v>
                </c:pt>
                <c:pt idx="540">
                  <c:v>16.5194999999999</c:v>
                </c:pt>
                <c:pt idx="541">
                  <c:v>16.5195999999999</c:v>
                </c:pt>
                <c:pt idx="542">
                  <c:v>16.5196999999999</c:v>
                </c:pt>
                <c:pt idx="543">
                  <c:v>16.5197999999999</c:v>
                </c:pt>
                <c:pt idx="544">
                  <c:v>16.5198999999999</c:v>
                </c:pt>
                <c:pt idx="545">
                  <c:v>16.5199999999999</c:v>
                </c:pt>
                <c:pt idx="546">
                  <c:v>16.5200999999999</c:v>
                </c:pt>
                <c:pt idx="547">
                  <c:v>16.5201999999999</c:v>
                </c:pt>
                <c:pt idx="548">
                  <c:v>16.5202999999999</c:v>
                </c:pt>
                <c:pt idx="549">
                  <c:v>16.5203999999999</c:v>
                </c:pt>
                <c:pt idx="550">
                  <c:v>16.5204999999999</c:v>
                </c:pt>
                <c:pt idx="551">
                  <c:v>16.5205999999999</c:v>
                </c:pt>
                <c:pt idx="552">
                  <c:v>16.5206999999999</c:v>
                </c:pt>
                <c:pt idx="553">
                  <c:v>16.5207999999999</c:v>
                </c:pt>
                <c:pt idx="554">
                  <c:v>16.5208999999999</c:v>
                </c:pt>
                <c:pt idx="555">
                  <c:v>16.5209999999999</c:v>
                </c:pt>
                <c:pt idx="556">
                  <c:v>16.5210999999999</c:v>
                </c:pt>
                <c:pt idx="557">
                  <c:v>16.5211999999999</c:v>
                </c:pt>
                <c:pt idx="558">
                  <c:v>16.5212999999999</c:v>
                </c:pt>
                <c:pt idx="559">
                  <c:v>16.5213999999999</c:v>
                </c:pt>
                <c:pt idx="560">
                  <c:v>16.5214999999999</c:v>
                </c:pt>
                <c:pt idx="561">
                  <c:v>16.5215999999999</c:v>
                </c:pt>
                <c:pt idx="562">
                  <c:v>16.5216999999999</c:v>
                </c:pt>
                <c:pt idx="563">
                  <c:v>16.5217999999999</c:v>
                </c:pt>
                <c:pt idx="564">
                  <c:v>16.5218999999999</c:v>
                </c:pt>
                <c:pt idx="565">
                  <c:v>16.5219999999999</c:v>
                </c:pt>
                <c:pt idx="566">
                  <c:v>16.5220999999999</c:v>
                </c:pt>
                <c:pt idx="567">
                  <c:v>16.5221999999999</c:v>
                </c:pt>
                <c:pt idx="568">
                  <c:v>16.5222999999999</c:v>
                </c:pt>
                <c:pt idx="569">
                  <c:v>16.5223999999999</c:v>
                </c:pt>
                <c:pt idx="570">
                  <c:v>16.5224999999999</c:v>
                </c:pt>
                <c:pt idx="571">
                  <c:v>16.5225999999999</c:v>
                </c:pt>
                <c:pt idx="572">
                  <c:v>16.5226999999999</c:v>
                </c:pt>
                <c:pt idx="573">
                  <c:v>16.5227999999999</c:v>
                </c:pt>
                <c:pt idx="574">
                  <c:v>16.5228999999999</c:v>
                </c:pt>
                <c:pt idx="575">
                  <c:v>16.5229999999999</c:v>
                </c:pt>
                <c:pt idx="576">
                  <c:v>16.5230999999999</c:v>
                </c:pt>
                <c:pt idx="577">
                  <c:v>16.5231999999999</c:v>
                </c:pt>
                <c:pt idx="578">
                  <c:v>16.5232999999999</c:v>
                </c:pt>
                <c:pt idx="579">
                  <c:v>16.5233999999999</c:v>
                </c:pt>
                <c:pt idx="580">
                  <c:v>16.5234999999999</c:v>
                </c:pt>
                <c:pt idx="581">
                  <c:v>16.5235999999999</c:v>
                </c:pt>
                <c:pt idx="582">
                  <c:v>16.5236999999999</c:v>
                </c:pt>
                <c:pt idx="583">
                  <c:v>16.5237999999999</c:v>
                </c:pt>
                <c:pt idx="584">
                  <c:v>16.5238999999999</c:v>
                </c:pt>
                <c:pt idx="585">
                  <c:v>16.5239999999999</c:v>
                </c:pt>
                <c:pt idx="586">
                  <c:v>16.5240999999999</c:v>
                </c:pt>
                <c:pt idx="587">
                  <c:v>16.5241999999999</c:v>
                </c:pt>
                <c:pt idx="588">
                  <c:v>16.5242999999999</c:v>
                </c:pt>
                <c:pt idx="589">
                  <c:v>16.5243999999999</c:v>
                </c:pt>
                <c:pt idx="590">
                  <c:v>16.5244999999999</c:v>
                </c:pt>
                <c:pt idx="591">
                  <c:v>16.5245999999999</c:v>
                </c:pt>
                <c:pt idx="592">
                  <c:v>16.5246999999999</c:v>
                </c:pt>
                <c:pt idx="593">
                  <c:v>16.5247999999999</c:v>
                </c:pt>
                <c:pt idx="594">
                  <c:v>16.5248999999999</c:v>
                </c:pt>
                <c:pt idx="595">
                  <c:v>16.5249999999999</c:v>
                </c:pt>
                <c:pt idx="596">
                  <c:v>16.5250999999999</c:v>
                </c:pt>
                <c:pt idx="597">
                  <c:v>16.5251999999999</c:v>
                </c:pt>
                <c:pt idx="598">
                  <c:v>16.5252999999999</c:v>
                </c:pt>
                <c:pt idx="599">
                  <c:v>16.5253999999999</c:v>
                </c:pt>
                <c:pt idx="600">
                  <c:v>16.5254999999999</c:v>
                </c:pt>
                <c:pt idx="601">
                  <c:v>16.5255999999999</c:v>
                </c:pt>
                <c:pt idx="602">
                  <c:v>16.5256999999999</c:v>
                </c:pt>
                <c:pt idx="603">
                  <c:v>16.5257999999999</c:v>
                </c:pt>
                <c:pt idx="604">
                  <c:v>16.5258999999999</c:v>
                </c:pt>
                <c:pt idx="605">
                  <c:v>16.5259999999999</c:v>
                </c:pt>
                <c:pt idx="606">
                  <c:v>16.5260999999999</c:v>
                </c:pt>
                <c:pt idx="607">
                  <c:v>16.5261999999999</c:v>
                </c:pt>
                <c:pt idx="608">
                  <c:v>16.5262999999999</c:v>
                </c:pt>
                <c:pt idx="609">
                  <c:v>16.5263999999999</c:v>
                </c:pt>
                <c:pt idx="610">
                  <c:v>16.5264999999999</c:v>
                </c:pt>
                <c:pt idx="611">
                  <c:v>16.5265999999999</c:v>
                </c:pt>
                <c:pt idx="612">
                  <c:v>16.5266999999999</c:v>
                </c:pt>
                <c:pt idx="613">
                  <c:v>16.5267999999999</c:v>
                </c:pt>
                <c:pt idx="614">
                  <c:v>16.5268999999999</c:v>
                </c:pt>
                <c:pt idx="615">
                  <c:v>16.5269999999999</c:v>
                </c:pt>
                <c:pt idx="616">
                  <c:v>16.5270999999999</c:v>
                </c:pt>
                <c:pt idx="617">
                  <c:v>16.5271999999999</c:v>
                </c:pt>
                <c:pt idx="618">
                  <c:v>16.5272999999999</c:v>
                </c:pt>
                <c:pt idx="619">
                  <c:v>16.5273999999999</c:v>
                </c:pt>
                <c:pt idx="620">
                  <c:v>16.5274999999999</c:v>
                </c:pt>
                <c:pt idx="621">
                  <c:v>16.5275999999999</c:v>
                </c:pt>
                <c:pt idx="622">
                  <c:v>16.5276999999999</c:v>
                </c:pt>
                <c:pt idx="623">
                  <c:v>16.5277999999999</c:v>
                </c:pt>
                <c:pt idx="624">
                  <c:v>16.5278999999999</c:v>
                </c:pt>
                <c:pt idx="625">
                  <c:v>16.5279999999999</c:v>
                </c:pt>
                <c:pt idx="626">
                  <c:v>16.5280999999999</c:v>
                </c:pt>
                <c:pt idx="627">
                  <c:v>16.5281999999999</c:v>
                </c:pt>
                <c:pt idx="628">
                  <c:v>16.5282999999999</c:v>
                </c:pt>
                <c:pt idx="629">
                  <c:v>16.5283999999999</c:v>
                </c:pt>
                <c:pt idx="630">
                  <c:v>16.5284999999999</c:v>
                </c:pt>
                <c:pt idx="631">
                  <c:v>16.5285999999999</c:v>
                </c:pt>
                <c:pt idx="632">
                  <c:v>16.5286999999999</c:v>
                </c:pt>
                <c:pt idx="633">
                  <c:v>16.5287999999999</c:v>
                </c:pt>
                <c:pt idx="634">
                  <c:v>16.5288999999999</c:v>
                </c:pt>
                <c:pt idx="635">
                  <c:v>16.5289999999999</c:v>
                </c:pt>
                <c:pt idx="636">
                  <c:v>16.5290999999999</c:v>
                </c:pt>
                <c:pt idx="637">
                  <c:v>16.5291999999999</c:v>
                </c:pt>
                <c:pt idx="638">
                  <c:v>16.5292999999999</c:v>
                </c:pt>
                <c:pt idx="639">
                  <c:v>16.5293999999999</c:v>
                </c:pt>
                <c:pt idx="640">
                  <c:v>16.5294999999999</c:v>
                </c:pt>
                <c:pt idx="641">
                  <c:v>16.5295999999999</c:v>
                </c:pt>
                <c:pt idx="642">
                  <c:v>16.5296999999999</c:v>
                </c:pt>
                <c:pt idx="643">
                  <c:v>16.5297999999999</c:v>
                </c:pt>
                <c:pt idx="644">
                  <c:v>16.5298999999999</c:v>
                </c:pt>
                <c:pt idx="645">
                  <c:v>16.5299999999999</c:v>
                </c:pt>
                <c:pt idx="646">
                  <c:v>16.5300999999999</c:v>
                </c:pt>
                <c:pt idx="647">
                  <c:v>16.5301999999999</c:v>
                </c:pt>
                <c:pt idx="648">
                  <c:v>16.5302999999999</c:v>
                </c:pt>
                <c:pt idx="649">
                  <c:v>16.5303999999999</c:v>
                </c:pt>
                <c:pt idx="650">
                  <c:v>16.5304999999999</c:v>
                </c:pt>
                <c:pt idx="651">
                  <c:v>16.5305999999999</c:v>
                </c:pt>
                <c:pt idx="652">
                  <c:v>16.5306999999999</c:v>
                </c:pt>
                <c:pt idx="653">
                  <c:v>16.5307999999999</c:v>
                </c:pt>
                <c:pt idx="654">
                  <c:v>16.5308999999999</c:v>
                </c:pt>
                <c:pt idx="655">
                  <c:v>16.5309999999999</c:v>
                </c:pt>
                <c:pt idx="656">
                  <c:v>16.5310999999999</c:v>
                </c:pt>
                <c:pt idx="657">
                  <c:v>16.5311999999999</c:v>
                </c:pt>
                <c:pt idx="658">
                  <c:v>16.5312999999999</c:v>
                </c:pt>
                <c:pt idx="659">
                  <c:v>16.5313999999999</c:v>
                </c:pt>
                <c:pt idx="660">
                  <c:v>16.5314999999999</c:v>
                </c:pt>
                <c:pt idx="661">
                  <c:v>16.5315999999999</c:v>
                </c:pt>
                <c:pt idx="662">
                  <c:v>16.5316999999999</c:v>
                </c:pt>
                <c:pt idx="663">
                  <c:v>16.5317999999999</c:v>
                </c:pt>
                <c:pt idx="664">
                  <c:v>16.5318999999999</c:v>
                </c:pt>
                <c:pt idx="665">
                  <c:v>16.5319999999999</c:v>
                </c:pt>
                <c:pt idx="666">
                  <c:v>16.5320999999999</c:v>
                </c:pt>
                <c:pt idx="667">
                  <c:v>16.5321999999999</c:v>
                </c:pt>
                <c:pt idx="668">
                  <c:v>16.5322999999999</c:v>
                </c:pt>
                <c:pt idx="669">
                  <c:v>16.5323999999999</c:v>
                </c:pt>
                <c:pt idx="670">
                  <c:v>16.5324999999999</c:v>
                </c:pt>
                <c:pt idx="671">
                  <c:v>16.5325999999999</c:v>
                </c:pt>
                <c:pt idx="672">
                  <c:v>16.5326999999999</c:v>
                </c:pt>
                <c:pt idx="673">
                  <c:v>16.5327999999999</c:v>
                </c:pt>
                <c:pt idx="674">
                  <c:v>16.5328999999999</c:v>
                </c:pt>
                <c:pt idx="675">
                  <c:v>16.5329999999999</c:v>
                </c:pt>
                <c:pt idx="676">
                  <c:v>16.5330999999999</c:v>
                </c:pt>
                <c:pt idx="677">
                  <c:v>16.5331999999999</c:v>
                </c:pt>
                <c:pt idx="678">
                  <c:v>16.5332999999999</c:v>
                </c:pt>
                <c:pt idx="679">
                  <c:v>16.5333999999999</c:v>
                </c:pt>
                <c:pt idx="680">
                  <c:v>16.5334999999999</c:v>
                </c:pt>
                <c:pt idx="681">
                  <c:v>16.5335999999999</c:v>
                </c:pt>
                <c:pt idx="682">
                  <c:v>16.5336999999999</c:v>
                </c:pt>
                <c:pt idx="683">
                  <c:v>16.5337999999999</c:v>
                </c:pt>
                <c:pt idx="684">
                  <c:v>16.5338999999999</c:v>
                </c:pt>
                <c:pt idx="685">
                  <c:v>16.5339999999999</c:v>
                </c:pt>
                <c:pt idx="686">
                  <c:v>16.5340999999999</c:v>
                </c:pt>
                <c:pt idx="687">
                  <c:v>16.5341999999999</c:v>
                </c:pt>
                <c:pt idx="688">
                  <c:v>16.5342999999999</c:v>
                </c:pt>
                <c:pt idx="689">
                  <c:v>16.5343999999999</c:v>
                </c:pt>
                <c:pt idx="690">
                  <c:v>16.5344999999999</c:v>
                </c:pt>
                <c:pt idx="691">
                  <c:v>16.5345999999999</c:v>
                </c:pt>
                <c:pt idx="692">
                  <c:v>16.5346999999999</c:v>
                </c:pt>
                <c:pt idx="693">
                  <c:v>16.5347999999999</c:v>
                </c:pt>
                <c:pt idx="694">
                  <c:v>16.5348999999999</c:v>
                </c:pt>
                <c:pt idx="695">
                  <c:v>16.5349999999999</c:v>
                </c:pt>
                <c:pt idx="696">
                  <c:v>16.5350999999999</c:v>
                </c:pt>
                <c:pt idx="697">
                  <c:v>16.5351999999999</c:v>
                </c:pt>
                <c:pt idx="698">
                  <c:v>16.5352999999999</c:v>
                </c:pt>
                <c:pt idx="699">
                  <c:v>16.5353999999999</c:v>
                </c:pt>
                <c:pt idx="700">
                  <c:v>16.5354999999999</c:v>
                </c:pt>
                <c:pt idx="701">
                  <c:v>16.5355999999999</c:v>
                </c:pt>
                <c:pt idx="702">
                  <c:v>16.5356999999999</c:v>
                </c:pt>
                <c:pt idx="703">
                  <c:v>16.5357999999999</c:v>
                </c:pt>
                <c:pt idx="704">
                  <c:v>16.5358999999999</c:v>
                </c:pt>
                <c:pt idx="705">
                  <c:v>16.5359999999999</c:v>
                </c:pt>
                <c:pt idx="706">
                  <c:v>16.5360999999999</c:v>
                </c:pt>
                <c:pt idx="707">
                  <c:v>16.5361999999999</c:v>
                </c:pt>
                <c:pt idx="708">
                  <c:v>16.5362999999999</c:v>
                </c:pt>
                <c:pt idx="709">
                  <c:v>16.5363999999999</c:v>
                </c:pt>
                <c:pt idx="710">
                  <c:v>16.5364999999999</c:v>
                </c:pt>
                <c:pt idx="711">
                  <c:v>16.5365999999999</c:v>
                </c:pt>
                <c:pt idx="712">
                  <c:v>16.5366999999999</c:v>
                </c:pt>
                <c:pt idx="713">
                  <c:v>16.5367999999999</c:v>
                </c:pt>
                <c:pt idx="714">
                  <c:v>16.5368999999999</c:v>
                </c:pt>
                <c:pt idx="715">
                  <c:v>16.5369999999999</c:v>
                </c:pt>
                <c:pt idx="716">
                  <c:v>16.5370999999999</c:v>
                </c:pt>
                <c:pt idx="717">
                  <c:v>16.5371999999999</c:v>
                </c:pt>
                <c:pt idx="718">
                  <c:v>16.5372999999999</c:v>
                </c:pt>
                <c:pt idx="719">
                  <c:v>16.5373999999999</c:v>
                </c:pt>
                <c:pt idx="720">
                  <c:v>16.5374999999999</c:v>
                </c:pt>
                <c:pt idx="721">
                  <c:v>16.5375999999999</c:v>
                </c:pt>
                <c:pt idx="722">
                  <c:v>16.5376999999999</c:v>
                </c:pt>
                <c:pt idx="723">
                  <c:v>16.5377999999999</c:v>
                </c:pt>
                <c:pt idx="724">
                  <c:v>16.5378999999999</c:v>
                </c:pt>
                <c:pt idx="725">
                  <c:v>16.5379999999999</c:v>
                </c:pt>
                <c:pt idx="726">
                  <c:v>16.5380999999999</c:v>
                </c:pt>
                <c:pt idx="727">
                  <c:v>16.5381999999999</c:v>
                </c:pt>
                <c:pt idx="728">
                  <c:v>16.5382999999999</c:v>
                </c:pt>
                <c:pt idx="729">
                  <c:v>16.5383999999999</c:v>
                </c:pt>
                <c:pt idx="730">
                  <c:v>16.5384999999999</c:v>
                </c:pt>
                <c:pt idx="731">
                  <c:v>16.5385999999999</c:v>
                </c:pt>
                <c:pt idx="732">
                  <c:v>16.5386999999999</c:v>
                </c:pt>
                <c:pt idx="733">
                  <c:v>16.5387999999999</c:v>
                </c:pt>
                <c:pt idx="734">
                  <c:v>16.5388999999999</c:v>
                </c:pt>
                <c:pt idx="735">
                  <c:v>16.5389999999999</c:v>
                </c:pt>
                <c:pt idx="736">
                  <c:v>16.5390999999999</c:v>
                </c:pt>
                <c:pt idx="737">
                  <c:v>16.5391999999999</c:v>
                </c:pt>
                <c:pt idx="738">
                  <c:v>16.5392999999999</c:v>
                </c:pt>
                <c:pt idx="739">
                  <c:v>16.5393999999999</c:v>
                </c:pt>
                <c:pt idx="740">
                  <c:v>16.5394999999999</c:v>
                </c:pt>
                <c:pt idx="741">
                  <c:v>16.5395999999999</c:v>
                </c:pt>
                <c:pt idx="742">
                  <c:v>16.5396999999999</c:v>
                </c:pt>
                <c:pt idx="743">
                  <c:v>16.5397999999999</c:v>
                </c:pt>
                <c:pt idx="744">
                  <c:v>16.5398999999999</c:v>
                </c:pt>
                <c:pt idx="745">
                  <c:v>16.5399999999999</c:v>
                </c:pt>
                <c:pt idx="746">
                  <c:v>16.5400999999999</c:v>
                </c:pt>
                <c:pt idx="747">
                  <c:v>16.5401999999999</c:v>
                </c:pt>
                <c:pt idx="748">
                  <c:v>16.5402999999999</c:v>
                </c:pt>
                <c:pt idx="749">
                  <c:v>16.5403999999999</c:v>
                </c:pt>
                <c:pt idx="750">
                  <c:v>16.5404999999999</c:v>
                </c:pt>
                <c:pt idx="751">
                  <c:v>16.5405999999999</c:v>
                </c:pt>
                <c:pt idx="752">
                  <c:v>16.5406999999999</c:v>
                </c:pt>
                <c:pt idx="753">
                  <c:v>16.5407999999999</c:v>
                </c:pt>
                <c:pt idx="754">
                  <c:v>16.5408999999999</c:v>
                </c:pt>
                <c:pt idx="755">
                  <c:v>16.5409999999999</c:v>
                </c:pt>
                <c:pt idx="756">
                  <c:v>16.5410999999999</c:v>
                </c:pt>
                <c:pt idx="757">
                  <c:v>16.5411999999999</c:v>
                </c:pt>
                <c:pt idx="758">
                  <c:v>16.5412999999999</c:v>
                </c:pt>
                <c:pt idx="759">
                  <c:v>16.5413999999999</c:v>
                </c:pt>
                <c:pt idx="760">
                  <c:v>16.5414999999999</c:v>
                </c:pt>
                <c:pt idx="761">
                  <c:v>16.5415999999999</c:v>
                </c:pt>
                <c:pt idx="762">
                  <c:v>16.5416999999999</c:v>
                </c:pt>
                <c:pt idx="763">
                  <c:v>16.5417999999999</c:v>
                </c:pt>
                <c:pt idx="764">
                  <c:v>16.5418999999999</c:v>
                </c:pt>
                <c:pt idx="765">
                  <c:v>16.5419999999999</c:v>
                </c:pt>
                <c:pt idx="766">
                  <c:v>16.5420999999999</c:v>
                </c:pt>
                <c:pt idx="767">
                  <c:v>16.5421999999999</c:v>
                </c:pt>
                <c:pt idx="768">
                  <c:v>16.5422999999999</c:v>
                </c:pt>
                <c:pt idx="769">
                  <c:v>16.5423999999999</c:v>
                </c:pt>
                <c:pt idx="770">
                  <c:v>16.5424999999999</c:v>
                </c:pt>
                <c:pt idx="771">
                  <c:v>16.5425999999999</c:v>
                </c:pt>
                <c:pt idx="772">
                  <c:v>16.5426999999999</c:v>
                </c:pt>
                <c:pt idx="773">
                  <c:v>16.5427999999999</c:v>
                </c:pt>
                <c:pt idx="774">
                  <c:v>16.5428999999999</c:v>
                </c:pt>
                <c:pt idx="775">
                  <c:v>16.5429999999999</c:v>
                </c:pt>
                <c:pt idx="776">
                  <c:v>16.5430999999999</c:v>
                </c:pt>
                <c:pt idx="777">
                  <c:v>16.5431999999999</c:v>
                </c:pt>
                <c:pt idx="778">
                  <c:v>16.5432999999999</c:v>
                </c:pt>
                <c:pt idx="779">
                  <c:v>16.5433999999999</c:v>
                </c:pt>
                <c:pt idx="780">
                  <c:v>16.5434999999999</c:v>
                </c:pt>
                <c:pt idx="781">
                  <c:v>16.5435999999999</c:v>
                </c:pt>
                <c:pt idx="782">
                  <c:v>16.5436999999999</c:v>
                </c:pt>
                <c:pt idx="783">
                  <c:v>16.5437999999999</c:v>
                </c:pt>
                <c:pt idx="784">
                  <c:v>16.5438999999999</c:v>
                </c:pt>
                <c:pt idx="785">
                  <c:v>16.5439999999999</c:v>
                </c:pt>
                <c:pt idx="786">
                  <c:v>16.5440999999999</c:v>
                </c:pt>
                <c:pt idx="787">
                  <c:v>16.5441999999999</c:v>
                </c:pt>
                <c:pt idx="788">
                  <c:v>16.5442999999999</c:v>
                </c:pt>
                <c:pt idx="789">
                  <c:v>16.5443999999999</c:v>
                </c:pt>
                <c:pt idx="790">
                  <c:v>16.5444999999999</c:v>
                </c:pt>
                <c:pt idx="791">
                  <c:v>16.5445999999999</c:v>
                </c:pt>
                <c:pt idx="792">
                  <c:v>16.5446999999999</c:v>
                </c:pt>
                <c:pt idx="793">
                  <c:v>16.5447999999999</c:v>
                </c:pt>
                <c:pt idx="794">
                  <c:v>16.5448999999999</c:v>
                </c:pt>
                <c:pt idx="795">
                  <c:v>16.5449999999999</c:v>
                </c:pt>
                <c:pt idx="796">
                  <c:v>16.5450999999999</c:v>
                </c:pt>
                <c:pt idx="797">
                  <c:v>16.5451999999999</c:v>
                </c:pt>
                <c:pt idx="798">
                  <c:v>16.5452999999999</c:v>
                </c:pt>
                <c:pt idx="799">
                  <c:v>16.5453999999999</c:v>
                </c:pt>
                <c:pt idx="800">
                  <c:v>16.5454999999999</c:v>
                </c:pt>
                <c:pt idx="801">
                  <c:v>16.5455999999999</c:v>
                </c:pt>
                <c:pt idx="802">
                  <c:v>16.5456999999999</c:v>
                </c:pt>
                <c:pt idx="803">
                  <c:v>16.5457999999999</c:v>
                </c:pt>
                <c:pt idx="804">
                  <c:v>16.5458999999999</c:v>
                </c:pt>
                <c:pt idx="805">
                  <c:v>16.5459999999999</c:v>
                </c:pt>
                <c:pt idx="806">
                  <c:v>16.5460999999999</c:v>
                </c:pt>
                <c:pt idx="807">
                  <c:v>16.5461999999999</c:v>
                </c:pt>
                <c:pt idx="808">
                  <c:v>16.5462999999999</c:v>
                </c:pt>
                <c:pt idx="809">
                  <c:v>16.5463999999999</c:v>
                </c:pt>
                <c:pt idx="810">
                  <c:v>16.5464999999999</c:v>
                </c:pt>
                <c:pt idx="811">
                  <c:v>16.5465999999999</c:v>
                </c:pt>
                <c:pt idx="812">
                  <c:v>16.5466999999999</c:v>
                </c:pt>
                <c:pt idx="813">
                  <c:v>16.5467999999999</c:v>
                </c:pt>
                <c:pt idx="814">
                  <c:v>16.5468999999999</c:v>
                </c:pt>
                <c:pt idx="815">
                  <c:v>16.5469999999999</c:v>
                </c:pt>
                <c:pt idx="816">
                  <c:v>16.5470999999999</c:v>
                </c:pt>
                <c:pt idx="817">
                  <c:v>16.5471999999999</c:v>
                </c:pt>
                <c:pt idx="818">
                  <c:v>16.5472999999999</c:v>
                </c:pt>
                <c:pt idx="819">
                  <c:v>16.5473999999999</c:v>
                </c:pt>
                <c:pt idx="820">
                  <c:v>16.5474999999999</c:v>
                </c:pt>
                <c:pt idx="821">
                  <c:v>16.5475999999999</c:v>
                </c:pt>
                <c:pt idx="822">
                  <c:v>16.5476999999999</c:v>
                </c:pt>
                <c:pt idx="823">
                  <c:v>16.5477999999999</c:v>
                </c:pt>
                <c:pt idx="824">
                  <c:v>16.5478999999999</c:v>
                </c:pt>
                <c:pt idx="825">
                  <c:v>16.5479999999999</c:v>
                </c:pt>
                <c:pt idx="826">
                  <c:v>16.5480999999999</c:v>
                </c:pt>
                <c:pt idx="827">
                  <c:v>16.5481999999999</c:v>
                </c:pt>
                <c:pt idx="828">
                  <c:v>16.5482999999999</c:v>
                </c:pt>
                <c:pt idx="829">
                  <c:v>16.5483999999999</c:v>
                </c:pt>
                <c:pt idx="830">
                  <c:v>16.5484999999999</c:v>
                </c:pt>
                <c:pt idx="831">
                  <c:v>16.5485999999999</c:v>
                </c:pt>
                <c:pt idx="832">
                  <c:v>16.5486999999999</c:v>
                </c:pt>
                <c:pt idx="833">
                  <c:v>16.5487999999999</c:v>
                </c:pt>
                <c:pt idx="834">
                  <c:v>16.5488999999999</c:v>
                </c:pt>
                <c:pt idx="835">
                  <c:v>16.5489999999999</c:v>
                </c:pt>
                <c:pt idx="836">
                  <c:v>16.5490999999999</c:v>
                </c:pt>
                <c:pt idx="837">
                  <c:v>16.5491999999999</c:v>
                </c:pt>
                <c:pt idx="838">
                  <c:v>16.5492999999999</c:v>
                </c:pt>
                <c:pt idx="839">
                  <c:v>16.5493999999999</c:v>
                </c:pt>
                <c:pt idx="840">
                  <c:v>16.5494999999999</c:v>
                </c:pt>
                <c:pt idx="841">
                  <c:v>16.5495999999999</c:v>
                </c:pt>
                <c:pt idx="842">
                  <c:v>16.5496999999999</c:v>
                </c:pt>
                <c:pt idx="843">
                  <c:v>16.5497999999999</c:v>
                </c:pt>
                <c:pt idx="844">
                  <c:v>16.5498999999999</c:v>
                </c:pt>
                <c:pt idx="845">
                  <c:v>16.5499999999999</c:v>
                </c:pt>
                <c:pt idx="846">
                  <c:v>16.5500999999999</c:v>
                </c:pt>
                <c:pt idx="847">
                  <c:v>16.5501999999999</c:v>
                </c:pt>
                <c:pt idx="848">
                  <c:v>16.5502999999999</c:v>
                </c:pt>
                <c:pt idx="849">
                  <c:v>16.5503999999999</c:v>
                </c:pt>
                <c:pt idx="850">
                  <c:v>16.5504999999999</c:v>
                </c:pt>
                <c:pt idx="851">
                  <c:v>16.5505999999999</c:v>
                </c:pt>
                <c:pt idx="852">
                  <c:v>16.5506999999999</c:v>
                </c:pt>
                <c:pt idx="853">
                  <c:v>16.5507999999999</c:v>
                </c:pt>
                <c:pt idx="854">
                  <c:v>16.5508999999999</c:v>
                </c:pt>
                <c:pt idx="855">
                  <c:v>16.5509999999999</c:v>
                </c:pt>
                <c:pt idx="856">
                  <c:v>16.5510999999999</c:v>
                </c:pt>
                <c:pt idx="857">
                  <c:v>16.5511999999999</c:v>
                </c:pt>
                <c:pt idx="858">
                  <c:v>16.5512999999999</c:v>
                </c:pt>
                <c:pt idx="859">
                  <c:v>16.5513999999999</c:v>
                </c:pt>
                <c:pt idx="860">
                  <c:v>16.5514999999998</c:v>
                </c:pt>
                <c:pt idx="861">
                  <c:v>16.5515999999998</c:v>
                </c:pt>
                <c:pt idx="862">
                  <c:v>16.5516999999998</c:v>
                </c:pt>
                <c:pt idx="863">
                  <c:v>16.5517999999998</c:v>
                </c:pt>
                <c:pt idx="864">
                  <c:v>16.5518999999998</c:v>
                </c:pt>
                <c:pt idx="865">
                  <c:v>16.5519999999998</c:v>
                </c:pt>
                <c:pt idx="866">
                  <c:v>16.5520999999998</c:v>
                </c:pt>
                <c:pt idx="867">
                  <c:v>16.5521999999998</c:v>
                </c:pt>
                <c:pt idx="868">
                  <c:v>16.5522999999998</c:v>
                </c:pt>
                <c:pt idx="869">
                  <c:v>16.5523999999998</c:v>
                </c:pt>
                <c:pt idx="870">
                  <c:v>16.5524999999998</c:v>
                </c:pt>
                <c:pt idx="871">
                  <c:v>16.5525999999998</c:v>
                </c:pt>
                <c:pt idx="872">
                  <c:v>16.5526999999998</c:v>
                </c:pt>
                <c:pt idx="873">
                  <c:v>16.5527999999998</c:v>
                </c:pt>
                <c:pt idx="874">
                  <c:v>16.5528999999998</c:v>
                </c:pt>
                <c:pt idx="875">
                  <c:v>16.5529999999998</c:v>
                </c:pt>
                <c:pt idx="876">
                  <c:v>16.5530999999998</c:v>
                </c:pt>
                <c:pt idx="877">
                  <c:v>16.5531999999998</c:v>
                </c:pt>
                <c:pt idx="878">
                  <c:v>16.5532999999998</c:v>
                </c:pt>
                <c:pt idx="879">
                  <c:v>16.5533999999998</c:v>
                </c:pt>
                <c:pt idx="880">
                  <c:v>16.5534999999998</c:v>
                </c:pt>
                <c:pt idx="881">
                  <c:v>16.5535999999998</c:v>
                </c:pt>
                <c:pt idx="882">
                  <c:v>16.5536999999998</c:v>
                </c:pt>
                <c:pt idx="883">
                  <c:v>16.5537999999998</c:v>
                </c:pt>
                <c:pt idx="884">
                  <c:v>16.5538999999998</c:v>
                </c:pt>
                <c:pt idx="885">
                  <c:v>16.5539999999998</c:v>
                </c:pt>
                <c:pt idx="886">
                  <c:v>16.5540999999998</c:v>
                </c:pt>
                <c:pt idx="887">
                  <c:v>16.5541999999998</c:v>
                </c:pt>
                <c:pt idx="888">
                  <c:v>16.5542999999998</c:v>
                </c:pt>
                <c:pt idx="889">
                  <c:v>16.5543999999998</c:v>
                </c:pt>
                <c:pt idx="890">
                  <c:v>16.5544999999998</c:v>
                </c:pt>
                <c:pt idx="891">
                  <c:v>16.5545999999998</c:v>
                </c:pt>
                <c:pt idx="892">
                  <c:v>16.5546999999998</c:v>
                </c:pt>
                <c:pt idx="893">
                  <c:v>16.5547999999998</c:v>
                </c:pt>
                <c:pt idx="894">
                  <c:v>16.5548999999998</c:v>
                </c:pt>
                <c:pt idx="895">
                  <c:v>16.5549999999998</c:v>
                </c:pt>
                <c:pt idx="896">
                  <c:v>16.5550999999998</c:v>
                </c:pt>
                <c:pt idx="897">
                  <c:v>16.5551999999998</c:v>
                </c:pt>
                <c:pt idx="898">
                  <c:v>16.5552999999998</c:v>
                </c:pt>
                <c:pt idx="899">
                  <c:v>16.5553999999998</c:v>
                </c:pt>
                <c:pt idx="900">
                  <c:v>16.5554999999998</c:v>
                </c:pt>
                <c:pt idx="901">
                  <c:v>16.5555999999998</c:v>
                </c:pt>
                <c:pt idx="902">
                  <c:v>16.5556999999998</c:v>
                </c:pt>
                <c:pt idx="903">
                  <c:v>16.5557999999998</c:v>
                </c:pt>
                <c:pt idx="904">
                  <c:v>16.5558999999998</c:v>
                </c:pt>
                <c:pt idx="905">
                  <c:v>16.5559999999998</c:v>
                </c:pt>
                <c:pt idx="906">
                  <c:v>16.5560999999998</c:v>
                </c:pt>
                <c:pt idx="907">
                  <c:v>16.5561999999998</c:v>
                </c:pt>
                <c:pt idx="908">
                  <c:v>16.5562999999998</c:v>
                </c:pt>
                <c:pt idx="909">
                  <c:v>16.5563999999998</c:v>
                </c:pt>
                <c:pt idx="910">
                  <c:v>16.5564999999998</c:v>
                </c:pt>
                <c:pt idx="911">
                  <c:v>16.5565999999998</c:v>
                </c:pt>
                <c:pt idx="912">
                  <c:v>16.5566999999998</c:v>
                </c:pt>
                <c:pt idx="913">
                  <c:v>16.5567999999998</c:v>
                </c:pt>
                <c:pt idx="914">
                  <c:v>16.5568999999998</c:v>
                </c:pt>
                <c:pt idx="915">
                  <c:v>16.5569999999998</c:v>
                </c:pt>
                <c:pt idx="916">
                  <c:v>16.5570999999998</c:v>
                </c:pt>
                <c:pt idx="917">
                  <c:v>16.5571999999998</c:v>
                </c:pt>
                <c:pt idx="918">
                  <c:v>16.5572999999998</c:v>
                </c:pt>
                <c:pt idx="919">
                  <c:v>16.5573999999998</c:v>
                </c:pt>
                <c:pt idx="920">
                  <c:v>16.5574999999998</c:v>
                </c:pt>
                <c:pt idx="921">
                  <c:v>16.5575999999998</c:v>
                </c:pt>
                <c:pt idx="922">
                  <c:v>16.5576999999998</c:v>
                </c:pt>
                <c:pt idx="923">
                  <c:v>16.5577999999998</c:v>
                </c:pt>
                <c:pt idx="924">
                  <c:v>16.5578999999998</c:v>
                </c:pt>
                <c:pt idx="925">
                  <c:v>16.5579999999998</c:v>
                </c:pt>
                <c:pt idx="926">
                  <c:v>16.5580999999998</c:v>
                </c:pt>
                <c:pt idx="927">
                  <c:v>16.5581999999998</c:v>
                </c:pt>
                <c:pt idx="928">
                  <c:v>16.5582999999998</c:v>
                </c:pt>
                <c:pt idx="929">
                  <c:v>16.5583999999998</c:v>
                </c:pt>
                <c:pt idx="930">
                  <c:v>16.5584999999998</c:v>
                </c:pt>
                <c:pt idx="931">
                  <c:v>16.5585999999998</c:v>
                </c:pt>
                <c:pt idx="932">
                  <c:v>16.5586999999998</c:v>
                </c:pt>
                <c:pt idx="933">
                  <c:v>16.5587999999998</c:v>
                </c:pt>
                <c:pt idx="934">
                  <c:v>16.5588999999998</c:v>
                </c:pt>
                <c:pt idx="935">
                  <c:v>16.5589999999998</c:v>
                </c:pt>
                <c:pt idx="936">
                  <c:v>16.5590999999998</c:v>
                </c:pt>
                <c:pt idx="937">
                  <c:v>16.5591999999998</c:v>
                </c:pt>
                <c:pt idx="938">
                  <c:v>16.5592999999998</c:v>
                </c:pt>
                <c:pt idx="939">
                  <c:v>16.5593999999998</c:v>
                </c:pt>
                <c:pt idx="940">
                  <c:v>16.5594999999998</c:v>
                </c:pt>
                <c:pt idx="941">
                  <c:v>16.5595999999998</c:v>
                </c:pt>
                <c:pt idx="942">
                  <c:v>16.5596999999998</c:v>
                </c:pt>
                <c:pt idx="943">
                  <c:v>16.5597999999998</c:v>
                </c:pt>
                <c:pt idx="944">
                  <c:v>16.5598999999998</c:v>
                </c:pt>
                <c:pt idx="945">
                  <c:v>16.5599999999998</c:v>
                </c:pt>
                <c:pt idx="946">
                  <c:v>16.5600999999998</c:v>
                </c:pt>
                <c:pt idx="947">
                  <c:v>16.5601999999998</c:v>
                </c:pt>
                <c:pt idx="948">
                  <c:v>16.5602999999998</c:v>
                </c:pt>
                <c:pt idx="949">
                  <c:v>16.5603999999998</c:v>
                </c:pt>
                <c:pt idx="950">
                  <c:v>16.5604999999998</c:v>
                </c:pt>
                <c:pt idx="951">
                  <c:v>16.5605999999998</c:v>
                </c:pt>
                <c:pt idx="952">
                  <c:v>16.5606999999998</c:v>
                </c:pt>
                <c:pt idx="953">
                  <c:v>16.5607999999998</c:v>
                </c:pt>
                <c:pt idx="954">
                  <c:v>16.5608999999998</c:v>
                </c:pt>
                <c:pt idx="955">
                  <c:v>16.5609999999998</c:v>
                </c:pt>
                <c:pt idx="956">
                  <c:v>16.5610999999998</c:v>
                </c:pt>
                <c:pt idx="957">
                  <c:v>16.5611999999998</c:v>
                </c:pt>
                <c:pt idx="958">
                  <c:v>16.5612999999998</c:v>
                </c:pt>
                <c:pt idx="959">
                  <c:v>16.5613999999998</c:v>
                </c:pt>
                <c:pt idx="960">
                  <c:v>16.5614999999998</c:v>
                </c:pt>
                <c:pt idx="961">
                  <c:v>16.5615999999998</c:v>
                </c:pt>
                <c:pt idx="962">
                  <c:v>16.5616999999998</c:v>
                </c:pt>
                <c:pt idx="963">
                  <c:v>16.5617999999998</c:v>
                </c:pt>
                <c:pt idx="964">
                  <c:v>16.5618999999998</c:v>
                </c:pt>
                <c:pt idx="965">
                  <c:v>16.5619999999998</c:v>
                </c:pt>
                <c:pt idx="966">
                  <c:v>16.5620999999998</c:v>
                </c:pt>
                <c:pt idx="967">
                  <c:v>16.5621999999998</c:v>
                </c:pt>
                <c:pt idx="968">
                  <c:v>16.5622999999998</c:v>
                </c:pt>
                <c:pt idx="969">
                  <c:v>16.5623999999998</c:v>
                </c:pt>
                <c:pt idx="970">
                  <c:v>16.5624999999998</c:v>
                </c:pt>
                <c:pt idx="971">
                  <c:v>16.5625999999998</c:v>
                </c:pt>
                <c:pt idx="972">
                  <c:v>16.5626999999998</c:v>
                </c:pt>
                <c:pt idx="973">
                  <c:v>16.5627999999998</c:v>
                </c:pt>
                <c:pt idx="974">
                  <c:v>16.5628999999998</c:v>
                </c:pt>
                <c:pt idx="975">
                  <c:v>16.5629999999998</c:v>
                </c:pt>
                <c:pt idx="976">
                  <c:v>16.5630999999998</c:v>
                </c:pt>
                <c:pt idx="977">
                  <c:v>16.5631999999998</c:v>
                </c:pt>
                <c:pt idx="978">
                  <c:v>16.5632999999998</c:v>
                </c:pt>
                <c:pt idx="979">
                  <c:v>16.5633999999998</c:v>
                </c:pt>
                <c:pt idx="980">
                  <c:v>16.5634999999998</c:v>
                </c:pt>
                <c:pt idx="981">
                  <c:v>16.5635999999998</c:v>
                </c:pt>
                <c:pt idx="982">
                  <c:v>16.5636999999998</c:v>
                </c:pt>
                <c:pt idx="983">
                  <c:v>16.5637999999998</c:v>
                </c:pt>
                <c:pt idx="984">
                  <c:v>16.5638999999998</c:v>
                </c:pt>
                <c:pt idx="985">
                  <c:v>16.5639999999998</c:v>
                </c:pt>
                <c:pt idx="986">
                  <c:v>16.5640999999998</c:v>
                </c:pt>
                <c:pt idx="987">
                  <c:v>16.5641999999998</c:v>
                </c:pt>
                <c:pt idx="988">
                  <c:v>16.5642999999998</c:v>
                </c:pt>
                <c:pt idx="989">
                  <c:v>16.5643999999998</c:v>
                </c:pt>
                <c:pt idx="990">
                  <c:v>16.5644999999998</c:v>
                </c:pt>
                <c:pt idx="991">
                  <c:v>16.5645999999998</c:v>
                </c:pt>
                <c:pt idx="992">
                  <c:v>16.5646999999998</c:v>
                </c:pt>
                <c:pt idx="993">
                  <c:v>16.5647999999998</c:v>
                </c:pt>
                <c:pt idx="994">
                  <c:v>16.5648999999998</c:v>
                </c:pt>
                <c:pt idx="995">
                  <c:v>16.5649999999998</c:v>
                </c:pt>
                <c:pt idx="996">
                  <c:v>16.5650999999998</c:v>
                </c:pt>
                <c:pt idx="997">
                  <c:v>16.5651999999998</c:v>
                </c:pt>
                <c:pt idx="998">
                  <c:v>16.5652999999998</c:v>
                </c:pt>
                <c:pt idx="999">
                  <c:v>16.5653999999998</c:v>
                </c:pt>
                <c:pt idx="1000">
                  <c:v>16.5654999999998</c:v>
                </c:pt>
              </c:numCache>
            </c:numRef>
          </c:xVal>
          <c:yVal>
            <c:numRef>
              <c:f>Calculs!$K$4:$K$1004</c:f>
              <c:numCache>
                <c:formatCode>General</c:formatCode>
                <c:ptCount val="1001"/>
                <c:pt idx="0">
                  <c:v>0</c:v>
                </c:pt>
                <c:pt idx="1">
                  <c:v>0.00149761157315366</c:v>
                </c:pt>
                <c:pt idx="2">
                  <c:v>0.00994086543666655</c:v>
                </c:pt>
                <c:pt idx="3">
                  <c:v>0.0309449661824849</c:v>
                </c:pt>
                <c:pt idx="4">
                  <c:v>0.0655473254807626</c:v>
                </c:pt>
                <c:pt idx="5">
                  <c:v>0.112794928389273</c:v>
                </c:pt>
                <c:pt idx="6">
                  <c:v>0.172339135868416</c:v>
                </c:pt>
                <c:pt idx="7">
                  <c:v>0.244133794910506</c:v>
                </c:pt>
                <c:pt idx="8">
                  <c:v>0.328132439080203</c:v>
                </c:pt>
                <c:pt idx="9">
                  <c:v>0.424288290701774</c:v>
                </c:pt>
                <c:pt idx="10">
                  <c:v>0.532554263071725</c:v>
                </c:pt>
                <c:pt idx="11">
                  <c:v>0.652882962696385</c:v>
                </c:pt>
                <c:pt idx="12">
                  <c:v>0.785226691554009</c:v>
                </c:pt>
                <c:pt idx="13">
                  <c:v>0.92953744938099</c:v>
                </c:pt>
                <c:pt idx="14">
                  <c:v>1.08576693598176</c:v>
                </c:pt>
                <c:pt idx="15">
                  <c:v>1.2538665535619</c:v>
                </c:pt>
                <c:pt idx="16">
                  <c:v>1.43378740908412</c:v>
                </c:pt>
                <c:pt idx="17">
                  <c:v>1.62548031664655</c:v>
                </c:pt>
                <c:pt idx="18">
                  <c:v>1.82889579988301</c:v>
                </c:pt>
                <c:pt idx="19">
                  <c:v>2.04398409438469</c:v>
                </c:pt>
                <c:pt idx="20">
                  <c:v>2.27069515014293</c:v>
                </c:pt>
                <c:pt idx="21">
                  <c:v>2.50897863401254</c:v>
                </c:pt>
                <c:pt idx="22">
                  <c:v>2.75876913185433</c:v>
                </c:pt>
                <c:pt idx="23">
                  <c:v>3.02000024285186</c:v>
                </c:pt>
                <c:pt idx="24">
                  <c:v>3.29261940370578</c:v>
                </c:pt>
                <c:pt idx="25">
                  <c:v>3.57657382859159</c:v>
                </c:pt>
                <c:pt idx="26">
                  <c:v>3.87181051756387</c:v>
                </c:pt>
                <c:pt idx="27">
                  <c:v>4.17827625525355</c:v>
                </c:pt>
                <c:pt idx="28">
                  <c:v>4.4959176100076</c:v>
                </c:pt>
                <c:pt idx="29">
                  <c:v>4.8246809334096</c:v>
                </c:pt>
                <c:pt idx="30">
                  <c:v>5.16451236013052</c:v>
                </c:pt>
                <c:pt idx="31">
                  <c:v>5.51535780806741</c:v>
                </c:pt>
                <c:pt idx="32">
                  <c:v>5.87716297873451</c:v>
                </c:pt>
                <c:pt idx="33">
                  <c:v>6.24987335787673</c:v>
                </c:pt>
                <c:pt idx="34">
                  <c:v>6.63343421628008</c:v>
                </c:pt>
                <c:pt idx="35">
                  <c:v>7.02779061075713</c:v>
                </c:pt>
                <c:pt idx="36">
                  <c:v>7.43288738528883</c:v>
                </c:pt>
                <c:pt idx="37">
                  <c:v>7.84866917230639</c:v>
                </c:pt>
                <c:pt idx="38">
                  <c:v>8.27508039409912</c:v>
                </c:pt>
                <c:pt idx="39">
                  <c:v>8.71206526433602</c:v>
                </c:pt>
                <c:pt idx="40">
                  <c:v>9.15956778969014</c:v>
                </c:pt>
                <c:pt idx="41">
                  <c:v>9.61753177155636</c:v>
                </c:pt>
                <c:pt idx="42">
                  <c:v>10.085900807854</c:v>
                </c:pt>
                <c:pt idx="43">
                  <c:v>10.5646182949072</c:v>
                </c:pt>
                <c:pt idx="44">
                  <c:v>11.0536274293952</c:v>
                </c:pt>
                <c:pt idx="45">
                  <c:v>11.552871210369</c:v>
                </c:pt>
                <c:pt idx="46">
                  <c:v>12.0622924413253</c:v>
                </c:pt>
                <c:pt idx="47">
                  <c:v>12.5818337323372</c:v>
                </c:pt>
                <c:pt idx="48">
                  <c:v>13.1114375022334</c:v>
                </c:pt>
                <c:pt idx="49">
                  <c:v>13.6510459808248</c:v>
                </c:pt>
                <c:pt idx="50">
                  <c:v>14.2006012111725</c:v>
                </c:pt>
                <c:pt idx="51">
                  <c:v>14.7600450518965</c:v>
                </c:pt>
                <c:pt idx="52">
                  <c:v>15.3293191795192</c:v>
                </c:pt>
                <c:pt idx="53">
                  <c:v>15.9083650908437</c:v>
                </c:pt>
                <c:pt idx="54">
                  <c:v>16.4971241053613</c:v>
                </c:pt>
                <c:pt idx="55">
                  <c:v>17.0955373676895</c:v>
                </c:pt>
                <c:pt idx="56">
                  <c:v>17.7035458500344</c:v>
                </c:pt>
                <c:pt idx="57">
                  <c:v>18.3210903546783</c:v>
                </c:pt>
                <c:pt idx="58">
                  <c:v>18.9481115164897</c:v>
                </c:pt>
                <c:pt idx="59">
                  <c:v>19.5845498054528</c:v>
                </c:pt>
                <c:pt idx="60">
                  <c:v>20.2303455292171</c:v>
                </c:pt>
                <c:pt idx="61">
                  <c:v>20.8854388356633</c:v>
                </c:pt>
                <c:pt idx="62">
                  <c:v>21.5497697154852</c:v>
                </c:pt>
                <c:pt idx="63">
                  <c:v>22.2232511580769</c:v>
                </c:pt>
                <c:pt idx="64">
                  <c:v>22.9057422793436</c:v>
                </c:pt>
                <c:pt idx="65">
                  <c:v>23.5970751444598</c:v>
                </c:pt>
                <c:pt idx="66">
                  <c:v>24.297081622634</c:v>
                </c:pt>
                <c:pt idx="67">
                  <c:v>25.005568764452</c:v>
                </c:pt>
                <c:pt idx="68">
                  <c:v>25.7222941592072</c:v>
                </c:pt>
                <c:pt idx="69">
                  <c:v>26.4469467340393</c:v>
                </c:pt>
                <c:pt idx="70">
                  <c:v>27.1791275513389</c:v>
                </c:pt>
                <c:pt idx="71">
                  <c:v>27.9183936510392</c:v>
                </c:pt>
                <c:pt idx="72">
                  <c:v>28.6643019319154</c:v>
                </c:pt>
                <c:pt idx="73">
                  <c:v>29.4164091961913</c:v>
                </c:pt>
                <c:pt idx="74">
                  <c:v>30.1742721933886</c:v>
                </c:pt>
                <c:pt idx="75">
                  <c:v>30.9374476634028</c:v>
                </c:pt>
                <c:pt idx="76">
                  <c:v>31.7054923787871</c:v>
                </c:pt>
                <c:pt idx="77">
                  <c:v>32.4779631862312</c:v>
                </c:pt>
                <c:pt idx="78">
                  <c:v>33.2544170472194</c:v>
                </c:pt>
                <c:pt idx="79">
                  <c:v>34.0344110778551</c:v>
                </c:pt>
                <c:pt idx="80">
                  <c:v>34.8175025878409</c:v>
                </c:pt>
                <c:pt idx="81">
                  <c:v>35.6033013345865</c:v>
                </c:pt>
                <c:pt idx="82">
                  <c:v>36.3915217448462</c:v>
                </c:pt>
                <c:pt idx="83">
                  <c:v>37.1819306492936</c:v>
                </c:pt>
                <c:pt idx="84">
                  <c:v>37.9742950357498</c:v>
                </c:pt>
                <c:pt idx="85">
                  <c:v>38.7683820599819</c:v>
                </c:pt>
                <c:pt idx="86">
                  <c:v>39.563959056254</c:v>
                </c:pt>
                <c:pt idx="87">
                  <c:v>40.3607935476303</c:v>
                </c:pt>
                <c:pt idx="88">
                  <c:v>41.1586532560274</c:v>
                </c:pt>
                <c:pt idx="89">
                  <c:v>41.9573226144923</c:v>
                </c:pt>
                <c:pt idx="90">
                  <c:v>42.7566192634275</c:v>
                </c:pt>
                <c:pt idx="91">
                  <c:v>43.5563775226215</c:v>
                </c:pt>
                <c:pt idx="92">
                  <c:v>44.3564318767097</c:v>
                </c:pt>
                <c:pt idx="93">
                  <c:v>45.1566211060552</c:v>
                </c:pt>
                <c:pt idx="94">
                  <c:v>45.9567924130316</c:v>
                </c:pt>
                <c:pt idx="95">
                  <c:v>46.7567972907362</c:v>
                </c:pt>
                <c:pt idx="96">
                  <c:v>47.5564873956476</c:v>
                </c:pt>
                <c:pt idx="97">
                  <c:v>48.3557310564116</c:v>
                </c:pt>
                <c:pt idx="98">
                  <c:v>49.1544297628562</c:v>
                </c:pt>
                <c:pt idx="99">
                  <c:v>49.9525016237902</c:v>
                </c:pt>
                <c:pt idx="100">
                  <c:v>50.749864843289</c:v>
                </c:pt>
                <c:pt idx="101">
                  <c:v>51.5464377214809</c:v>
                </c:pt>
                <c:pt idx="102">
                  <c:v>52.3421386553031</c:v>
                </c:pt>
                <c:pt idx="103">
                  <c:v>53.136886139228</c:v>
                </c:pt>
                <c:pt idx="104">
                  <c:v>53.930598765958</c:v>
                </c:pt>
                <c:pt idx="105">
                  <c:v>54.7231952270908</c:v>
                </c:pt>
                <c:pt idx="106">
                  <c:v>55.5145943137544</c:v>
                </c:pt>
                <c:pt idx="107">
                  <c:v>56.3047149172125</c:v>
                </c:pt>
                <c:pt idx="108">
                  <c:v>57.0934760294402</c:v>
                </c:pt>
                <c:pt idx="109">
                  <c:v>57.8808173678719</c:v>
                </c:pt>
                <c:pt idx="110">
                  <c:v>58.6667199721302</c:v>
                </c:pt>
                <c:pt idx="111">
                  <c:v>59.4511855264254</c:v>
                </c:pt>
                <c:pt idx="112">
                  <c:v>60.2342157097029</c:v>
                </c:pt>
                <c:pt idx="113">
                  <c:v>61.0158121956622</c:v>
                </c:pt>
                <c:pt idx="114">
                  <c:v>61.7959766527747</c:v>
                </c:pt>
                <c:pt idx="115">
                  <c:v>62.5747107443026</c:v>
                </c:pt>
                <c:pt idx="116">
                  <c:v>63.352016128317</c:v>
                </c:pt>
                <c:pt idx="117">
                  <c:v>64.1278944577163</c:v>
                </c:pt>
                <c:pt idx="118">
                  <c:v>64.9023473802442</c:v>
                </c:pt>
                <c:pt idx="119">
                  <c:v>65.6753765385076</c:v>
                </c:pt>
                <c:pt idx="120">
                  <c:v>66.4469835699949</c:v>
                </c:pt>
                <c:pt idx="121">
                  <c:v>67.2171701070938</c:v>
                </c:pt>
                <c:pt idx="122">
                  <c:v>67.9859377771088</c:v>
                </c:pt>
                <c:pt idx="123">
                  <c:v>68.7532882022793</c:v>
                </c:pt>
                <c:pt idx="124">
                  <c:v>69.519222999797</c:v>
                </c:pt>
                <c:pt idx="125">
                  <c:v>70.2837437818233</c:v>
                </c:pt>
                <c:pt idx="126">
                  <c:v>71.0468521555073</c:v>
                </c:pt>
                <c:pt idx="127">
                  <c:v>71.8085497230025</c:v>
                </c:pt>
                <c:pt idx="128">
                  <c:v>72.5688380814847</c:v>
                </c:pt>
                <c:pt idx="129">
                  <c:v>73.3277188231688</c:v>
                </c:pt>
                <c:pt idx="130">
                  <c:v>74.085193535326</c:v>
                </c:pt>
                <c:pt idx="131">
                  <c:v>74.8412638003011</c:v>
                </c:pt>
                <c:pt idx="132">
                  <c:v>75.5959311955291</c:v>
                </c:pt>
                <c:pt idx="133">
                  <c:v>76.3491972935525</c:v>
                </c:pt>
                <c:pt idx="134">
                  <c:v>77.1010636620376</c:v>
                </c:pt>
                <c:pt idx="135">
                  <c:v>77.8515318637919</c:v>
                </c:pt>
                <c:pt idx="136">
                  <c:v>78.6006034567801</c:v>
                </c:pt>
                <c:pt idx="137">
                  <c:v>79.348279994141</c:v>
                </c:pt>
                <c:pt idx="138">
                  <c:v>80.0945630242041</c:v>
                </c:pt>
                <c:pt idx="139">
                  <c:v>80.8394540905058</c:v>
                </c:pt>
                <c:pt idx="140">
                  <c:v>81.5829547318057</c:v>
                </c:pt>
                <c:pt idx="141">
                  <c:v>82.3250664821031</c:v>
                </c:pt>
                <c:pt idx="142">
                  <c:v>83.0657908706532</c:v>
                </c:pt>
                <c:pt idx="143">
                  <c:v>83.805129421983</c:v>
                </c:pt>
                <c:pt idx="144">
                  <c:v>84.5430836559073</c:v>
                </c:pt>
                <c:pt idx="145">
                  <c:v>85.279655087545</c:v>
                </c:pt>
                <c:pt idx="146">
                  <c:v>86.0148452273348</c:v>
                </c:pt>
                <c:pt idx="147">
                  <c:v>86.7486555810509</c:v>
                </c:pt>
                <c:pt idx="148">
                  <c:v>87.4810876498189</c:v>
                </c:pt>
                <c:pt idx="149">
                  <c:v>88.2121429301315</c:v>
                </c:pt>
                <c:pt idx="150">
                  <c:v>88.9418229138639</c:v>
                </c:pt>
                <c:pt idx="151">
                  <c:v>89.6701290882897</c:v>
                </c:pt>
                <c:pt idx="152">
                  <c:v>90.3970629360958</c:v>
                </c:pt>
                <c:pt idx="153">
                  <c:v>91.1226259353983</c:v>
                </c:pt>
                <c:pt idx="154">
                  <c:v>91.8468195597576</c:v>
                </c:pt>
                <c:pt idx="155">
                  <c:v>92.5696452781936</c:v>
                </c:pt>
                <c:pt idx="156">
                  <c:v>93.2911045552008</c:v>
                </c:pt>
                <c:pt idx="157">
                  <c:v>94.0111988507638</c:v>
                </c:pt>
                <c:pt idx="158">
                  <c:v>94.7299296203718</c:v>
                </c:pt>
                <c:pt idx="159">
                  <c:v>95.4472983150339</c:v>
                </c:pt>
                <c:pt idx="160">
                  <c:v>96.1633063812938</c:v>
                </c:pt>
                <c:pt idx="161">
                  <c:v>96.8779552612449</c:v>
                </c:pt>
                <c:pt idx="162">
                  <c:v>97.5912463925448</c:v>
                </c:pt>
                <c:pt idx="163">
                  <c:v>98.3031812084299</c:v>
                </c:pt>
                <c:pt idx="164">
                  <c:v>99.0137611377304</c:v>
                </c:pt>
                <c:pt idx="165">
                  <c:v>99.7229876048845</c:v>
                </c:pt>
                <c:pt idx="166">
                  <c:v>100.430862029953</c:v>
                </c:pt>
                <c:pt idx="167">
                  <c:v>101.137385828634</c:v>
                </c:pt>
                <c:pt idx="168">
                  <c:v>101.842560412277</c:v>
                </c:pt>
                <c:pt idx="169">
                  <c:v>102.546387187896</c:v>
                </c:pt>
                <c:pt idx="170">
                  <c:v>103.248867558187</c:v>
                </c:pt>
                <c:pt idx="171">
                  <c:v>103.950002921538</c:v>
                </c:pt>
                <c:pt idx="172">
                  <c:v>104.649794672047</c:v>
                </c:pt>
                <c:pt idx="173">
                  <c:v>105.348244199532</c:v>
                </c:pt>
                <c:pt idx="174">
                  <c:v>106.04535288955</c:v>
                </c:pt>
                <c:pt idx="175">
                  <c:v>106.741122123405</c:v>
                </c:pt>
                <c:pt idx="176">
                  <c:v>107.435553278166</c:v>
                </c:pt>
                <c:pt idx="177">
                  <c:v>108.128647726681</c:v>
                </c:pt>
                <c:pt idx="178">
                  <c:v>108.820406837588</c:v>
                </c:pt>
                <c:pt idx="179">
                  <c:v>109.51083197533</c:v>
                </c:pt>
                <c:pt idx="180">
                  <c:v>110.199924500169</c:v>
                </c:pt>
                <c:pt idx="181">
                  <c:v>110.887685768199</c:v>
                </c:pt>
                <c:pt idx="182">
                  <c:v>111.574117131359</c:v>
                </c:pt>
                <c:pt idx="183">
                  <c:v>112.259219937448</c:v>
                </c:pt>
                <c:pt idx="184">
                  <c:v>112.942995530137</c:v>
                </c:pt>
                <c:pt idx="185">
                  <c:v>113.625445248982</c:v>
                </c:pt>
                <c:pt idx="186">
                  <c:v>114.306570429438</c:v>
                </c:pt>
                <c:pt idx="187">
                  <c:v>114.986372402872</c:v>
                </c:pt>
                <c:pt idx="188">
                  <c:v>115.664852496577</c:v>
                </c:pt>
                <c:pt idx="189">
                  <c:v>116.342012033783</c:v>
                </c:pt>
                <c:pt idx="190">
                  <c:v>117.017852333672</c:v>
                </c:pt>
                <c:pt idx="191">
                  <c:v>117.692374711388</c:v>
                </c:pt>
                <c:pt idx="192">
                  <c:v>118.365580478055</c:v>
                </c:pt>
                <c:pt idx="193">
                  <c:v>119.037470940784</c:v>
                </c:pt>
                <c:pt idx="194">
                  <c:v>119.70804740269</c:v>
                </c:pt>
                <c:pt idx="195">
                  <c:v>120.377311162903</c:v>
                </c:pt>
                <c:pt idx="196">
                  <c:v>121.045263516579</c:v>
                </c:pt>
                <c:pt idx="197">
                  <c:v>121.711905754917</c:v>
                </c:pt>
                <c:pt idx="198">
                  <c:v>122.377239165167</c:v>
                </c:pt>
                <c:pt idx="199">
                  <c:v>123.041265030645</c:v>
                </c:pt>
                <c:pt idx="200">
                  <c:v>123.703984630745</c:v>
                </c:pt>
                <c:pt idx="201">
                  <c:v>130.259434842014</c:v>
                </c:pt>
                <c:pt idx="202">
                  <c:v>136.685078590675</c:v>
                </c:pt>
                <c:pt idx="203">
                  <c:v>142.982154502811</c:v>
                </c:pt>
                <c:pt idx="204">
                  <c:v>149.151863640917</c:v>
                </c:pt>
                <c:pt idx="205">
                  <c:v>155.195370648685</c:v>
                </c:pt>
                <c:pt idx="206">
                  <c:v>161.11380484575</c:v>
                </c:pt>
                <c:pt idx="207">
                  <c:v>166.908261274865</c:v>
                </c:pt>
                <c:pt idx="208">
                  <c:v>172.579801703789</c:v>
                </c:pt>
                <c:pt idx="209">
                  <c:v>178.129455584094</c:v>
                </c:pt>
                <c:pt idx="210">
                  <c:v>183.558220968917</c:v>
                </c:pt>
                <c:pt idx="211">
                  <c:v>188.867065391609</c:v>
                </c:pt>
                <c:pt idx="212">
                  <c:v>194.056926707098</c:v>
                </c:pt>
                <c:pt idx="213">
                  <c:v>199.128713897703</c:v>
                </c:pt>
                <c:pt idx="214">
                  <c:v>204.083307845015</c:v>
                </c:pt>
                <c:pt idx="215">
                  <c:v>208.92156206941</c:v>
                </c:pt>
                <c:pt idx="216">
                  <c:v>213.644303438631</c:v>
                </c:pt>
                <c:pt idx="217">
                  <c:v>218.252332846838</c:v>
                </c:pt>
                <c:pt idx="218">
                  <c:v>222.746425865443</c:v>
                </c:pt>
                <c:pt idx="219">
                  <c:v>227.127333366955</c:v>
                </c:pt>
                <c:pt idx="220">
                  <c:v>231.395782123044</c:v>
                </c:pt>
                <c:pt idx="221">
                  <c:v>235.552475377935</c:v>
                </c:pt>
                <c:pt idx="222">
                  <c:v>239.598093398214</c:v>
                </c:pt>
                <c:pt idx="223">
                  <c:v>243.533294000073</c:v>
                </c:pt>
                <c:pt idx="224">
                  <c:v>247.358713054975</c:v>
                </c:pt>
                <c:pt idx="225">
                  <c:v>251.074964974691</c:v>
                </c:pt>
                <c:pt idx="226">
                  <c:v>254.682643176604</c:v>
                </c:pt>
                <c:pt idx="227">
                  <c:v>258.182320530185</c:v>
                </c:pt>
                <c:pt idx="228">
                  <c:v>261.574549785476</c:v>
                </c:pt>
                <c:pt idx="229">
                  <c:v>264.859863984431</c:v>
                </c:pt>
                <c:pt idx="230">
                  <c:v>268.038776855943</c:v>
                </c:pt>
                <c:pt idx="231">
                  <c:v>271.111783195368</c:v>
                </c:pt>
                <c:pt idx="232">
                  <c:v>274.079359229376</c:v>
                </c:pt>
                <c:pt idx="233">
                  <c:v>276.941962966974</c:v>
                </c:pt>
                <c:pt idx="234">
                  <c:v>279.700034537537</c:v>
                </c:pt>
                <c:pt idx="235">
                  <c:v>282.353996516769</c:v>
                </c:pt>
                <c:pt idx="236">
                  <c:v>284.904254241518</c:v>
                </c:pt>
                <c:pt idx="237">
                  <c:v>287.351196114468</c:v>
                </c:pt>
                <c:pt idx="238">
                  <c:v>289.695193899829</c:v>
                </c:pt>
                <c:pt idx="239">
                  <c:v>291.936603011229</c:v>
                </c:pt>
                <c:pt idx="240">
                  <c:v>294.075762793215</c:v>
                </c:pt>
                <c:pt idx="241">
                  <c:v>296.11299679793</c:v>
                </c:pt>
                <c:pt idx="242">
                  <c:v>298.048613058807</c:v>
                </c:pt>
                <c:pt idx="243">
                  <c:v>299.882904363398</c:v>
                </c:pt>
                <c:pt idx="244">
                  <c:v>301.61614852789</c:v>
                </c:pt>
                <c:pt idx="245">
                  <c:v>303.24860867629</c:v>
                </c:pt>
                <c:pt idx="246">
                  <c:v>304.780533527887</c:v>
                </c:pt>
                <c:pt idx="247">
                  <c:v>306.212157697298</c:v>
                </c:pt>
                <c:pt idx="248">
                  <c:v>307.543702012255</c:v>
                </c:pt>
                <c:pt idx="249">
                  <c:v>308.775373855343</c:v>
                </c:pt>
                <c:pt idx="250">
                  <c:v>309.907367537041</c:v>
                </c:pt>
                <c:pt idx="251">
                  <c:v>310.939864708734</c:v>
                </c:pt>
                <c:pt idx="252">
                  <c:v>311.873034825793</c:v>
                </c:pt>
                <c:pt idx="253">
                  <c:v>312.707035672151</c:v>
                </c:pt>
                <c:pt idx="254">
                  <c:v>313.442013959001</c:v>
                </c:pt>
                <c:pt idx="255">
                  <c:v>314.078106010923</c:v>
                </c:pt>
                <c:pt idx="256">
                  <c:v>314.615438552569</c:v>
                </c:pt>
                <c:pt idx="257">
                  <c:v>315.054129607607</c:v>
                </c:pt>
                <c:pt idx="258">
                  <c:v>315.394289518347</c:v>
                </c:pt>
                <c:pt idx="259">
                  <c:v>315.636022089161</c:v>
                </c:pt>
                <c:pt idx="260">
                  <c:v>315.77942584937</c:v>
                </c:pt>
                <c:pt idx="261">
                  <c:v>315.824595422082</c:v>
                </c:pt>
                <c:pt idx="262">
                  <c:v>315.771622975766</c:v>
                </c:pt>
                <c:pt idx="263">
                  <c:v>315.620599726499</c:v>
                </c:pt>
                <c:pt idx="264">
                  <c:v>315.37161745262</c:v>
                </c:pt>
                <c:pt idx="265">
                  <c:v>315.024769981269</c:v>
                </c:pt>
                <c:pt idx="266">
                  <c:v>314.58015460848</c:v>
                </c:pt>
                <c:pt idx="267">
                  <c:v>314.037873420721</c:v>
                </c:pt>
                <c:pt idx="268">
                  <c:v>313.398034494531</c:v>
                </c:pt>
                <c:pt idx="269">
                  <c:v>312.660752960771</c:v>
                </c:pt>
                <c:pt idx="270">
                  <c:v>311.826151929127</c:v>
                </c:pt>
                <c:pt idx="271">
                  <c:v>310.894363276055</c:v>
                </c:pt>
                <c:pt idx="272">
                  <c:v>309.865528304702</c:v>
                </c:pt>
                <c:pt idx="273">
                  <c:v>308.739798288604</c:v>
                </c:pt>
                <c:pt idx="274">
                  <c:v>307.517334912389</c:v>
                </c:pt>
                <c:pt idx="275">
                  <c:v>306.198310622879</c:v>
                </c:pt>
                <c:pt idx="276">
                  <c:v>304.782908903259</c:v>
                </c:pt>
                <c:pt idx="277">
                  <c:v>303.271324481749</c:v>
                </c:pt>
                <c:pt idx="278">
                  <c:v>301.663763484855</c:v>
                </c:pt>
                <c:pt idx="279">
                  <c:v>299.960443543796</c:v>
                </c:pt>
                <c:pt idx="280">
                  <c:v>298.1615938614</c:v>
                </c:pt>
                <c:pt idx="281">
                  <c:v>296.267455245539</c:v>
                </c:pt>
                <c:pt idx="282">
                  <c:v>294.278280114138</c:v>
                </c:pt>
                <c:pt idx="283">
                  <c:v>292.194332475928</c:v>
                </c:pt>
                <c:pt idx="284">
                  <c:v>290.015887890361</c:v>
                </c:pt>
                <c:pt idx="285">
                  <c:v>287.743233409507</c:v>
                </c:pt>
                <c:pt idx="286">
                  <c:v>285.376667504276</c:v>
                </c:pt>
                <c:pt idx="287">
                  <c:v>282.916499976872</c:v>
                </c:pt>
                <c:pt idx="288">
                  <c:v>280.363051861099</c:v>
                </c:pt>
                <c:pt idx="289">
                  <c:v>277.716655311842</c:v>
                </c:pt>
                <c:pt idx="290">
                  <c:v>274.977653484862</c:v>
                </c:pt>
                <c:pt idx="291">
                  <c:v>272.146400407841</c:v>
                </c:pt>
                <c:pt idx="292">
                  <c:v>269.223260843513</c:v>
                </c:pt>
                <c:pt idx="293">
                  <c:v>266.208610145553</c:v>
                </c:pt>
                <c:pt idx="294">
                  <c:v>263.102834107855</c:v>
                </c:pt>
                <c:pt idx="295">
                  <c:v>259.906328807727</c:v>
                </c:pt>
                <c:pt idx="296">
                  <c:v>256.619500443462</c:v>
                </c:pt>
                <c:pt idx="297">
                  <c:v>253.242765166734</c:v>
                </c:pt>
                <c:pt idx="298">
                  <c:v>249.776548910171</c:v>
                </c:pt>
                <c:pt idx="299">
                  <c:v>246.221287210483</c:v>
                </c:pt>
                <c:pt idx="300">
                  <c:v>242.577425027439</c:v>
                </c:pt>
                <c:pt idx="301">
                  <c:v>238.845416559016</c:v>
                </c:pt>
                <c:pt idx="302">
                  <c:v>235.025725052977</c:v>
                </c:pt>
                <c:pt idx="303">
                  <c:v>231.11882261515</c:v>
                </c:pt>
                <c:pt idx="304">
                  <c:v>227.125190014666</c:v>
                </c:pt>
                <c:pt idx="305">
                  <c:v>223.045316486372</c:v>
                </c:pt>
                <c:pt idx="306">
                  <c:v>218.879699530671</c:v>
                </c:pt>
                <c:pt idx="307">
                  <c:v>214.628844710986</c:v>
                </c:pt>
                <c:pt idx="308">
                  <c:v>210.293265449077</c:v>
                </c:pt>
                <c:pt idx="309">
                  <c:v>205.873482818408</c:v>
                </c:pt>
                <c:pt idx="310">
                  <c:v>201.370025335761</c:v>
                </c:pt>
                <c:pt idx="311">
                  <c:v>196.783428751304</c:v>
                </c:pt>
                <c:pt idx="312">
                  <c:v>192.114235837282</c:v>
                </c:pt>
                <c:pt idx="313">
                  <c:v>187.362996175533</c:v>
                </c:pt>
                <c:pt idx="314">
                  <c:v>182.530265944007</c:v>
                </c:pt>
                <c:pt idx="315">
                  <c:v>177.616607702456</c:v>
                </c:pt>
                <c:pt idx="316">
                  <c:v>172.622590177472</c:v>
                </c:pt>
                <c:pt idx="317">
                  <c:v>167.548788047049</c:v>
                </c:pt>
                <c:pt idx="318">
                  <c:v>162.395781724827</c:v>
                </c:pt>
                <c:pt idx="319">
                  <c:v>157.164157144174</c:v>
                </c:pt>
                <c:pt idx="320">
                  <c:v>151.854505542285</c:v>
                </c:pt>
                <c:pt idx="321">
                  <c:v>146.467423244423</c:v>
                </c:pt>
                <c:pt idx="322">
                  <c:v>141.003511448485</c:v>
                </c:pt>
                <c:pt idx="323">
                  <c:v>135.463376010014</c:v>
                </c:pt>
                <c:pt idx="324">
                  <c:v>129.847627227815</c:v>
                </c:pt>
                <c:pt idx="325">
                  <c:v>124.156879630311</c:v>
                </c:pt>
                <c:pt idx="326">
                  <c:v>118.391751762781</c:v>
                </c:pt>
                <c:pt idx="327">
                  <c:v>112.5528659756</c:v>
                </c:pt>
                <c:pt idx="328">
                  <c:v>106.640848213625</c:v>
                </c:pt>
                <c:pt idx="329">
                  <c:v>100.656327806845</c:v>
                </c:pt>
                <c:pt idx="330">
                  <c:v>94.5999372624113</c:v>
                </c:pt>
                <c:pt idx="331">
                  <c:v>88.4723120581828</c:v>
                </c:pt>
                <c:pt idx="332">
                  <c:v>82.2740904378779</c:v>
                </c:pt>
                <c:pt idx="333">
                  <c:v>76.0059132079617</c:v>
                </c:pt>
                <c:pt idx="334">
                  <c:v>69.6684235363634</c:v>
                </c:pt>
                <c:pt idx="335">
                  <c:v>63.2622667531313</c:v>
                </c:pt>
                <c:pt idx="336">
                  <c:v>56.788090153121</c:v>
                </c:pt>
                <c:pt idx="337">
                  <c:v>50.2465428008116</c:v>
                </c:pt>
                <c:pt idx="338">
                  <c:v>43.6382753373412</c:v>
                </c:pt>
                <c:pt idx="339">
                  <c:v>36.9639397898459</c:v>
                </c:pt>
                <c:pt idx="340">
                  <c:v>30.2241893831857</c:v>
                </c:pt>
                <c:pt idx="341">
                  <c:v>23.4196783541361</c:v>
                </c:pt>
                <c:pt idx="342">
                  <c:v>16.5510617681181</c:v>
                </c:pt>
                <c:pt idx="343">
                  <c:v>9.6189953385379</c:v>
                </c:pt>
                <c:pt idx="344">
                  <c:v>2.62413524880365</c:v>
                </c:pt>
                <c:pt idx="345">
                  <c:v>-4.43286202292057</c:v>
                </c:pt>
                <c:pt idx="346">
                  <c:v>-4.43994995521391</c:v>
                </c:pt>
                <c:pt idx="347">
                  <c:v>-4.44703794865919</c:v>
                </c:pt>
                <c:pt idx="348">
                  <c:v>-4.45412600325577</c:v>
                </c:pt>
                <c:pt idx="349">
                  <c:v>-4.46121411900298</c:v>
                </c:pt>
                <c:pt idx="350">
                  <c:v>-4.46830229590018</c:v>
                </c:pt>
                <c:pt idx="351">
                  <c:v>-4.47539053394671</c:v>
                </c:pt>
                <c:pt idx="352">
                  <c:v>-4.48247883314192</c:v>
                </c:pt>
                <c:pt idx="353">
                  <c:v>-4.48956719348516</c:v>
                </c:pt>
                <c:pt idx="354">
                  <c:v>-4.49665561497577</c:v>
                </c:pt>
                <c:pt idx="355">
                  <c:v>-4.5037440976131</c:v>
                </c:pt>
                <c:pt idx="356">
                  <c:v>-4.5108326413965</c:v>
                </c:pt>
                <c:pt idx="357">
                  <c:v>-4.51792124632531</c:v>
                </c:pt>
                <c:pt idx="358">
                  <c:v>-4.52500991239888</c:v>
                </c:pt>
                <c:pt idx="359">
                  <c:v>-4.53209863961656</c:v>
                </c:pt>
                <c:pt idx="360">
                  <c:v>-4.53918742797769</c:v>
                </c:pt>
                <c:pt idx="361">
                  <c:v>-4.54627627748162</c:v>
                </c:pt>
                <c:pt idx="362">
                  <c:v>-4.55336518812771</c:v>
                </c:pt>
                <c:pt idx="363">
                  <c:v>-4.56045415991528</c:v>
                </c:pt>
                <c:pt idx="364">
                  <c:v>-4.5675431928437</c:v>
                </c:pt>
                <c:pt idx="365">
                  <c:v>-4.5746322869123</c:v>
                </c:pt>
                <c:pt idx="366">
                  <c:v>-4.58172144212044</c:v>
                </c:pt>
                <c:pt idx="367">
                  <c:v>-4.58881065846746</c:v>
                </c:pt>
                <c:pt idx="368">
                  <c:v>-4.59589993595272</c:v>
                </c:pt>
                <c:pt idx="369">
                  <c:v>-4.60298927457554</c:v>
                </c:pt>
                <c:pt idx="370">
                  <c:v>-4.61007867433529</c:v>
                </c:pt>
                <c:pt idx="371">
                  <c:v>-4.61716813523131</c:v>
                </c:pt>
                <c:pt idx="372">
                  <c:v>-4.62425765726294</c:v>
                </c:pt>
                <c:pt idx="373">
                  <c:v>-4.63134724042953</c:v>
                </c:pt>
                <c:pt idx="374">
                  <c:v>-4.63843688473044</c:v>
                </c:pt>
                <c:pt idx="375">
                  <c:v>-4.645526590165</c:v>
                </c:pt>
                <c:pt idx="376">
                  <c:v>-4.65261635673256</c:v>
                </c:pt>
                <c:pt idx="377">
                  <c:v>-4.65970618443248</c:v>
                </c:pt>
                <c:pt idx="378">
                  <c:v>-4.66679607326409</c:v>
                </c:pt>
                <c:pt idx="379">
                  <c:v>-4.67388602322674</c:v>
                </c:pt>
                <c:pt idx="380">
                  <c:v>-4.68097603431979</c:v>
                </c:pt>
                <c:pt idx="381">
                  <c:v>-4.68806610654257</c:v>
                </c:pt>
                <c:pt idx="382">
                  <c:v>-4.69515623989443</c:v>
                </c:pt>
                <c:pt idx="383">
                  <c:v>-4.70224643437473</c:v>
                </c:pt>
                <c:pt idx="384">
                  <c:v>-4.7093366899828</c:v>
                </c:pt>
                <c:pt idx="385">
                  <c:v>-4.716427006718</c:v>
                </c:pt>
                <c:pt idx="386">
                  <c:v>-4.72351738457967</c:v>
                </c:pt>
                <c:pt idx="387">
                  <c:v>-4.73060782356716</c:v>
                </c:pt>
                <c:pt idx="388">
                  <c:v>-4.73769832367981</c:v>
                </c:pt>
                <c:pt idx="389">
                  <c:v>-4.74478888491698</c:v>
                </c:pt>
                <c:pt idx="390">
                  <c:v>-4.751879507278</c:v>
                </c:pt>
                <c:pt idx="391">
                  <c:v>-4.75897019076223</c:v>
                </c:pt>
                <c:pt idx="392">
                  <c:v>-4.76606093536901</c:v>
                </c:pt>
                <c:pt idx="393">
                  <c:v>-4.77315174109769</c:v>
                </c:pt>
                <c:pt idx="394">
                  <c:v>-4.78024260794761</c:v>
                </c:pt>
                <c:pt idx="395">
                  <c:v>-4.78733353591813</c:v>
                </c:pt>
                <c:pt idx="396">
                  <c:v>-4.79442452500859</c:v>
                </c:pt>
                <c:pt idx="397">
                  <c:v>-4.80151557521833</c:v>
                </c:pt>
                <c:pt idx="398">
                  <c:v>-4.80860668654671</c:v>
                </c:pt>
                <c:pt idx="399">
                  <c:v>-4.81569785899306</c:v>
                </c:pt>
                <c:pt idx="400">
                  <c:v>-4.82278909255674</c:v>
                </c:pt>
                <c:pt idx="401">
                  <c:v>-4.8298803872371</c:v>
                </c:pt>
                <c:pt idx="402">
                  <c:v>-4.83697174303348</c:v>
                </c:pt>
                <c:pt idx="403">
                  <c:v>-4.84406315994522</c:v>
                </c:pt>
                <c:pt idx="404">
                  <c:v>-4.85115463797168</c:v>
                </c:pt>
                <c:pt idx="405">
                  <c:v>-4.8582461771122</c:v>
                </c:pt>
                <c:pt idx="406">
                  <c:v>-4.86533777736612</c:v>
                </c:pt>
                <c:pt idx="407">
                  <c:v>-4.8724294387328</c:v>
                </c:pt>
                <c:pt idx="408">
                  <c:v>-4.87952116121159</c:v>
                </c:pt>
                <c:pt idx="409">
                  <c:v>-4.88661294480182</c:v>
                </c:pt>
                <c:pt idx="410">
                  <c:v>-4.89370478950284</c:v>
                </c:pt>
                <c:pt idx="411">
                  <c:v>-4.90079669531401</c:v>
                </c:pt>
                <c:pt idx="412">
                  <c:v>-4.90788866223466</c:v>
                </c:pt>
                <c:pt idx="413">
                  <c:v>-4.91498069026415</c:v>
                </c:pt>
                <c:pt idx="414">
                  <c:v>-4.92207277940182</c:v>
                </c:pt>
                <c:pt idx="415">
                  <c:v>-4.92916492964702</c:v>
                </c:pt>
                <c:pt idx="416">
                  <c:v>-4.9362571409991</c:v>
                </c:pt>
                <c:pt idx="417">
                  <c:v>-4.9433494134574</c:v>
                </c:pt>
                <c:pt idx="418">
                  <c:v>-4.95044174702127</c:v>
                </c:pt>
                <c:pt idx="419">
                  <c:v>-4.95753414169006</c:v>
                </c:pt>
                <c:pt idx="420">
                  <c:v>-4.96462659746311</c:v>
                </c:pt>
                <c:pt idx="421">
                  <c:v>-4.97171911433976</c:v>
                </c:pt>
                <c:pt idx="422">
                  <c:v>-4.97881169231938</c:v>
                </c:pt>
                <c:pt idx="423">
                  <c:v>-4.9859043314013</c:v>
                </c:pt>
                <c:pt idx="424">
                  <c:v>-4.99299703158487</c:v>
                </c:pt>
                <c:pt idx="425">
                  <c:v>-5.00008979286944</c:v>
                </c:pt>
                <c:pt idx="426">
                  <c:v>-5.00718261525435</c:v>
                </c:pt>
                <c:pt idx="427">
                  <c:v>-5.01427549873895</c:v>
                </c:pt>
                <c:pt idx="428">
                  <c:v>-5.02136844332259</c:v>
                </c:pt>
                <c:pt idx="429">
                  <c:v>-5.02846144900461</c:v>
                </c:pt>
                <c:pt idx="430">
                  <c:v>-5.03555451578437</c:v>
                </c:pt>
                <c:pt idx="431">
                  <c:v>-5.0426476436612</c:v>
                </c:pt>
                <c:pt idx="432">
                  <c:v>-5.04974083263446</c:v>
                </c:pt>
                <c:pt idx="433">
                  <c:v>-5.05683408270349</c:v>
                </c:pt>
                <c:pt idx="434">
                  <c:v>-5.06392739386764</c:v>
                </c:pt>
                <c:pt idx="435">
                  <c:v>-5.07102076612625</c:v>
                </c:pt>
                <c:pt idx="436">
                  <c:v>-5.07811419947868</c:v>
                </c:pt>
                <c:pt idx="437">
                  <c:v>-5.08520769392427</c:v>
                </c:pt>
                <c:pt idx="438">
                  <c:v>-5.09230124946236</c:v>
                </c:pt>
                <c:pt idx="439">
                  <c:v>-5.0993948660923</c:v>
                </c:pt>
                <c:pt idx="440">
                  <c:v>-5.10648854381345</c:v>
                </c:pt>
                <c:pt idx="441">
                  <c:v>-5.11358228262514</c:v>
                </c:pt>
                <c:pt idx="442">
                  <c:v>-5.12067608252672</c:v>
                </c:pt>
                <c:pt idx="443">
                  <c:v>-5.12776994351754</c:v>
                </c:pt>
                <c:pt idx="444">
                  <c:v>-5.13486386559695</c:v>
                </c:pt>
                <c:pt idx="445">
                  <c:v>-5.1419578487643</c:v>
                </c:pt>
                <c:pt idx="446">
                  <c:v>-5.14905189301892</c:v>
                </c:pt>
                <c:pt idx="447">
                  <c:v>-5.15614599836018</c:v>
                </c:pt>
                <c:pt idx="448">
                  <c:v>-5.1632401647874</c:v>
                </c:pt>
                <c:pt idx="449">
                  <c:v>-5.17033439229995</c:v>
                </c:pt>
                <c:pt idx="450">
                  <c:v>-5.17742868089717</c:v>
                </c:pt>
                <c:pt idx="451">
                  <c:v>-5.1845230305784</c:v>
                </c:pt>
                <c:pt idx="452">
                  <c:v>-5.19161744134299</c:v>
                </c:pt>
                <c:pt idx="453">
                  <c:v>-5.19871191319029</c:v>
                </c:pt>
                <c:pt idx="454">
                  <c:v>-5.20580644611964</c:v>
                </c:pt>
                <c:pt idx="455">
                  <c:v>-5.2129010401304</c:v>
                </c:pt>
                <c:pt idx="456">
                  <c:v>-5.21999569522191</c:v>
                </c:pt>
                <c:pt idx="457">
                  <c:v>-5.22709041139351</c:v>
                </c:pt>
                <c:pt idx="458">
                  <c:v>-5.23418518864455</c:v>
                </c:pt>
                <c:pt idx="459">
                  <c:v>-5.24128002697439</c:v>
                </c:pt>
                <c:pt idx="460">
                  <c:v>-5.24837492638236</c:v>
                </c:pt>
                <c:pt idx="461">
                  <c:v>-5.25546988686781</c:v>
                </c:pt>
                <c:pt idx="462">
                  <c:v>-5.26256490843009</c:v>
                </c:pt>
                <c:pt idx="463">
                  <c:v>-5.26965999106855</c:v>
                </c:pt>
                <c:pt idx="464">
                  <c:v>-5.27675513478254</c:v>
                </c:pt>
                <c:pt idx="465">
                  <c:v>-5.28385033957139</c:v>
                </c:pt>
                <c:pt idx="466">
                  <c:v>-5.29094560543446</c:v>
                </c:pt>
                <c:pt idx="467">
                  <c:v>-5.29804093237109</c:v>
                </c:pt>
                <c:pt idx="468">
                  <c:v>-5.30513632038064</c:v>
                </c:pt>
                <c:pt idx="469">
                  <c:v>-5.31223176946244</c:v>
                </c:pt>
                <c:pt idx="470">
                  <c:v>-5.31932727961585</c:v>
                </c:pt>
                <c:pt idx="471">
                  <c:v>-5.32642285084021</c:v>
                </c:pt>
                <c:pt idx="472">
                  <c:v>-5.33351848313487</c:v>
                </c:pt>
                <c:pt idx="473">
                  <c:v>-5.34061417649917</c:v>
                </c:pt>
                <c:pt idx="474">
                  <c:v>-5.34770993093246</c:v>
                </c:pt>
                <c:pt idx="475">
                  <c:v>-5.35480574643409</c:v>
                </c:pt>
                <c:pt idx="476">
                  <c:v>-5.36190162300341</c:v>
                </c:pt>
                <c:pt idx="477">
                  <c:v>-5.36899756063976</c:v>
                </c:pt>
                <c:pt idx="478">
                  <c:v>-5.37609355934249</c:v>
                </c:pt>
                <c:pt idx="479">
                  <c:v>-5.38318961911094</c:v>
                </c:pt>
                <c:pt idx="480">
                  <c:v>-5.39028573994447</c:v>
                </c:pt>
                <c:pt idx="481">
                  <c:v>-5.39738192184242</c:v>
                </c:pt>
                <c:pt idx="482">
                  <c:v>-5.40447816480413</c:v>
                </c:pt>
                <c:pt idx="483">
                  <c:v>-5.41157446882896</c:v>
                </c:pt>
                <c:pt idx="484">
                  <c:v>-5.41867083391625</c:v>
                </c:pt>
                <c:pt idx="485">
                  <c:v>-5.42576726006534</c:v>
                </c:pt>
                <c:pt idx="486">
                  <c:v>-5.43286374727559</c:v>
                </c:pt>
                <c:pt idx="487">
                  <c:v>-5.43996029554634</c:v>
                </c:pt>
                <c:pt idx="488">
                  <c:v>-5.44705690487693</c:v>
                </c:pt>
                <c:pt idx="489">
                  <c:v>-5.45415357526672</c:v>
                </c:pt>
                <c:pt idx="490">
                  <c:v>-5.46125030671506</c:v>
                </c:pt>
                <c:pt idx="491">
                  <c:v>-5.46834709922128</c:v>
                </c:pt>
                <c:pt idx="492">
                  <c:v>-5.47544395278473</c:v>
                </c:pt>
                <c:pt idx="493">
                  <c:v>-5.48254086740477</c:v>
                </c:pt>
                <c:pt idx="494">
                  <c:v>-5.48963784308073</c:v>
                </c:pt>
                <c:pt idx="495">
                  <c:v>-5.49673487981197</c:v>
                </c:pt>
                <c:pt idx="496">
                  <c:v>-5.50383197759783</c:v>
                </c:pt>
                <c:pt idx="497">
                  <c:v>-5.51092913643766</c:v>
                </c:pt>
                <c:pt idx="498">
                  <c:v>-5.51802635633081</c:v>
                </c:pt>
                <c:pt idx="499">
                  <c:v>-5.52512363727662</c:v>
                </c:pt>
                <c:pt idx="500">
                  <c:v>-5.53222097927444</c:v>
                </c:pt>
                <c:pt idx="501">
                  <c:v>-5.53931838232362</c:v>
                </c:pt>
                <c:pt idx="502">
                  <c:v>-5.54641584642349</c:v>
                </c:pt>
                <c:pt idx="503">
                  <c:v>-5.55351337157342</c:v>
                </c:pt>
                <c:pt idx="504">
                  <c:v>-5.56061095777275</c:v>
                </c:pt>
                <c:pt idx="505">
                  <c:v>-5.56770860502082</c:v>
                </c:pt>
                <c:pt idx="506">
                  <c:v>-5.57480631331698</c:v>
                </c:pt>
                <c:pt idx="507">
                  <c:v>-5.58190408266057</c:v>
                </c:pt>
                <c:pt idx="508">
                  <c:v>-5.58900191305095</c:v>
                </c:pt>
                <c:pt idx="509">
                  <c:v>-5.59609980448747</c:v>
                </c:pt>
                <c:pt idx="510">
                  <c:v>-5.60319775696946</c:v>
                </c:pt>
                <c:pt idx="511">
                  <c:v>-5.61029577049627</c:v>
                </c:pt>
                <c:pt idx="512">
                  <c:v>-5.61739384506726</c:v>
                </c:pt>
                <c:pt idx="513">
                  <c:v>-5.62449198068176</c:v>
                </c:pt>
                <c:pt idx="514">
                  <c:v>-5.63159017733913</c:v>
                </c:pt>
                <c:pt idx="515">
                  <c:v>-5.63868843503872</c:v>
                </c:pt>
                <c:pt idx="516">
                  <c:v>-5.64578675377986</c:v>
                </c:pt>
                <c:pt idx="517">
                  <c:v>-5.6528851335619</c:v>
                </c:pt>
                <c:pt idx="518">
                  <c:v>-5.6599835743842</c:v>
                </c:pt>
                <c:pt idx="519">
                  <c:v>-5.6670820762461</c:v>
                </c:pt>
                <c:pt idx="520">
                  <c:v>-5.67418063914695</c:v>
                </c:pt>
                <c:pt idx="521">
                  <c:v>-5.68127926308609</c:v>
                </c:pt>
                <c:pt idx="522">
                  <c:v>-5.68837794806287</c:v>
                </c:pt>
                <c:pt idx="523">
                  <c:v>-5.69547669407663</c:v>
                </c:pt>
                <c:pt idx="524">
                  <c:v>-5.70257550112673</c:v>
                </c:pt>
                <c:pt idx="525">
                  <c:v>-5.70967436921251</c:v>
                </c:pt>
                <c:pt idx="526">
                  <c:v>-5.71677329833332</c:v>
                </c:pt>
                <c:pt idx="527">
                  <c:v>-5.7238722884885</c:v>
                </c:pt>
                <c:pt idx="528">
                  <c:v>-5.7309713396774</c:v>
                </c:pt>
                <c:pt idx="529">
                  <c:v>-5.73807045189937</c:v>
                </c:pt>
                <c:pt idx="530">
                  <c:v>-5.74516962515375</c:v>
                </c:pt>
                <c:pt idx="531">
                  <c:v>-5.7522688594399</c:v>
                </c:pt>
                <c:pt idx="532">
                  <c:v>-5.75936815475715</c:v>
                </c:pt>
                <c:pt idx="533">
                  <c:v>-5.76646751110486</c:v>
                </c:pt>
                <c:pt idx="534">
                  <c:v>-5.77356692848237</c:v>
                </c:pt>
                <c:pt idx="535">
                  <c:v>-5.78066640688903</c:v>
                </c:pt>
                <c:pt idx="536">
                  <c:v>-5.78776594632419</c:v>
                </c:pt>
                <c:pt idx="537">
                  <c:v>-5.79486554678719</c:v>
                </c:pt>
                <c:pt idx="538">
                  <c:v>-5.80196520827738</c:v>
                </c:pt>
                <c:pt idx="539">
                  <c:v>-5.8090649307941</c:v>
                </c:pt>
                <c:pt idx="540">
                  <c:v>-5.81616471433671</c:v>
                </c:pt>
                <c:pt idx="541">
                  <c:v>-5.82326455890455</c:v>
                </c:pt>
                <c:pt idx="542">
                  <c:v>-5.83036446449696</c:v>
                </c:pt>
                <c:pt idx="543">
                  <c:v>-5.8374644311133</c:v>
                </c:pt>
                <c:pt idx="544">
                  <c:v>-5.84456445875291</c:v>
                </c:pt>
                <c:pt idx="545">
                  <c:v>-5.85166454741514</c:v>
                </c:pt>
                <c:pt idx="546">
                  <c:v>-5.85876469709933</c:v>
                </c:pt>
                <c:pt idx="547">
                  <c:v>-5.86586490780483</c:v>
                </c:pt>
                <c:pt idx="548">
                  <c:v>-5.87296517953099</c:v>
                </c:pt>
                <c:pt idx="549">
                  <c:v>-5.88006551227715</c:v>
                </c:pt>
                <c:pt idx="550">
                  <c:v>-5.88716590604267</c:v>
                </c:pt>
                <c:pt idx="551">
                  <c:v>-5.89426636082688</c:v>
                </c:pt>
                <c:pt idx="552">
                  <c:v>-5.90136687662914</c:v>
                </c:pt>
                <c:pt idx="553">
                  <c:v>-5.90846745344879</c:v>
                </c:pt>
                <c:pt idx="554">
                  <c:v>-5.91556809128518</c:v>
                </c:pt>
                <c:pt idx="555">
                  <c:v>-5.92266879013766</c:v>
                </c:pt>
                <c:pt idx="556">
                  <c:v>-5.92976955000557</c:v>
                </c:pt>
                <c:pt idx="557">
                  <c:v>-5.93687037088826</c:v>
                </c:pt>
                <c:pt idx="558">
                  <c:v>-5.94397125278507</c:v>
                </c:pt>
                <c:pt idx="559">
                  <c:v>-5.95107219569536</c:v>
                </c:pt>
                <c:pt idx="560">
                  <c:v>-5.95817319961847</c:v>
                </c:pt>
                <c:pt idx="561">
                  <c:v>-5.96527426455375</c:v>
                </c:pt>
                <c:pt idx="562">
                  <c:v>-5.97237539050054</c:v>
                </c:pt>
                <c:pt idx="563">
                  <c:v>-5.97947657745819</c:v>
                </c:pt>
                <c:pt idx="564">
                  <c:v>-5.98657782542604</c:v>
                </c:pt>
                <c:pt idx="565">
                  <c:v>-5.99367913440345</c:v>
                </c:pt>
                <c:pt idx="566">
                  <c:v>-6.00078050438977</c:v>
                </c:pt>
                <c:pt idx="567">
                  <c:v>-6.00788193538433</c:v>
                </c:pt>
                <c:pt idx="568">
                  <c:v>-6.01498342738648</c:v>
                </c:pt>
                <c:pt idx="569">
                  <c:v>-6.02208498039558</c:v>
                </c:pt>
                <c:pt idx="570">
                  <c:v>-6.02918659441097</c:v>
                </c:pt>
                <c:pt idx="571">
                  <c:v>-6.03628826943199</c:v>
                </c:pt>
                <c:pt idx="572">
                  <c:v>-6.04339000545799</c:v>
                </c:pt>
                <c:pt idx="573">
                  <c:v>-6.05049180248832</c:v>
                </c:pt>
                <c:pt idx="574">
                  <c:v>-6.05759366052233</c:v>
                </c:pt>
                <c:pt idx="575">
                  <c:v>-6.06469557955936</c:v>
                </c:pt>
                <c:pt idx="576">
                  <c:v>-6.07179755959877</c:v>
                </c:pt>
                <c:pt idx="577">
                  <c:v>-6.07889960063988</c:v>
                </c:pt>
                <c:pt idx="578">
                  <c:v>-6.08600170268206</c:v>
                </c:pt>
                <c:pt idx="579">
                  <c:v>-6.09310386572466</c:v>
                </c:pt>
                <c:pt idx="580">
                  <c:v>-6.100206089767</c:v>
                </c:pt>
                <c:pt idx="581">
                  <c:v>-6.10730837480846</c:v>
                </c:pt>
                <c:pt idx="582">
                  <c:v>-6.11441072084836</c:v>
                </c:pt>
                <c:pt idx="583">
                  <c:v>-6.12151312788606</c:v>
                </c:pt>
                <c:pt idx="584">
                  <c:v>-6.1286155959209</c:v>
                </c:pt>
                <c:pt idx="585">
                  <c:v>-6.13571812495224</c:v>
                </c:pt>
                <c:pt idx="586">
                  <c:v>-6.14282071497942</c:v>
                </c:pt>
                <c:pt idx="587">
                  <c:v>-6.14992336600178</c:v>
                </c:pt>
                <c:pt idx="588">
                  <c:v>-6.15702607801867</c:v>
                </c:pt>
                <c:pt idx="589">
                  <c:v>-6.16412885102944</c:v>
                </c:pt>
                <c:pt idx="590">
                  <c:v>-6.17123168503343</c:v>
                </c:pt>
                <c:pt idx="591">
                  <c:v>-6.17833458003</c:v>
                </c:pt>
                <c:pt idx="592">
                  <c:v>-6.18543753601849</c:v>
                </c:pt>
                <c:pt idx="593">
                  <c:v>-6.19254055299825</c:v>
                </c:pt>
                <c:pt idx="594">
                  <c:v>-6.19964363096861</c:v>
                </c:pt>
                <c:pt idx="595">
                  <c:v>-6.20674676992894</c:v>
                </c:pt>
                <c:pt idx="596">
                  <c:v>-6.21384996987857</c:v>
                </c:pt>
                <c:pt idx="597">
                  <c:v>-6.22095323081686</c:v>
                </c:pt>
                <c:pt idx="598">
                  <c:v>-6.22805655274315</c:v>
                </c:pt>
                <c:pt idx="599">
                  <c:v>-6.23515993565678</c:v>
                </c:pt>
                <c:pt idx="600">
                  <c:v>-6.24226337955711</c:v>
                </c:pt>
                <c:pt idx="601">
                  <c:v>-6.24936688444348</c:v>
                </c:pt>
                <c:pt idx="602">
                  <c:v>-6.25647045031524</c:v>
                </c:pt>
                <c:pt idx="603">
                  <c:v>-6.26357407717174</c:v>
                </c:pt>
                <c:pt idx="604">
                  <c:v>-6.27067776501231</c:v>
                </c:pt>
                <c:pt idx="605">
                  <c:v>-6.27778151383631</c:v>
                </c:pt>
                <c:pt idx="606">
                  <c:v>-6.28488532364309</c:v>
                </c:pt>
                <c:pt idx="607">
                  <c:v>-6.29198919443199</c:v>
                </c:pt>
                <c:pt idx="608">
                  <c:v>-6.29909312620236</c:v>
                </c:pt>
                <c:pt idx="609">
                  <c:v>-6.30619711895355</c:v>
                </c:pt>
                <c:pt idx="610">
                  <c:v>-6.3133011726849</c:v>
                </c:pt>
                <c:pt idx="611">
                  <c:v>-6.32040528739575</c:v>
                </c:pt>
                <c:pt idx="612">
                  <c:v>-6.32750946308547</c:v>
                </c:pt>
                <c:pt idx="613">
                  <c:v>-6.33461369975338</c:v>
                </c:pt>
                <c:pt idx="614">
                  <c:v>-6.34171799739885</c:v>
                </c:pt>
                <c:pt idx="615">
                  <c:v>-6.34882235602122</c:v>
                </c:pt>
                <c:pt idx="616">
                  <c:v>-6.35592677561983</c:v>
                </c:pt>
                <c:pt idx="617">
                  <c:v>-6.36303125619403</c:v>
                </c:pt>
                <c:pt idx="618">
                  <c:v>-6.37013579774316</c:v>
                </c:pt>
                <c:pt idx="619">
                  <c:v>-6.37724040026659</c:v>
                </c:pt>
                <c:pt idx="620">
                  <c:v>-6.38434506376364</c:v>
                </c:pt>
                <c:pt idx="621">
                  <c:v>-6.39144978823367</c:v>
                </c:pt>
                <c:pt idx="622">
                  <c:v>-6.39855457367603</c:v>
                </c:pt>
                <c:pt idx="623">
                  <c:v>-6.40565942009005</c:v>
                </c:pt>
                <c:pt idx="624">
                  <c:v>-6.4127643274751</c:v>
                </c:pt>
                <c:pt idx="625">
                  <c:v>-6.41986929583051</c:v>
                </c:pt>
                <c:pt idx="626">
                  <c:v>-6.42697432515564</c:v>
                </c:pt>
                <c:pt idx="627">
                  <c:v>-6.43407941544982</c:v>
                </c:pt>
                <c:pt idx="628">
                  <c:v>-6.44118456671242</c:v>
                </c:pt>
                <c:pt idx="629">
                  <c:v>-6.44828977894276</c:v>
                </c:pt>
                <c:pt idx="630">
                  <c:v>-6.4553950521402</c:v>
                </c:pt>
                <c:pt idx="631">
                  <c:v>-6.46250038630409</c:v>
                </c:pt>
                <c:pt idx="632">
                  <c:v>-6.46960578143378</c:v>
                </c:pt>
                <c:pt idx="633">
                  <c:v>-6.4767112375286</c:v>
                </c:pt>
                <c:pt idx="634">
                  <c:v>-6.48381675458792</c:v>
                </c:pt>
                <c:pt idx="635">
                  <c:v>-6.49092233261106</c:v>
                </c:pt>
                <c:pt idx="636">
                  <c:v>-6.49802797159739</c:v>
                </c:pt>
                <c:pt idx="637">
                  <c:v>-6.50513367154625</c:v>
                </c:pt>
                <c:pt idx="638">
                  <c:v>-6.51223943245698</c:v>
                </c:pt>
                <c:pt idx="639">
                  <c:v>-6.51934525432893</c:v>
                </c:pt>
                <c:pt idx="640">
                  <c:v>-6.52645113716145</c:v>
                </c:pt>
                <c:pt idx="641">
                  <c:v>-6.53355708095389</c:v>
                </c:pt>
                <c:pt idx="642">
                  <c:v>-6.54066308570558</c:v>
                </c:pt>
                <c:pt idx="643">
                  <c:v>-6.54776915141589</c:v>
                </c:pt>
                <c:pt idx="644">
                  <c:v>-6.55487527808416</c:v>
                </c:pt>
                <c:pt idx="645">
                  <c:v>-6.56198146570972</c:v>
                </c:pt>
                <c:pt idx="646">
                  <c:v>-6.56908771429194</c:v>
                </c:pt>
                <c:pt idx="647">
                  <c:v>-6.57619402383015</c:v>
                </c:pt>
                <c:pt idx="648">
                  <c:v>-6.58330039432371</c:v>
                </c:pt>
                <c:pt idx="649">
                  <c:v>-6.59040682577196</c:v>
                </c:pt>
                <c:pt idx="650">
                  <c:v>-6.59751331817424</c:v>
                </c:pt>
                <c:pt idx="651">
                  <c:v>-6.60461987152991</c:v>
                </c:pt>
                <c:pt idx="652">
                  <c:v>-6.61172648583831</c:v>
                </c:pt>
                <c:pt idx="653">
                  <c:v>-6.61883316109879</c:v>
                </c:pt>
                <c:pt idx="654">
                  <c:v>-6.62593989731069</c:v>
                </c:pt>
                <c:pt idx="655">
                  <c:v>-6.63304669447336</c:v>
                </c:pt>
                <c:pt idx="656">
                  <c:v>-6.64015355258615</c:v>
                </c:pt>
                <c:pt idx="657">
                  <c:v>-6.64726047164841</c:v>
                </c:pt>
                <c:pt idx="658">
                  <c:v>-6.65436745165948</c:v>
                </c:pt>
                <c:pt idx="659">
                  <c:v>-6.66147449261871</c:v>
                </c:pt>
                <c:pt idx="660">
                  <c:v>-6.66858159452545</c:v>
                </c:pt>
                <c:pt idx="661">
                  <c:v>-6.67568875737903</c:v>
                </c:pt>
                <c:pt idx="662">
                  <c:v>-6.68279598117882</c:v>
                </c:pt>
                <c:pt idx="663">
                  <c:v>-6.68990326592415</c:v>
                </c:pt>
                <c:pt idx="664">
                  <c:v>-6.69701061161438</c:v>
                </c:pt>
                <c:pt idx="665">
                  <c:v>-6.70411801824885</c:v>
                </c:pt>
                <c:pt idx="666">
                  <c:v>-6.7112254858269</c:v>
                </c:pt>
                <c:pt idx="667">
                  <c:v>-6.71833301434789</c:v>
                </c:pt>
                <c:pt idx="668">
                  <c:v>-6.72544060381116</c:v>
                </c:pt>
                <c:pt idx="669">
                  <c:v>-6.73254825421606</c:v>
                </c:pt>
                <c:pt idx="670">
                  <c:v>-6.73965596556193</c:v>
                </c:pt>
                <c:pt idx="671">
                  <c:v>-6.74676373784812</c:v>
                </c:pt>
                <c:pt idx="672">
                  <c:v>-6.75387157107399</c:v>
                </c:pt>
                <c:pt idx="673">
                  <c:v>-6.76097946523886</c:v>
                </c:pt>
                <c:pt idx="674">
                  <c:v>-6.7680874203421</c:v>
                </c:pt>
                <c:pt idx="675">
                  <c:v>-6.77519543638305</c:v>
                </c:pt>
                <c:pt idx="676">
                  <c:v>-6.78230351336105</c:v>
                </c:pt>
                <c:pt idx="677">
                  <c:v>-6.78941165127546</c:v>
                </c:pt>
                <c:pt idx="678">
                  <c:v>-6.79651985012562</c:v>
                </c:pt>
                <c:pt idx="679">
                  <c:v>-6.80362810991087</c:v>
                </c:pt>
                <c:pt idx="680">
                  <c:v>-6.81073643063057</c:v>
                </c:pt>
                <c:pt idx="681">
                  <c:v>-6.81784481228405</c:v>
                </c:pt>
                <c:pt idx="682">
                  <c:v>-6.82495325487068</c:v>
                </c:pt>
                <c:pt idx="683">
                  <c:v>-6.83206175838978</c:v>
                </c:pt>
                <c:pt idx="684">
                  <c:v>-6.83917032284072</c:v>
                </c:pt>
                <c:pt idx="685">
                  <c:v>-6.84627894822284</c:v>
                </c:pt>
                <c:pt idx="686">
                  <c:v>-6.85338763453548</c:v>
                </c:pt>
                <c:pt idx="687">
                  <c:v>-6.86049638177799</c:v>
                </c:pt>
                <c:pt idx="688">
                  <c:v>-6.86760518994972</c:v>
                </c:pt>
                <c:pt idx="689">
                  <c:v>-6.87471405905001</c:v>
                </c:pt>
                <c:pt idx="690">
                  <c:v>-6.88182298907822</c:v>
                </c:pt>
                <c:pt idx="691">
                  <c:v>-6.88893198003369</c:v>
                </c:pt>
                <c:pt idx="692">
                  <c:v>-6.89604103191576</c:v>
                </c:pt>
                <c:pt idx="693">
                  <c:v>-6.90315014472379</c:v>
                </c:pt>
                <c:pt idx="694">
                  <c:v>-6.91025931845711</c:v>
                </c:pt>
                <c:pt idx="695">
                  <c:v>-6.91736855311508</c:v>
                </c:pt>
                <c:pt idx="696">
                  <c:v>-6.92447784869705</c:v>
                </c:pt>
                <c:pt idx="697">
                  <c:v>-6.93158720520235</c:v>
                </c:pt>
                <c:pt idx="698">
                  <c:v>-6.93869662263034</c:v>
                </c:pt>
                <c:pt idx="699">
                  <c:v>-6.94580610098037</c:v>
                </c:pt>
                <c:pt idx="700">
                  <c:v>-6.95291564025178</c:v>
                </c:pt>
                <c:pt idx="701">
                  <c:v>-6.96002524044391</c:v>
                </c:pt>
                <c:pt idx="702">
                  <c:v>-6.96713490155612</c:v>
                </c:pt>
                <c:pt idx="703">
                  <c:v>-6.97424462358775</c:v>
                </c:pt>
                <c:pt idx="704">
                  <c:v>-6.98135440653815</c:v>
                </c:pt>
                <c:pt idx="705">
                  <c:v>-6.98846425040666</c:v>
                </c:pt>
                <c:pt idx="706">
                  <c:v>-6.99557415519264</c:v>
                </c:pt>
                <c:pt idx="707">
                  <c:v>-7.00268412089543</c:v>
                </c:pt>
                <c:pt idx="708">
                  <c:v>-7.00979414751437</c:v>
                </c:pt>
                <c:pt idx="709">
                  <c:v>-7.01690423504881</c:v>
                </c:pt>
                <c:pt idx="710">
                  <c:v>-7.02401438349811</c:v>
                </c:pt>
                <c:pt idx="711">
                  <c:v>-7.0311245928616</c:v>
                </c:pt>
                <c:pt idx="712">
                  <c:v>-7.03823486313863</c:v>
                </c:pt>
                <c:pt idx="713">
                  <c:v>-7.04534519432855</c:v>
                </c:pt>
                <c:pt idx="714">
                  <c:v>-7.05245558643071</c:v>
                </c:pt>
                <c:pt idx="715">
                  <c:v>-7.05956603944446</c:v>
                </c:pt>
                <c:pt idx="716">
                  <c:v>-7.06667655336913</c:v>
                </c:pt>
                <c:pt idx="717">
                  <c:v>-7.07378712820409</c:v>
                </c:pt>
                <c:pt idx="718">
                  <c:v>-7.08089776394867</c:v>
                </c:pt>
                <c:pt idx="719">
                  <c:v>-7.08800846060222</c:v>
                </c:pt>
                <c:pt idx="720">
                  <c:v>-7.09511921816408</c:v>
                </c:pt>
                <c:pt idx="721">
                  <c:v>-7.10223003663362</c:v>
                </c:pt>
                <c:pt idx="722">
                  <c:v>-7.10934091601016</c:v>
                </c:pt>
                <c:pt idx="723">
                  <c:v>-7.11645185629307</c:v>
                </c:pt>
                <c:pt idx="724">
                  <c:v>-7.12356285748168</c:v>
                </c:pt>
                <c:pt idx="725">
                  <c:v>-7.13067391957534</c:v>
                </c:pt>
                <c:pt idx="726">
                  <c:v>-7.13778504257341</c:v>
                </c:pt>
                <c:pt idx="727">
                  <c:v>-7.14489622647522</c:v>
                </c:pt>
                <c:pt idx="728">
                  <c:v>-7.15200747128012</c:v>
                </c:pt>
                <c:pt idx="729">
                  <c:v>-7.15911877698747</c:v>
                </c:pt>
                <c:pt idx="730">
                  <c:v>-7.1662301435966</c:v>
                </c:pt>
                <c:pt idx="731">
                  <c:v>-7.17334157110686</c:v>
                </c:pt>
                <c:pt idx="732">
                  <c:v>-7.18045305951761</c:v>
                </c:pt>
                <c:pt idx="733">
                  <c:v>-7.18756460882818</c:v>
                </c:pt>
                <c:pt idx="734">
                  <c:v>-7.19467621903793</c:v>
                </c:pt>
                <c:pt idx="735">
                  <c:v>-7.2017878901462</c:v>
                </c:pt>
                <c:pt idx="736">
                  <c:v>-7.20889962215234</c:v>
                </c:pt>
                <c:pt idx="737">
                  <c:v>-7.2160114150557</c:v>
                </c:pt>
                <c:pt idx="738">
                  <c:v>-7.22312326885562</c:v>
                </c:pt>
                <c:pt idx="739">
                  <c:v>-7.23023518355145</c:v>
                </c:pt>
                <c:pt idx="740">
                  <c:v>-7.23734715914253</c:v>
                </c:pt>
                <c:pt idx="741">
                  <c:v>-7.24445919562821</c:v>
                </c:pt>
                <c:pt idx="742">
                  <c:v>-7.25157129300785</c:v>
                </c:pt>
                <c:pt idx="743">
                  <c:v>-7.25868345128078</c:v>
                </c:pt>
                <c:pt idx="744">
                  <c:v>-7.26579567044636</c:v>
                </c:pt>
                <c:pt idx="745">
                  <c:v>-7.27290795050393</c:v>
                </c:pt>
                <c:pt idx="746">
                  <c:v>-7.28002029145283</c:v>
                </c:pt>
                <c:pt idx="747">
                  <c:v>-7.28713269329242</c:v>
                </c:pt>
                <c:pt idx="748">
                  <c:v>-7.29424515602204</c:v>
                </c:pt>
                <c:pt idx="749">
                  <c:v>-7.30135767964104</c:v>
                </c:pt>
                <c:pt idx="750">
                  <c:v>-7.30847026414876</c:v>
                </c:pt>
                <c:pt idx="751">
                  <c:v>-7.31558290954455</c:v>
                </c:pt>
                <c:pt idx="752">
                  <c:v>-7.32269561582777</c:v>
                </c:pt>
                <c:pt idx="753">
                  <c:v>-7.32980838299775</c:v>
                </c:pt>
                <c:pt idx="754">
                  <c:v>-7.33692121105384</c:v>
                </c:pt>
                <c:pt idx="755">
                  <c:v>-7.34403409999539</c:v>
                </c:pt>
                <c:pt idx="756">
                  <c:v>-7.35114704982175</c:v>
                </c:pt>
                <c:pt idx="757">
                  <c:v>-7.35826006053226</c:v>
                </c:pt>
                <c:pt idx="758">
                  <c:v>-7.36537313212627</c:v>
                </c:pt>
                <c:pt idx="759">
                  <c:v>-7.37248626460313</c:v>
                </c:pt>
                <c:pt idx="760">
                  <c:v>-7.37959945796218</c:v>
                </c:pt>
                <c:pt idx="761">
                  <c:v>-7.38671271220277</c:v>
                </c:pt>
                <c:pt idx="762">
                  <c:v>-7.39382602732425</c:v>
                </c:pt>
                <c:pt idx="763">
                  <c:v>-7.40093940332597</c:v>
                </c:pt>
                <c:pt idx="764">
                  <c:v>-7.40805284020727</c:v>
                </c:pt>
                <c:pt idx="765">
                  <c:v>-7.41516633796749</c:v>
                </c:pt>
                <c:pt idx="766">
                  <c:v>-7.42227989660599</c:v>
                </c:pt>
                <c:pt idx="767">
                  <c:v>-7.42939351612211</c:v>
                </c:pt>
                <c:pt idx="768">
                  <c:v>-7.43650719651521</c:v>
                </c:pt>
                <c:pt idx="769">
                  <c:v>-7.44362093778461</c:v>
                </c:pt>
                <c:pt idx="770">
                  <c:v>-7.45073473992968</c:v>
                </c:pt>
                <c:pt idx="771">
                  <c:v>-7.45784860294976</c:v>
                </c:pt>
                <c:pt idx="772">
                  <c:v>-7.4649625268442</c:v>
                </c:pt>
                <c:pt idx="773">
                  <c:v>-7.47207651161234</c:v>
                </c:pt>
                <c:pt idx="774">
                  <c:v>-7.47919055725353</c:v>
                </c:pt>
                <c:pt idx="775">
                  <c:v>-7.48630466376712</c:v>
                </c:pt>
                <c:pt idx="776">
                  <c:v>-7.49341883115245</c:v>
                </c:pt>
                <c:pt idx="777">
                  <c:v>-7.50053305940887</c:v>
                </c:pt>
                <c:pt idx="778">
                  <c:v>-7.50764734853573</c:v>
                </c:pt>
                <c:pt idx="779">
                  <c:v>-7.51476169853238</c:v>
                </c:pt>
                <c:pt idx="780">
                  <c:v>-7.52187610939815</c:v>
                </c:pt>
                <c:pt idx="781">
                  <c:v>-7.52899058113241</c:v>
                </c:pt>
                <c:pt idx="782">
                  <c:v>-7.53610511373449</c:v>
                </c:pt>
                <c:pt idx="783">
                  <c:v>-7.54321970720375</c:v>
                </c:pt>
                <c:pt idx="784">
                  <c:v>-7.55033436153952</c:v>
                </c:pt>
                <c:pt idx="785">
                  <c:v>-7.55744907674116</c:v>
                </c:pt>
                <c:pt idx="786">
                  <c:v>-7.56456385280801</c:v>
                </c:pt>
                <c:pt idx="787">
                  <c:v>-7.57167868973943</c:v>
                </c:pt>
                <c:pt idx="788">
                  <c:v>-7.57879358753474</c:v>
                </c:pt>
                <c:pt idx="789">
                  <c:v>-7.58590854619332</c:v>
                </c:pt>
                <c:pt idx="790">
                  <c:v>-7.59302356571449</c:v>
                </c:pt>
                <c:pt idx="791">
                  <c:v>-7.60013864609762</c:v>
                </c:pt>
                <c:pt idx="792">
                  <c:v>-7.60725378734203</c:v>
                </c:pt>
                <c:pt idx="793">
                  <c:v>-7.61436898944709</c:v>
                </c:pt>
                <c:pt idx="794">
                  <c:v>-7.62148425241214</c:v>
                </c:pt>
                <c:pt idx="795">
                  <c:v>-7.62859957623652</c:v>
                </c:pt>
                <c:pt idx="796">
                  <c:v>-7.63571496091958</c:v>
                </c:pt>
                <c:pt idx="797">
                  <c:v>-7.64283040646067</c:v>
                </c:pt>
                <c:pt idx="798">
                  <c:v>-7.64994591285914</c:v>
                </c:pt>
                <c:pt idx="799">
                  <c:v>-7.65706148011433</c:v>
                </c:pt>
                <c:pt idx="800">
                  <c:v>-7.66417710822559</c:v>
                </c:pt>
                <c:pt idx="801">
                  <c:v>-7.67129279719227</c:v>
                </c:pt>
                <c:pt idx="802">
                  <c:v>-7.67840854701371</c:v>
                </c:pt>
                <c:pt idx="803">
                  <c:v>-7.68552435768926</c:v>
                </c:pt>
                <c:pt idx="804">
                  <c:v>-7.69264022921827</c:v>
                </c:pt>
                <c:pt idx="805">
                  <c:v>-7.69975616160009</c:v>
                </c:pt>
                <c:pt idx="806">
                  <c:v>-7.70687215483405</c:v>
                </c:pt>
                <c:pt idx="807">
                  <c:v>-7.71398820891951</c:v>
                </c:pt>
                <c:pt idx="808">
                  <c:v>-7.72110432385582</c:v>
                </c:pt>
                <c:pt idx="809">
                  <c:v>-7.72822049964232</c:v>
                </c:pt>
                <c:pt idx="810">
                  <c:v>-7.73533673627836</c:v>
                </c:pt>
                <c:pt idx="811">
                  <c:v>-7.74245303376328</c:v>
                </c:pt>
                <c:pt idx="812">
                  <c:v>-7.74956939209644</c:v>
                </c:pt>
                <c:pt idx="813">
                  <c:v>-7.75668581127717</c:v>
                </c:pt>
                <c:pt idx="814">
                  <c:v>-7.76380229130483</c:v>
                </c:pt>
                <c:pt idx="815">
                  <c:v>-7.77091883217877</c:v>
                </c:pt>
                <c:pt idx="816">
                  <c:v>-7.77803543389832</c:v>
                </c:pt>
                <c:pt idx="817">
                  <c:v>-7.78515209646285</c:v>
                </c:pt>
                <c:pt idx="818">
                  <c:v>-7.79226881987168</c:v>
                </c:pt>
                <c:pt idx="819">
                  <c:v>-7.79938560412418</c:v>
                </c:pt>
                <c:pt idx="820">
                  <c:v>-7.80650244921968</c:v>
                </c:pt>
                <c:pt idx="821">
                  <c:v>-7.81361935515754</c:v>
                </c:pt>
                <c:pt idx="822">
                  <c:v>-7.8207363219371</c:v>
                </c:pt>
                <c:pt idx="823">
                  <c:v>-7.82785334955771</c:v>
                </c:pt>
                <c:pt idx="824">
                  <c:v>-7.83497043801872</c:v>
                </c:pt>
                <c:pt idx="825">
                  <c:v>-7.84208758731947</c:v>
                </c:pt>
                <c:pt idx="826">
                  <c:v>-7.8492047974593</c:v>
                </c:pt>
                <c:pt idx="827">
                  <c:v>-7.85632206843757</c:v>
                </c:pt>
                <c:pt idx="828">
                  <c:v>-7.86343940025363</c:v>
                </c:pt>
                <c:pt idx="829">
                  <c:v>-7.87055679290682</c:v>
                </c:pt>
                <c:pt idx="830">
                  <c:v>-7.87767424639648</c:v>
                </c:pt>
                <c:pt idx="831">
                  <c:v>-7.88479176072196</c:v>
                </c:pt>
                <c:pt idx="832">
                  <c:v>-7.89190933588262</c:v>
                </c:pt>
                <c:pt idx="833">
                  <c:v>-7.89902697187779</c:v>
                </c:pt>
                <c:pt idx="834">
                  <c:v>-7.90614466870683</c:v>
                </c:pt>
                <c:pt idx="835">
                  <c:v>-7.91326242636908</c:v>
                </c:pt>
                <c:pt idx="836">
                  <c:v>-7.92038024486389</c:v>
                </c:pt>
                <c:pt idx="837">
                  <c:v>-7.92749812419061</c:v>
                </c:pt>
                <c:pt idx="838">
                  <c:v>-7.93461606434857</c:v>
                </c:pt>
                <c:pt idx="839">
                  <c:v>-7.94173406533714</c:v>
                </c:pt>
                <c:pt idx="840">
                  <c:v>-7.94885212715565</c:v>
                </c:pt>
                <c:pt idx="841">
                  <c:v>-7.95597024980345</c:v>
                </c:pt>
                <c:pt idx="842">
                  <c:v>-7.96308843327989</c:v>
                </c:pt>
                <c:pt idx="843">
                  <c:v>-7.97020667758432</c:v>
                </c:pt>
                <c:pt idx="844">
                  <c:v>-7.97732498271608</c:v>
                </c:pt>
                <c:pt idx="845">
                  <c:v>-7.98444334867453</c:v>
                </c:pt>
                <c:pt idx="846">
                  <c:v>-7.991561775459</c:v>
                </c:pt>
                <c:pt idx="847">
                  <c:v>-7.99868026306884</c:v>
                </c:pt>
                <c:pt idx="848">
                  <c:v>-8.00579881150341</c:v>
                </c:pt>
                <c:pt idx="849">
                  <c:v>-8.01291742076204</c:v>
                </c:pt>
                <c:pt idx="850">
                  <c:v>-8.02003609084409</c:v>
                </c:pt>
                <c:pt idx="851">
                  <c:v>-8.0271548217489</c:v>
                </c:pt>
                <c:pt idx="852">
                  <c:v>-8.03427361347582</c:v>
                </c:pt>
                <c:pt idx="853">
                  <c:v>-8.0413924660242</c:v>
                </c:pt>
                <c:pt idx="854">
                  <c:v>-8.04851137939338</c:v>
                </c:pt>
                <c:pt idx="855">
                  <c:v>-8.05563035358271</c:v>
                </c:pt>
                <c:pt idx="856">
                  <c:v>-8.06274938859153</c:v>
                </c:pt>
                <c:pt idx="857">
                  <c:v>-8.0698684844192</c:v>
                </c:pt>
                <c:pt idx="858">
                  <c:v>-8.07698764106506</c:v>
                </c:pt>
                <c:pt idx="859">
                  <c:v>-8.08410685852845</c:v>
                </c:pt>
                <c:pt idx="860">
                  <c:v>-8.09122613680873</c:v>
                </c:pt>
                <c:pt idx="861">
                  <c:v>-8.09834547590524</c:v>
                </c:pt>
                <c:pt idx="862">
                  <c:v>-8.10546487581733</c:v>
                </c:pt>
                <c:pt idx="863">
                  <c:v>-8.11258433654435</c:v>
                </c:pt>
                <c:pt idx="864">
                  <c:v>-8.11970385808563</c:v>
                </c:pt>
                <c:pt idx="865">
                  <c:v>-8.12682344044054</c:v>
                </c:pt>
                <c:pt idx="866">
                  <c:v>-8.13394308360841</c:v>
                </c:pt>
                <c:pt idx="867">
                  <c:v>-8.14106278758859</c:v>
                </c:pt>
                <c:pt idx="868">
                  <c:v>-8.14818255238043</c:v>
                </c:pt>
                <c:pt idx="869">
                  <c:v>-8.15530237798328</c:v>
                </c:pt>
                <c:pt idx="870">
                  <c:v>-8.16242226439648</c:v>
                </c:pt>
                <c:pt idx="871">
                  <c:v>-8.16954221161938</c:v>
                </c:pt>
                <c:pt idx="872">
                  <c:v>-8.17666221965133</c:v>
                </c:pt>
                <c:pt idx="873">
                  <c:v>-8.18378228849168</c:v>
                </c:pt>
                <c:pt idx="874">
                  <c:v>-8.19090241813976</c:v>
                </c:pt>
                <c:pt idx="875">
                  <c:v>-8.19802260859493</c:v>
                </c:pt>
                <c:pt idx="876">
                  <c:v>-8.20514285985654</c:v>
                </c:pt>
                <c:pt idx="877">
                  <c:v>-8.21226317192393</c:v>
                </c:pt>
                <c:pt idx="878">
                  <c:v>-8.21938354479644</c:v>
                </c:pt>
                <c:pt idx="879">
                  <c:v>-8.22650397847344</c:v>
                </c:pt>
                <c:pt idx="880">
                  <c:v>-8.23362447295425</c:v>
                </c:pt>
                <c:pt idx="881">
                  <c:v>-8.24074502823824</c:v>
                </c:pt>
                <c:pt idx="882">
                  <c:v>-8.24786564432474</c:v>
                </c:pt>
                <c:pt idx="883">
                  <c:v>-8.2549863212131</c:v>
                </c:pt>
                <c:pt idx="884">
                  <c:v>-8.26210705890268</c:v>
                </c:pt>
                <c:pt idx="885">
                  <c:v>-8.26922785739281</c:v>
                </c:pt>
                <c:pt idx="886">
                  <c:v>-8.27634871668284</c:v>
                </c:pt>
                <c:pt idx="887">
                  <c:v>-8.28346963677213</c:v>
                </c:pt>
                <c:pt idx="888">
                  <c:v>-8.29059061766001</c:v>
                </c:pt>
                <c:pt idx="889">
                  <c:v>-8.29771165934584</c:v>
                </c:pt>
                <c:pt idx="890">
                  <c:v>-8.30483276182896</c:v>
                </c:pt>
                <c:pt idx="891">
                  <c:v>-8.31195392510872</c:v>
                </c:pt>
                <c:pt idx="892">
                  <c:v>-8.31907514918447</c:v>
                </c:pt>
                <c:pt idx="893">
                  <c:v>-8.32619643405555</c:v>
                </c:pt>
                <c:pt idx="894">
                  <c:v>-8.3333177797213</c:v>
                </c:pt>
                <c:pt idx="895">
                  <c:v>-8.34043918618109</c:v>
                </c:pt>
                <c:pt idx="896">
                  <c:v>-8.34756065343424</c:v>
                </c:pt>
                <c:pt idx="897">
                  <c:v>-8.35468218148012</c:v>
                </c:pt>
                <c:pt idx="898">
                  <c:v>-8.36180377031806</c:v>
                </c:pt>
                <c:pt idx="899">
                  <c:v>-8.36892541994742</c:v>
                </c:pt>
                <c:pt idx="900">
                  <c:v>-8.37604713036754</c:v>
                </c:pt>
                <c:pt idx="901">
                  <c:v>-8.38316890157777</c:v>
                </c:pt>
                <c:pt idx="902">
                  <c:v>-8.39029073357745</c:v>
                </c:pt>
                <c:pt idx="903">
                  <c:v>-8.39741262636593</c:v>
                </c:pt>
                <c:pt idx="904">
                  <c:v>-8.40453457994256</c:v>
                </c:pt>
                <c:pt idx="905">
                  <c:v>-8.41165659430669</c:v>
                </c:pt>
                <c:pt idx="906">
                  <c:v>-8.41877866945766</c:v>
                </c:pt>
                <c:pt idx="907">
                  <c:v>-8.42590080539481</c:v>
                </c:pt>
                <c:pt idx="908">
                  <c:v>-8.43302300211751</c:v>
                </c:pt>
                <c:pt idx="909">
                  <c:v>-8.44014525962509</c:v>
                </c:pt>
                <c:pt idx="910">
                  <c:v>-8.4472675779169</c:v>
                </c:pt>
                <c:pt idx="911">
                  <c:v>-8.45438995699228</c:v>
                </c:pt>
                <c:pt idx="912">
                  <c:v>-8.46151239685059</c:v>
                </c:pt>
                <c:pt idx="913">
                  <c:v>-8.46863489749117</c:v>
                </c:pt>
                <c:pt idx="914">
                  <c:v>-8.47575745891337</c:v>
                </c:pt>
                <c:pt idx="915">
                  <c:v>-8.48288008111653</c:v>
                </c:pt>
                <c:pt idx="916">
                  <c:v>-8.49000276410001</c:v>
                </c:pt>
                <c:pt idx="917">
                  <c:v>-8.49712550786314</c:v>
                </c:pt>
                <c:pt idx="918">
                  <c:v>-8.50424831240528</c:v>
                </c:pt>
                <c:pt idx="919">
                  <c:v>-8.51137117772577</c:v>
                </c:pt>
                <c:pt idx="920">
                  <c:v>-8.51849410382396</c:v>
                </c:pt>
                <c:pt idx="921">
                  <c:v>-8.5256170906992</c:v>
                </c:pt>
                <c:pt idx="922">
                  <c:v>-8.53274013835083</c:v>
                </c:pt>
                <c:pt idx="923">
                  <c:v>-8.5398632467782</c:v>
                </c:pt>
                <c:pt idx="924">
                  <c:v>-8.54698641598066</c:v>
                </c:pt>
                <c:pt idx="925">
                  <c:v>-8.55410964595755</c:v>
                </c:pt>
                <c:pt idx="926">
                  <c:v>-8.56123293670822</c:v>
                </c:pt>
                <c:pt idx="927">
                  <c:v>-8.56835628823202</c:v>
                </c:pt>
                <c:pt idx="928">
                  <c:v>-8.5754797005283</c:v>
                </c:pt>
                <c:pt idx="929">
                  <c:v>-8.5826031735964</c:v>
                </c:pt>
                <c:pt idx="930">
                  <c:v>-8.58972670743566</c:v>
                </c:pt>
                <c:pt idx="931">
                  <c:v>-8.59685030204544</c:v>
                </c:pt>
                <c:pt idx="932">
                  <c:v>-8.60397395742509</c:v>
                </c:pt>
                <c:pt idx="933">
                  <c:v>-8.61109767357394</c:v>
                </c:pt>
                <c:pt idx="934">
                  <c:v>-8.61822145049135</c:v>
                </c:pt>
                <c:pt idx="935">
                  <c:v>-8.62534528817667</c:v>
                </c:pt>
                <c:pt idx="936">
                  <c:v>-8.63246918662923</c:v>
                </c:pt>
                <c:pt idx="937">
                  <c:v>-8.63959314584839</c:v>
                </c:pt>
                <c:pt idx="938">
                  <c:v>-8.6467171658335</c:v>
                </c:pt>
                <c:pt idx="939">
                  <c:v>-8.6538412465839</c:v>
                </c:pt>
                <c:pt idx="940">
                  <c:v>-8.66096538809893</c:v>
                </c:pt>
                <c:pt idx="941">
                  <c:v>-8.66808959037795</c:v>
                </c:pt>
                <c:pt idx="942">
                  <c:v>-8.6752138534203</c:v>
                </c:pt>
                <c:pt idx="943">
                  <c:v>-8.68233817722534</c:v>
                </c:pt>
                <c:pt idx="944">
                  <c:v>-8.68946256179239</c:v>
                </c:pt>
                <c:pt idx="945">
                  <c:v>-8.69658700712082</c:v>
                </c:pt>
                <c:pt idx="946">
                  <c:v>-8.70371151320997</c:v>
                </c:pt>
                <c:pt idx="947">
                  <c:v>-8.71083608005919</c:v>
                </c:pt>
                <c:pt idx="948">
                  <c:v>-8.71796070766782</c:v>
                </c:pt>
                <c:pt idx="949">
                  <c:v>-8.72508539603521</c:v>
                </c:pt>
                <c:pt idx="950">
                  <c:v>-8.73221014516071</c:v>
                </c:pt>
                <c:pt idx="951">
                  <c:v>-8.73933495504366</c:v>
                </c:pt>
                <c:pt idx="952">
                  <c:v>-8.74645982568341</c:v>
                </c:pt>
                <c:pt idx="953">
                  <c:v>-8.75358475707931</c:v>
                </c:pt>
                <c:pt idx="954">
                  <c:v>-8.76070974923071</c:v>
                </c:pt>
                <c:pt idx="955">
                  <c:v>-8.76783480213695</c:v>
                </c:pt>
                <c:pt idx="956">
                  <c:v>-8.77495991579738</c:v>
                </c:pt>
                <c:pt idx="957">
                  <c:v>-8.78208509021134</c:v>
                </c:pt>
                <c:pt idx="958">
                  <c:v>-8.78921032537819</c:v>
                </c:pt>
                <c:pt idx="959">
                  <c:v>-8.79633562129726</c:v>
                </c:pt>
                <c:pt idx="960">
                  <c:v>-8.80346097796792</c:v>
                </c:pt>
                <c:pt idx="961">
                  <c:v>-8.81058639538949</c:v>
                </c:pt>
                <c:pt idx="962">
                  <c:v>-8.81771187356134</c:v>
                </c:pt>
                <c:pt idx="963">
                  <c:v>-8.82483741248281</c:v>
                </c:pt>
                <c:pt idx="964">
                  <c:v>-8.83196301215324</c:v>
                </c:pt>
                <c:pt idx="965">
                  <c:v>-8.83908867257198</c:v>
                </c:pt>
                <c:pt idx="966">
                  <c:v>-8.84621439373838</c:v>
                </c:pt>
                <c:pt idx="967">
                  <c:v>-8.85334017565179</c:v>
                </c:pt>
                <c:pt idx="968">
                  <c:v>-8.86046601831154</c:v>
                </c:pt>
                <c:pt idx="969">
                  <c:v>-8.867591921717</c:v>
                </c:pt>
                <c:pt idx="970">
                  <c:v>-8.8747178858675</c:v>
                </c:pt>
                <c:pt idx="971">
                  <c:v>-8.8818439107624</c:v>
                </c:pt>
                <c:pt idx="972">
                  <c:v>-8.88896999640104</c:v>
                </c:pt>
                <c:pt idx="973">
                  <c:v>-8.89609614278276</c:v>
                </c:pt>
                <c:pt idx="974">
                  <c:v>-8.90322234990692</c:v>
                </c:pt>
                <c:pt idx="975">
                  <c:v>-8.91034861777286</c:v>
                </c:pt>
                <c:pt idx="976">
                  <c:v>-8.91747494637992</c:v>
                </c:pt>
                <c:pt idx="977">
                  <c:v>-8.92460133572747</c:v>
                </c:pt>
                <c:pt idx="978">
                  <c:v>-8.93172778581483</c:v>
                </c:pt>
                <c:pt idx="979">
                  <c:v>-8.93885429664136</c:v>
                </c:pt>
                <c:pt idx="980">
                  <c:v>-8.94598086820641</c:v>
                </c:pt>
                <c:pt idx="981">
                  <c:v>-8.95310750050932</c:v>
                </c:pt>
                <c:pt idx="982">
                  <c:v>-8.96023419354944</c:v>
                </c:pt>
                <c:pt idx="983">
                  <c:v>-8.96736094732612</c:v>
                </c:pt>
                <c:pt idx="984">
                  <c:v>-8.9744877618387</c:v>
                </c:pt>
                <c:pt idx="985">
                  <c:v>-8.98161463708653</c:v>
                </c:pt>
                <c:pt idx="986">
                  <c:v>-8.98874157306896</c:v>
                </c:pt>
                <c:pt idx="987">
                  <c:v>-8.99586856978533</c:v>
                </c:pt>
                <c:pt idx="988">
                  <c:v>-9.00299562723499</c:v>
                </c:pt>
                <c:pt idx="989">
                  <c:v>-9.01012274541729</c:v>
                </c:pt>
                <c:pt idx="990">
                  <c:v>-9.01724992433158</c:v>
                </c:pt>
                <c:pt idx="991">
                  <c:v>-9.0243771639772</c:v>
                </c:pt>
                <c:pt idx="992">
                  <c:v>-9.03150446435349</c:v>
                </c:pt>
                <c:pt idx="993">
                  <c:v>-9.03863182545982</c:v>
                </c:pt>
                <c:pt idx="994">
                  <c:v>-9.04575924729551</c:v>
                </c:pt>
                <c:pt idx="995">
                  <c:v>-9.05288672985993</c:v>
                </c:pt>
                <c:pt idx="996">
                  <c:v>-9.06001427315241</c:v>
                </c:pt>
                <c:pt idx="997">
                  <c:v>-9.06714187717231</c:v>
                </c:pt>
                <c:pt idx="998">
                  <c:v>-9.07426954191897</c:v>
                </c:pt>
                <c:pt idx="999">
                  <c:v>-9.08139726739173</c:v>
                </c:pt>
                <c:pt idx="1000">
                  <c:v>-9.08852505358995</c:v>
                </c:pt>
              </c:numCache>
            </c:numRef>
          </c:yVal>
          <c:smooth val="0"/>
        </c:ser>
        <c:axId val="73619343"/>
        <c:axId val="7959538"/>
      </c:scatterChart>
      <c:valAx>
        <c:axId val="73619343"/>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7959538"/>
        <c:crosses val="autoZero"/>
        <c:crossBetween val="midCat"/>
      </c:valAx>
      <c:valAx>
        <c:axId val="7959538"/>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199810563348518"/>
              <c:y val="0.300170626066413"/>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73619343"/>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p29-1G 56F31</a:t>
            </a:r>
          </a:p>
        </c:rich>
      </c:tx>
      <c:layout>
        <c:manualLayout>
          <c:xMode val="edge"/>
          <c:yMode val="edge"/>
          <c:x val="0.471228970630168"/>
          <c:y val="0.0391146149181322"/>
        </c:manualLayout>
      </c:layout>
      <c:overlay val="0"/>
      <c:spPr>
        <a:noFill/>
        <a:ln w="0">
          <a:noFill/>
        </a:ln>
      </c:spPr>
    </c:title>
    <c:autoTitleDeleted val="0"/>
    <c:plotArea>
      <c:layout>
        <c:manualLayout>
          <c:layoutTarget val="inner"/>
          <c:xMode val="edge"/>
          <c:yMode val="edge"/>
          <c:x val="0.0724836042201312"/>
          <c:y val="0.0554881746513038"/>
          <c:w val="0.889649272882806"/>
          <c:h val="0.823529411764706"/>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none"/>
              <a:lstStyle/>
              <a:p>
                <a:pPr>
                  <a:defRPr b="0" sz="1000" spc="-1" strike="noStrike">
                    <a:solidFill>
                      <a:srgbClr val="000000"/>
                    </a:solidFill>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0.02</c:v>
                </c:pt>
                <c:pt idx="2">
                  <c:v>0.04</c:v>
                </c:pt>
                <c:pt idx="3">
                  <c:v>0.62</c:v>
                </c:pt>
                <c:pt idx="4">
                  <c:v>0.66</c:v>
                </c:pt>
                <c:pt idx="5">
                  <c:v>0.68</c:v>
                </c:pt>
                <c:pt idx="6">
                  <c:v>0.8</c:v>
                </c:pt>
                <c:pt idx="7">
                  <c:v>0.84</c:v>
                </c:pt>
                <c:pt idx="8">
                  <c:v>0.88</c:v>
                </c:pt>
                <c:pt idx="9">
                  <c:v>0.92</c:v>
                </c:pt>
                <c:pt idx="10">
                  <c:v>0.96</c:v>
                </c:pt>
                <c:pt idx="11">
                  <c:v>1</c:v>
                </c:pt>
                <c:pt idx="12">
                  <c:v>1.08</c:v>
                </c:pt>
                <c:pt idx="13">
                  <c:v>2</c:v>
                </c:pt>
                <c:pt idx="14">
                  <c:v>2</c:v>
                </c:pt>
                <c:pt idx="15">
                  <c:v>2</c:v>
                </c:pt>
                <c:pt idx="16">
                  <c:v>2</c:v>
                </c:pt>
                <c:pt idx="17">
                  <c:v>2</c:v>
                </c:pt>
                <c:pt idx="18">
                  <c:v>2</c:v>
                </c:pt>
                <c:pt idx="19">
                  <c:v>2</c:v>
                </c:pt>
                <c:pt idx="20">
                  <c:v>2</c:v>
                </c:pt>
                <c:pt idx="21">
                  <c:v>2</c:v>
                </c:pt>
                <c:pt idx="22">
                  <c:v>2</c:v>
                </c:pt>
              </c:numCache>
            </c:numRef>
          </c:xVal>
          <c:yVal>
            <c:numRef>
              <c:f>Propu!$B$4:$X$4</c:f>
              <c:numCache>
                <c:formatCode>General</c:formatCode>
                <c:ptCount val="23"/>
                <c:pt idx="0">
                  <c:v>0</c:v>
                </c:pt>
                <c:pt idx="1">
                  <c:v>250</c:v>
                </c:pt>
                <c:pt idx="2">
                  <c:v>210</c:v>
                </c:pt>
                <c:pt idx="3">
                  <c:v>160</c:v>
                </c:pt>
                <c:pt idx="4">
                  <c:v>150</c:v>
                </c:pt>
                <c:pt idx="5">
                  <c:v>142</c:v>
                </c:pt>
                <c:pt idx="6">
                  <c:v>62</c:v>
                </c:pt>
                <c:pt idx="7">
                  <c:v>48</c:v>
                </c:pt>
                <c:pt idx="8">
                  <c:v>34</c:v>
                </c:pt>
                <c:pt idx="9">
                  <c:v>24</c:v>
                </c:pt>
                <c:pt idx="10">
                  <c:v>15</c:v>
                </c:pt>
                <c:pt idx="11">
                  <c:v>10</c:v>
                </c:pt>
                <c:pt idx="12">
                  <c:v>0</c:v>
                </c:pt>
                <c:pt idx="13">
                  <c:v>0</c:v>
                </c:pt>
                <c:pt idx="14">
                  <c:v>0</c:v>
                </c:pt>
                <c:pt idx="15">
                  <c:v>0</c:v>
                </c:pt>
                <c:pt idx="16">
                  <c:v>0</c:v>
                </c:pt>
                <c:pt idx="17">
                  <c:v>0</c:v>
                </c:pt>
                <c:pt idx="18">
                  <c:v>0</c:v>
                </c:pt>
                <c:pt idx="19">
                  <c:v>0</c:v>
                </c:pt>
                <c:pt idx="20">
                  <c:v>0</c:v>
                </c:pt>
                <c:pt idx="21">
                  <c:v>0</c:v>
                </c:pt>
                <c:pt idx="22">
                  <c:v>0</c:v>
                </c:pt>
              </c:numCache>
            </c:numRef>
          </c:yVal>
          <c:smooth val="0"/>
        </c:ser>
        <c:axId val="94637903"/>
        <c:axId val="16215025"/>
      </c:scatterChart>
      <c:valAx>
        <c:axId val="94637903"/>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55260906758"/>
              <c:y val="0.688902365069739"/>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16215025"/>
        <c:crosses val="autoZero"/>
        <c:crossBetween val="midCat"/>
      </c:valAx>
      <c:valAx>
        <c:axId val="16215025"/>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2010265183918"/>
              <c:y val="0.352789569436022"/>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94637903"/>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Relationship Id="rId4" Type="http://schemas.openxmlformats.org/officeDocument/2006/relationships/chart" Target="../charts/chart2.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image" Target="../media/image6.jpeg"/><Relationship Id="rId2" Type="http://schemas.openxmlformats.org/officeDocument/2006/relationships/image" Target="../media/image7.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488160</xdr:colOff>
      <xdr:row>1</xdr:row>
      <xdr:rowOff>139320</xdr:rowOff>
    </xdr:to>
    <xdr:grpSp>
      <xdr:nvGrpSpPr>
        <xdr:cNvPr id="0" name="Groupe 1"/>
        <xdr:cNvGrpSpPr/>
      </xdr:nvGrpSpPr>
      <xdr:grpSpPr>
        <a:xfrm>
          <a:off x="7796520" y="187560"/>
          <a:ext cx="462600" cy="113760"/>
          <a:chOff x="7796520" y="187560"/>
          <a:chExt cx="462600" cy="113760"/>
        </a:xfrm>
      </xdr:grpSpPr>
      <xdr:pic>
        <xdr:nvPicPr>
          <xdr:cNvPr id="1" name="Image 1" descr=""/>
          <xdr:cNvPicPr/>
        </xdr:nvPicPr>
        <xdr:blipFill>
          <a:blip r:embed="rId1"/>
          <a:stretch/>
        </xdr:blipFill>
        <xdr:spPr>
          <a:xfrm>
            <a:off x="7796520" y="187560"/>
            <a:ext cx="180720" cy="113760"/>
          </a:xfrm>
          <a:prstGeom prst="rect">
            <a:avLst/>
          </a:prstGeom>
          <a:ln w="9525">
            <a:noFill/>
          </a:ln>
        </xdr:spPr>
      </xdr:pic>
      <xdr:pic>
        <xdr:nvPicPr>
          <xdr:cNvPr id="2" name="Image 2" descr=""/>
          <xdr:cNvPicPr/>
        </xdr:nvPicPr>
        <xdr:blipFill>
          <a:blip r:embed="rId2"/>
          <a:stretch/>
        </xdr:blipFill>
        <xdr:spPr>
          <a:xfrm>
            <a:off x="8017920" y="187560"/>
            <a:ext cx="241200" cy="113760"/>
          </a:xfrm>
          <a:prstGeom prst="rect">
            <a:avLst/>
          </a:prstGeom>
          <a:ln w="9525">
            <a:noFill/>
          </a:ln>
        </xdr:spPr>
      </xdr:pic>
    </xdr:grpSp>
    <xdr:clientData/>
  </xdr:twoCellAnchor>
  <xdr:twoCellAnchor editAs="oneCell">
    <xdr:from>
      <xdr:col>4</xdr:col>
      <xdr:colOff>279360</xdr:colOff>
      <xdr:row>1</xdr:row>
      <xdr:rowOff>0</xdr:rowOff>
    </xdr:from>
    <xdr:to>
      <xdr:col>9</xdr:col>
      <xdr:colOff>376920</xdr:colOff>
      <xdr:row>23</xdr:row>
      <xdr:rowOff>161280</xdr:rowOff>
    </xdr:to>
    <xdr:graphicFrame>
      <xdr:nvGraphicFramePr>
        <xdr:cNvPr id="3" name="Graphique 9"/>
        <xdr:cNvGraphicFramePr/>
      </xdr:nvGraphicFramePr>
      <xdr:xfrm>
        <a:off x="3386880" y="162000"/>
        <a:ext cx="3031560" cy="3723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607680</xdr:colOff>
      <xdr:row>34</xdr:row>
      <xdr:rowOff>161280</xdr:rowOff>
    </xdr:to>
    <xdr:graphicFrame>
      <xdr:nvGraphicFramePr>
        <xdr:cNvPr id="4" name="Graphique 19"/>
        <xdr:cNvGraphicFramePr/>
      </xdr:nvGraphicFramePr>
      <xdr:xfrm>
        <a:off x="6572880" y="4048200"/>
        <a:ext cx="3016080" cy="1618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983520</xdr:colOff>
      <xdr:row>4</xdr:row>
      <xdr:rowOff>151560</xdr:rowOff>
    </xdr:to>
    <xdr:pic>
      <xdr:nvPicPr>
        <xdr:cNvPr id="5" name="Picture 8" descr="logoplasci"/>
        <xdr:cNvPicPr/>
      </xdr:nvPicPr>
      <xdr:blipFill>
        <a:blip r:embed="rId5"/>
        <a:stretch/>
      </xdr:blipFill>
      <xdr:spPr>
        <a:xfrm>
          <a:off x="153720" y="162000"/>
          <a:ext cx="983520" cy="637200"/>
        </a:xfrm>
        <a:prstGeom prst="rect">
          <a:avLst/>
        </a:prstGeom>
        <a:ln w="9525">
          <a:noFill/>
        </a:ln>
      </xdr:spPr>
    </xdr:pic>
    <xdr:clientData/>
  </xdr:twoCellAnchor>
  <xdr:twoCellAnchor editAs="oneCell">
    <xdr:from>
      <xdr:col>1</xdr:col>
      <xdr:colOff>0</xdr:colOff>
      <xdr:row>37</xdr:row>
      <xdr:rowOff>0</xdr:rowOff>
    </xdr:from>
    <xdr:to>
      <xdr:col>2</xdr:col>
      <xdr:colOff>850320</xdr:colOff>
      <xdr:row>48</xdr:row>
      <xdr:rowOff>69120</xdr:rowOff>
    </xdr:to>
    <xdr:pic>
      <xdr:nvPicPr>
        <xdr:cNvPr id="6" name="Image 1" descr=""/>
        <xdr:cNvPicPr/>
      </xdr:nvPicPr>
      <xdr:blipFill>
        <a:blip r:embed="rId6"/>
        <a:stretch/>
      </xdr:blipFill>
      <xdr:spPr>
        <a:xfrm>
          <a:off x="153720" y="5991120"/>
          <a:ext cx="1996920" cy="1850400"/>
        </a:xfrm>
        <a:prstGeom prst="rect">
          <a:avLst/>
        </a:prstGeom>
        <a:ln w="9525">
          <a:noFill/>
        </a:ln>
      </xdr:spPr>
    </xdr:pic>
    <xdr:clientData/>
  </xdr:twoCellAnchor>
  <xdr:twoCellAnchor editAs="oneCell">
    <xdr:from>
      <xdr:col>18</xdr:col>
      <xdr:colOff>0</xdr:colOff>
      <xdr:row>3</xdr:row>
      <xdr:rowOff>12600</xdr:rowOff>
    </xdr:from>
    <xdr:to>
      <xdr:col>20</xdr:col>
      <xdr:colOff>564480</xdr:colOff>
      <xdr:row>9</xdr:row>
      <xdr:rowOff>11880</xdr:rowOff>
    </xdr:to>
    <xdr:pic>
      <xdr:nvPicPr>
        <xdr:cNvPr id="7" name="Image 2" descr=""/>
        <xdr:cNvPicPr/>
      </xdr:nvPicPr>
      <xdr:blipFill>
        <a:blip r:embed="rId7"/>
        <a:stretch/>
      </xdr:blipFill>
      <xdr:spPr>
        <a:xfrm>
          <a:off x="9897120" y="498240"/>
          <a:ext cx="2166120" cy="970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755640</xdr:colOff>
      <xdr:row>19</xdr:row>
      <xdr:rowOff>161280</xdr:rowOff>
    </xdr:to>
    <xdr:graphicFrame>
      <xdr:nvGraphicFramePr>
        <xdr:cNvPr id="8" name="Graphique 1"/>
        <xdr:cNvGraphicFramePr/>
      </xdr:nvGraphicFramePr>
      <xdr:xfrm>
        <a:off x="3094200" y="162000"/>
        <a:ext cx="3319200" cy="307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755640</xdr:colOff>
      <xdr:row>19</xdr:row>
      <xdr:rowOff>161280</xdr:rowOff>
    </xdr:to>
    <xdr:graphicFrame>
      <xdr:nvGraphicFramePr>
        <xdr:cNvPr id="9" name="Graphique 2"/>
        <xdr:cNvGraphicFramePr/>
      </xdr:nvGraphicFramePr>
      <xdr:xfrm>
        <a:off x="6414120" y="162000"/>
        <a:ext cx="3024360" cy="3075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983520</xdr:colOff>
      <xdr:row>4</xdr:row>
      <xdr:rowOff>151560</xdr:rowOff>
    </xdr:to>
    <xdr:pic>
      <xdr:nvPicPr>
        <xdr:cNvPr id="10" name="Picture 8" descr="logoplasci"/>
        <xdr:cNvPicPr/>
      </xdr:nvPicPr>
      <xdr:blipFill>
        <a:blip r:embed="rId3"/>
        <a:stretch/>
      </xdr:blipFill>
      <xdr:spPr>
        <a:xfrm>
          <a:off x="153720" y="162000"/>
          <a:ext cx="983520" cy="637200"/>
        </a:xfrm>
        <a:prstGeom prst="rect">
          <a:avLst/>
        </a:prstGeom>
        <a:ln w="9525">
          <a:noFill/>
        </a:ln>
      </xdr:spPr>
    </xdr:pic>
    <xdr:clientData/>
  </xdr:twoCellAnchor>
  <xdr:twoCellAnchor editAs="twoCell">
    <xdr:from>
      <xdr:col>2</xdr:col>
      <xdr:colOff>139680</xdr:colOff>
      <xdr:row>38</xdr:row>
      <xdr:rowOff>120600</xdr:rowOff>
    </xdr:from>
    <xdr:to>
      <xdr:col>3</xdr:col>
      <xdr:colOff>690120</xdr:colOff>
      <xdr:row>45</xdr:row>
      <xdr:rowOff>161280</xdr:rowOff>
    </xdr:to>
    <xdr:grpSp>
      <xdr:nvGrpSpPr>
        <xdr:cNvPr id="11" name="Groupe 1"/>
        <xdr:cNvGrpSpPr/>
      </xdr:nvGrpSpPr>
      <xdr:grpSpPr>
        <a:xfrm>
          <a:off x="1440000" y="6254640"/>
          <a:ext cx="1351440" cy="1174320"/>
          <a:chOff x="1440000" y="6254640"/>
          <a:chExt cx="1351440" cy="1174320"/>
        </a:xfrm>
      </xdr:grpSpPr>
      <xdr:sp>
        <xdr:nvSpPr>
          <xdr:cNvPr id="12" name="Line 320"/>
          <xdr:cNvSpPr/>
        </xdr:nvSpPr>
        <xdr:spPr>
          <a:xfrm flipH="1">
            <a:off x="1545120" y="7135920"/>
            <a:ext cx="36864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5000" y="6254640"/>
            <a:ext cx="505080" cy="117432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40040" y="6234120"/>
            <a:ext cx="505440" cy="119700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5000" y="6587280"/>
            <a:ext cx="360" cy="47988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7200" y="6587280"/>
            <a:ext cx="360" cy="47988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40000" y="6587280"/>
            <a:ext cx="360" cy="47988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513720</xdr:colOff>
      <xdr:row>54</xdr:row>
      <xdr:rowOff>119880</xdr:rowOff>
    </xdr:to>
    <xdr:sp>
      <xdr:nvSpPr>
        <xdr:cNvPr id="18" name="Oval 323"/>
        <xdr:cNvSpPr/>
      </xdr:nvSpPr>
      <xdr:spPr>
        <a:xfrm>
          <a:off x="1560600" y="7934400"/>
          <a:ext cx="1054440" cy="91044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88200</xdr:colOff>
      <xdr:row>52</xdr:row>
      <xdr:rowOff>75600</xdr:rowOff>
    </xdr:to>
    <xdr:sp>
      <xdr:nvSpPr>
        <xdr:cNvPr id="19" name="Oval 323"/>
        <xdr:cNvSpPr/>
      </xdr:nvSpPr>
      <xdr:spPr>
        <a:xfrm>
          <a:off x="1998720" y="8296200"/>
          <a:ext cx="190800" cy="18036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101320" y="7934040"/>
          <a:ext cx="0" cy="45072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101320" y="83847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621720</xdr:colOff>
      <xdr:row>18</xdr:row>
      <xdr:rowOff>151560</xdr:rowOff>
    </xdr:to>
    <xdr:graphicFrame>
      <xdr:nvGraphicFramePr>
        <xdr:cNvPr id="22" name="Graphique 1"/>
        <xdr:cNvGraphicFramePr/>
      </xdr:nvGraphicFramePr>
      <xdr:xfrm>
        <a:off x="165240" y="152280"/>
        <a:ext cx="798120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621720</xdr:colOff>
      <xdr:row>54</xdr:row>
      <xdr:rowOff>151560</xdr:rowOff>
    </xdr:to>
    <xdr:graphicFrame>
      <xdr:nvGraphicFramePr>
        <xdr:cNvPr id="23" name="Graphique 2"/>
        <xdr:cNvGraphicFramePr/>
      </xdr:nvGraphicFramePr>
      <xdr:xfrm>
        <a:off x="165240" y="5638680"/>
        <a:ext cx="798120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621720</xdr:colOff>
      <xdr:row>36</xdr:row>
      <xdr:rowOff>151560</xdr:rowOff>
    </xdr:to>
    <xdr:graphicFrame>
      <xdr:nvGraphicFramePr>
        <xdr:cNvPr id="24" name="Graphique 3"/>
        <xdr:cNvGraphicFramePr/>
      </xdr:nvGraphicFramePr>
      <xdr:xfrm>
        <a:off x="165240" y="2895480"/>
        <a:ext cx="7981200" cy="2742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621720</xdr:colOff>
      <xdr:row>72</xdr:row>
      <xdr:rowOff>151560</xdr:rowOff>
    </xdr:to>
    <xdr:graphicFrame>
      <xdr:nvGraphicFramePr>
        <xdr:cNvPr id="25" name="Graphique 4"/>
        <xdr:cNvGraphicFramePr/>
      </xdr:nvGraphicFramePr>
      <xdr:xfrm>
        <a:off x="165240" y="8381880"/>
        <a:ext cx="798120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214920</xdr:colOff>
      <xdr:row>19</xdr:row>
      <xdr:rowOff>132480</xdr:rowOff>
    </xdr:to>
    <xdr:graphicFrame>
      <xdr:nvGraphicFramePr>
        <xdr:cNvPr id="26" name="Graphique 1"/>
        <xdr:cNvGraphicFramePr/>
      </xdr:nvGraphicFramePr>
      <xdr:xfrm>
        <a:off x="12600" y="682560"/>
        <a:ext cx="6312240" cy="237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7" name="Line 60"/>
        <xdr:cNvSpPr/>
      </xdr:nvSpPr>
      <xdr:spPr>
        <a:xfrm flipH="1">
          <a:off x="5806440" y="153774360"/>
          <a:ext cx="1109160" cy="241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8" name="Line 71"/>
        <xdr:cNvSpPr/>
      </xdr:nvSpPr>
      <xdr:spPr>
        <a:xfrm flipH="1" flipV="1">
          <a:off x="5812920" y="154180800"/>
          <a:ext cx="1908000" cy="349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29" name="Line 71"/>
        <xdr:cNvSpPr/>
      </xdr:nvSpPr>
      <xdr:spPr>
        <a:xfrm flipH="1" flipV="1">
          <a:off x="5812920" y="154378080"/>
          <a:ext cx="1908000" cy="342720"/>
        </a:xfrm>
        <a:prstGeom prst="line">
          <a:avLst/>
        </a:prstGeom>
        <a:ln w="9525">
          <a:solidFill>
            <a:srgbClr val="000000"/>
          </a:solidFill>
          <a:round/>
          <a:tailEnd len="med" type="triangle" w="med"/>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983520</xdr:colOff>
      <xdr:row>4</xdr:row>
      <xdr:rowOff>151560</xdr:rowOff>
    </xdr:to>
    <xdr:pic>
      <xdr:nvPicPr>
        <xdr:cNvPr id="30" name="Picture 8" descr="logoplasci"/>
        <xdr:cNvPicPr/>
      </xdr:nvPicPr>
      <xdr:blipFill>
        <a:blip r:embed="rId1"/>
        <a:stretch/>
      </xdr:blipFill>
      <xdr:spPr>
        <a:xfrm>
          <a:off x="153720" y="162000"/>
          <a:ext cx="983520" cy="637200"/>
        </a:xfrm>
        <a:prstGeom prst="rect">
          <a:avLst/>
        </a:prstGeom>
        <a:ln w="9525">
          <a:noFill/>
        </a:ln>
      </xdr:spPr>
    </xdr:pic>
    <xdr:clientData/>
  </xdr:twoCellAnchor>
  <xdr:twoCellAnchor editAs="oneCell">
    <xdr:from>
      <xdr:col>6</xdr:col>
      <xdr:colOff>450720</xdr:colOff>
      <xdr:row>0</xdr:row>
      <xdr:rowOff>120600</xdr:rowOff>
    </xdr:from>
    <xdr:to>
      <xdr:col>12</xdr:col>
      <xdr:colOff>450000</xdr:colOff>
      <xdr:row>17</xdr:row>
      <xdr:rowOff>24480</xdr:rowOff>
    </xdr:to>
    <xdr:graphicFrame>
      <xdr:nvGraphicFramePr>
        <xdr:cNvPr id="31" name="Graphique 2"/>
        <xdr:cNvGraphicFramePr/>
      </xdr:nvGraphicFramePr>
      <xdr:xfrm>
        <a:off x="4857480" y="120600"/>
        <a:ext cx="4514400" cy="2694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450000</xdr:colOff>
      <xdr:row>34</xdr:row>
      <xdr:rowOff>18360</xdr:rowOff>
    </xdr:to>
    <xdr:graphicFrame>
      <xdr:nvGraphicFramePr>
        <xdr:cNvPr id="32" name="Graphique 2"/>
        <xdr:cNvGraphicFramePr/>
      </xdr:nvGraphicFramePr>
      <xdr:xfrm>
        <a:off x="4857480" y="2816280"/>
        <a:ext cx="4514400" cy="2583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450000</xdr:colOff>
      <xdr:row>34</xdr:row>
      <xdr:rowOff>18360</xdr:rowOff>
    </xdr:to>
    <xdr:graphicFrame>
      <xdr:nvGraphicFramePr>
        <xdr:cNvPr id="33" name="Graphique 2"/>
        <xdr:cNvGraphicFramePr/>
      </xdr:nvGraphicFramePr>
      <xdr:xfrm>
        <a:off x="166320" y="2816280"/>
        <a:ext cx="4690440" cy="25837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11880</xdr:colOff>
      <xdr:row>44</xdr:row>
      <xdr:rowOff>18360</xdr:rowOff>
    </xdr:to>
    <xdr:pic>
      <xdr:nvPicPr>
        <xdr:cNvPr id="34" name="Image 1" descr=""/>
        <xdr:cNvPicPr/>
      </xdr:nvPicPr>
      <xdr:blipFill>
        <a:blip r:embed="rId1"/>
        <a:stretch/>
      </xdr:blipFill>
      <xdr:spPr>
        <a:xfrm>
          <a:off x="69840" y="5102280"/>
          <a:ext cx="1242360" cy="1669320"/>
        </a:xfrm>
        <a:prstGeom prst="rect">
          <a:avLst/>
        </a:prstGeom>
        <a:ln w="9525">
          <a:noFill/>
        </a:ln>
      </xdr:spPr>
    </xdr:pic>
    <xdr:clientData/>
  </xdr:twoCellAnchor>
  <xdr:twoCellAnchor editAs="oneCell">
    <xdr:from>
      <xdr:col>1</xdr:col>
      <xdr:colOff>1123920</xdr:colOff>
      <xdr:row>53</xdr:row>
      <xdr:rowOff>44280</xdr:rowOff>
    </xdr:from>
    <xdr:to>
      <xdr:col>10</xdr:col>
      <xdr:colOff>608760</xdr:colOff>
      <xdr:row>81</xdr:row>
      <xdr:rowOff>24480</xdr:rowOff>
    </xdr:to>
    <xdr:pic>
      <xdr:nvPicPr>
        <xdr:cNvPr id="35" name="Image 2" descr=""/>
        <xdr:cNvPicPr/>
      </xdr:nvPicPr>
      <xdr:blipFill>
        <a:blip r:embed="rId2"/>
        <a:stretch/>
      </xdr:blipFill>
      <xdr:spPr>
        <a:xfrm>
          <a:off x="1277640" y="8169120"/>
          <a:ext cx="7067880" cy="4247280"/>
        </a:xfrm>
        <a:prstGeom prst="rect">
          <a:avLst/>
        </a:prstGeom>
        <a:ln w="9525">
          <a:noFill/>
        </a:ln>
      </xdr:spPr>
    </xdr:pic>
    <xdr:clientData/>
  </xdr:twoCellAnchor>
  <xdr:twoCellAnchor editAs="oneCell">
    <xdr:from>
      <xdr:col>1</xdr:col>
      <xdr:colOff>0</xdr:colOff>
      <xdr:row>1</xdr:row>
      <xdr:rowOff>0</xdr:rowOff>
    </xdr:from>
    <xdr:to>
      <xdr:col>1</xdr:col>
      <xdr:colOff>983520</xdr:colOff>
      <xdr:row>4</xdr:row>
      <xdr:rowOff>151560</xdr:rowOff>
    </xdr:to>
    <xdr:pic>
      <xdr:nvPicPr>
        <xdr:cNvPr id="36" name="Picture 8" descr="logoplasci"/>
        <xdr:cNvPicPr/>
      </xdr:nvPicPr>
      <xdr:blipFill>
        <a:blip r:embed="rId3"/>
        <a:stretch/>
      </xdr:blipFill>
      <xdr:spPr>
        <a:xfrm>
          <a:off x="153720" y="152280"/>
          <a:ext cx="983520" cy="60876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7</xdr:col>
      <xdr:colOff>474120</xdr:colOff>
      <xdr:row>102</xdr:row>
      <xdr:rowOff>107640</xdr:rowOff>
    </xdr:to>
    <xdr:grpSp>
      <xdr:nvGrpSpPr>
        <xdr:cNvPr id="37" name="Group 232"/>
        <xdr:cNvGrpSpPr/>
      </xdr:nvGrpSpPr>
      <xdr:grpSpPr>
        <a:xfrm>
          <a:off x="4387320" y="13166640"/>
          <a:ext cx="2281320" cy="3638160"/>
          <a:chOff x="4387320" y="13166640"/>
          <a:chExt cx="2281320" cy="3638160"/>
        </a:xfrm>
      </xdr:grpSpPr>
      <xdr:grpSp>
        <xdr:nvGrpSpPr>
          <xdr:cNvPr id="38" name="Group 233"/>
          <xdr:cNvGrpSpPr/>
        </xdr:nvGrpSpPr>
        <xdr:grpSpPr>
          <a:xfrm>
            <a:off x="5011200" y="13166640"/>
            <a:ext cx="511920" cy="2587680"/>
            <a:chOff x="5011200" y="13166640"/>
            <a:chExt cx="511920" cy="2587680"/>
          </a:xfrm>
        </xdr:grpSpPr>
        <xdr:sp>
          <xdr:nvSpPr>
            <xdr:cNvPr id="39" name="Arc 234"/>
            <xdr:cNvSpPr/>
          </xdr:nvSpPr>
          <xdr:spPr>
            <a:xfrm flipH="1">
              <a:off x="5163840" y="13166640"/>
              <a:ext cx="358920" cy="608400"/>
            </a:xfrm>
            <a:custGeom>
              <a:avLst/>
              <a:gdLst>
                <a:gd name="textAreaLeft" fmla="*/ 360 w 358920"/>
                <a:gd name="textAreaRight" fmla="*/ 360000 w 358920"/>
                <a:gd name="textAreaTop" fmla="*/ 0 h 608400"/>
                <a:gd name="textAreaBottom" fmla="*/ 609120 h 60840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0" name="Group 235"/>
            <xdr:cNvGrpSpPr/>
          </xdr:nvGrpSpPr>
          <xdr:grpSpPr>
            <a:xfrm>
              <a:off x="5011200" y="13752360"/>
              <a:ext cx="284400" cy="2001960"/>
              <a:chOff x="5011200" y="13752360"/>
              <a:chExt cx="284400" cy="2001960"/>
            </a:xfrm>
          </xdr:grpSpPr>
          <xdr:sp>
            <xdr:nvSpPr>
              <xdr:cNvPr id="41" name="Line 236"/>
              <xdr:cNvSpPr/>
            </xdr:nvSpPr>
            <xdr:spPr>
              <a:xfrm>
                <a:off x="5162400" y="13752360"/>
                <a:ext cx="360" cy="591120"/>
              </a:xfrm>
              <a:prstGeom prst="line">
                <a:avLst/>
              </a:prstGeom>
              <a:ln w="9525">
                <a:solidFill>
                  <a:srgbClr val="00b0f0"/>
                </a:solidFill>
                <a:round/>
              </a:ln>
            </xdr:spPr>
            <xdr:style>
              <a:lnRef idx="0"/>
              <a:fillRef idx="0"/>
              <a:effectRef idx="0"/>
              <a:fontRef idx="minor"/>
            </xdr:style>
          </xdr:sp>
          <xdr:sp>
            <xdr:nvSpPr>
              <xdr:cNvPr id="42" name="Line 237"/>
              <xdr:cNvSpPr/>
            </xdr:nvSpPr>
            <xdr:spPr>
              <a:xfrm flipH="1">
                <a:off x="5011200" y="14343480"/>
                <a:ext cx="151200" cy="160560"/>
              </a:xfrm>
              <a:prstGeom prst="line">
                <a:avLst/>
              </a:prstGeom>
              <a:ln w="9525">
                <a:solidFill>
                  <a:srgbClr val="00b0f0"/>
                </a:solidFill>
                <a:round/>
              </a:ln>
            </xdr:spPr>
            <xdr:style>
              <a:lnRef idx="0"/>
              <a:fillRef idx="0"/>
              <a:effectRef idx="0"/>
              <a:fontRef idx="minor"/>
            </xdr:style>
          </xdr:sp>
          <xdr:sp>
            <xdr:nvSpPr>
              <xdr:cNvPr id="43" name="Line 238"/>
              <xdr:cNvSpPr/>
            </xdr:nvSpPr>
            <xdr:spPr>
              <a:xfrm>
                <a:off x="5011200" y="14504040"/>
                <a:ext cx="360" cy="405720"/>
              </a:xfrm>
              <a:prstGeom prst="line">
                <a:avLst/>
              </a:prstGeom>
              <a:ln w="9525">
                <a:solidFill>
                  <a:srgbClr val="00b0f0"/>
                </a:solidFill>
                <a:round/>
              </a:ln>
            </xdr:spPr>
            <xdr:style>
              <a:lnRef idx="0"/>
              <a:fillRef idx="0"/>
              <a:effectRef idx="0"/>
              <a:fontRef idx="minor"/>
            </xdr:style>
          </xdr:sp>
          <xdr:sp>
            <xdr:nvSpPr>
              <xdr:cNvPr id="44" name="Line 239"/>
              <xdr:cNvSpPr/>
            </xdr:nvSpPr>
            <xdr:spPr>
              <a:xfrm>
                <a:off x="5011200" y="14909760"/>
                <a:ext cx="284040" cy="231840"/>
              </a:xfrm>
              <a:prstGeom prst="line">
                <a:avLst/>
              </a:prstGeom>
              <a:ln w="9525">
                <a:solidFill>
                  <a:srgbClr val="00b0f0"/>
                </a:solidFill>
                <a:round/>
              </a:ln>
            </xdr:spPr>
            <xdr:style>
              <a:lnRef idx="0"/>
              <a:fillRef idx="0"/>
              <a:effectRef idx="0"/>
              <a:fontRef idx="minor"/>
            </xdr:style>
          </xdr:sp>
          <xdr:sp>
            <xdr:nvSpPr>
              <xdr:cNvPr id="45" name="Line 240"/>
              <xdr:cNvSpPr/>
            </xdr:nvSpPr>
            <xdr:spPr>
              <a:xfrm>
                <a:off x="5295240" y="15141600"/>
                <a:ext cx="360" cy="612720"/>
              </a:xfrm>
              <a:prstGeom prst="line">
                <a:avLst/>
              </a:prstGeom>
              <a:ln w="9525">
                <a:solidFill>
                  <a:srgbClr val="00b0f0"/>
                </a:solidFill>
                <a:round/>
              </a:ln>
            </xdr:spPr>
            <xdr:style>
              <a:lnRef idx="0"/>
              <a:fillRef idx="0"/>
              <a:effectRef idx="0"/>
              <a:fontRef idx="minor"/>
            </xdr:style>
          </xdr:sp>
        </xdr:grpSp>
      </xdr:grpSp>
      <xdr:grpSp>
        <xdr:nvGrpSpPr>
          <xdr:cNvPr id="46" name="Group 241"/>
          <xdr:cNvGrpSpPr/>
        </xdr:nvGrpSpPr>
        <xdr:grpSpPr>
          <a:xfrm>
            <a:off x="5522400" y="13166640"/>
            <a:ext cx="513720" cy="2587680"/>
            <a:chOff x="5522400" y="13166640"/>
            <a:chExt cx="513720" cy="2587680"/>
          </a:xfrm>
        </xdr:grpSpPr>
        <xdr:sp>
          <xdr:nvSpPr>
            <xdr:cNvPr id="47" name="Arc 242"/>
            <xdr:cNvSpPr/>
          </xdr:nvSpPr>
          <xdr:spPr>
            <a:xfrm>
              <a:off x="5522400" y="13166640"/>
              <a:ext cx="358920" cy="608400"/>
            </a:xfrm>
            <a:custGeom>
              <a:avLst/>
              <a:gdLst>
                <a:gd name="textAreaLeft" fmla="*/ 0 w 358920"/>
                <a:gd name="textAreaRight" fmla="*/ 359640 w 358920"/>
                <a:gd name="textAreaTop" fmla="*/ 0 h 608400"/>
                <a:gd name="textAreaBottom" fmla="*/ 609120 h 60840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8" name="Group 243"/>
            <xdr:cNvGrpSpPr/>
          </xdr:nvGrpSpPr>
          <xdr:grpSpPr>
            <a:xfrm>
              <a:off x="5751720" y="13752360"/>
              <a:ext cx="284400" cy="2001960"/>
              <a:chOff x="5751720" y="13752360"/>
              <a:chExt cx="284400" cy="2001960"/>
            </a:xfrm>
          </xdr:grpSpPr>
          <xdr:sp>
            <xdr:nvSpPr>
              <xdr:cNvPr id="49" name="Line 244"/>
              <xdr:cNvSpPr/>
            </xdr:nvSpPr>
            <xdr:spPr>
              <a:xfrm>
                <a:off x="5884200" y="13752360"/>
                <a:ext cx="360" cy="591120"/>
              </a:xfrm>
              <a:prstGeom prst="line">
                <a:avLst/>
              </a:prstGeom>
              <a:ln w="9525">
                <a:solidFill>
                  <a:srgbClr val="00b0f0"/>
                </a:solidFill>
                <a:round/>
              </a:ln>
            </xdr:spPr>
            <xdr:style>
              <a:lnRef idx="0"/>
              <a:fillRef idx="0"/>
              <a:effectRef idx="0"/>
              <a:fontRef idx="minor"/>
            </xdr:style>
          </xdr:sp>
          <xdr:sp>
            <xdr:nvSpPr>
              <xdr:cNvPr id="50" name="Line 245"/>
              <xdr:cNvSpPr/>
            </xdr:nvSpPr>
            <xdr:spPr>
              <a:xfrm>
                <a:off x="5884200" y="14343480"/>
                <a:ext cx="151560" cy="160560"/>
              </a:xfrm>
              <a:prstGeom prst="line">
                <a:avLst/>
              </a:prstGeom>
              <a:ln w="9525">
                <a:solidFill>
                  <a:srgbClr val="00b0f0"/>
                </a:solidFill>
                <a:round/>
              </a:ln>
            </xdr:spPr>
            <xdr:style>
              <a:lnRef idx="0"/>
              <a:fillRef idx="0"/>
              <a:effectRef idx="0"/>
              <a:fontRef idx="minor"/>
            </xdr:style>
          </xdr:sp>
          <xdr:sp>
            <xdr:nvSpPr>
              <xdr:cNvPr id="51" name="Line 246"/>
              <xdr:cNvSpPr/>
            </xdr:nvSpPr>
            <xdr:spPr>
              <a:xfrm>
                <a:off x="6035760" y="14504040"/>
                <a:ext cx="360" cy="405720"/>
              </a:xfrm>
              <a:prstGeom prst="line">
                <a:avLst/>
              </a:prstGeom>
              <a:ln w="9525">
                <a:solidFill>
                  <a:srgbClr val="00b0f0"/>
                </a:solidFill>
                <a:round/>
              </a:ln>
            </xdr:spPr>
            <xdr:style>
              <a:lnRef idx="0"/>
              <a:fillRef idx="0"/>
              <a:effectRef idx="0"/>
              <a:fontRef idx="minor"/>
            </xdr:style>
          </xdr:sp>
          <xdr:sp>
            <xdr:nvSpPr>
              <xdr:cNvPr id="52" name="Line 247"/>
              <xdr:cNvSpPr/>
            </xdr:nvSpPr>
            <xdr:spPr>
              <a:xfrm flipH="1">
                <a:off x="5751720" y="14909760"/>
                <a:ext cx="284040" cy="231840"/>
              </a:xfrm>
              <a:prstGeom prst="line">
                <a:avLst/>
              </a:prstGeom>
              <a:ln w="9525">
                <a:solidFill>
                  <a:srgbClr val="00b0f0"/>
                </a:solidFill>
                <a:round/>
              </a:ln>
            </xdr:spPr>
            <xdr:style>
              <a:lnRef idx="0"/>
              <a:fillRef idx="0"/>
              <a:effectRef idx="0"/>
              <a:fontRef idx="minor"/>
            </xdr:style>
          </xdr:sp>
          <xdr:sp>
            <xdr:nvSpPr>
              <xdr:cNvPr id="53" name="Line 248"/>
              <xdr:cNvSpPr/>
            </xdr:nvSpPr>
            <xdr:spPr>
              <a:xfrm>
                <a:off x="5751720" y="15141600"/>
                <a:ext cx="360" cy="612720"/>
              </a:xfrm>
              <a:prstGeom prst="line">
                <a:avLst/>
              </a:prstGeom>
              <a:ln w="9525">
                <a:solidFill>
                  <a:srgbClr val="00b0f0"/>
                </a:solidFill>
                <a:round/>
              </a:ln>
            </xdr:spPr>
            <xdr:style>
              <a:lnRef idx="0"/>
              <a:fillRef idx="0"/>
              <a:effectRef idx="0"/>
              <a:fontRef idx="minor"/>
            </xdr:style>
          </xdr:sp>
        </xdr:grpSp>
      </xdr:grpSp>
      <xdr:sp>
        <xdr:nvSpPr>
          <xdr:cNvPr id="54" name="Line 249"/>
          <xdr:cNvSpPr/>
        </xdr:nvSpPr>
        <xdr:spPr>
          <a:xfrm>
            <a:off x="5295240" y="15649920"/>
            <a:ext cx="1800" cy="833400"/>
          </a:xfrm>
          <a:prstGeom prst="line">
            <a:avLst/>
          </a:prstGeom>
          <a:ln w="9525">
            <a:solidFill>
              <a:srgbClr val="00b0f0"/>
            </a:solidFill>
            <a:round/>
          </a:ln>
        </xdr:spPr>
        <xdr:style>
          <a:lnRef idx="0"/>
          <a:fillRef idx="0"/>
          <a:effectRef idx="0"/>
          <a:fontRef idx="minor"/>
        </xdr:style>
      </xdr:sp>
      <xdr:sp>
        <xdr:nvSpPr>
          <xdr:cNvPr id="55" name="Line 250"/>
          <xdr:cNvSpPr/>
        </xdr:nvSpPr>
        <xdr:spPr>
          <a:xfrm>
            <a:off x="5751720" y="15649920"/>
            <a:ext cx="360" cy="833400"/>
          </a:xfrm>
          <a:prstGeom prst="line">
            <a:avLst/>
          </a:prstGeom>
          <a:ln w="9525">
            <a:solidFill>
              <a:srgbClr val="00b0f0"/>
            </a:solidFill>
            <a:round/>
          </a:ln>
        </xdr:spPr>
        <xdr:style>
          <a:lnRef idx="0"/>
          <a:fillRef idx="0"/>
          <a:effectRef idx="0"/>
          <a:fontRef idx="minor"/>
        </xdr:style>
      </xdr:sp>
      <xdr:sp>
        <xdr:nvSpPr>
          <xdr:cNvPr id="56" name="Line 251"/>
          <xdr:cNvSpPr/>
        </xdr:nvSpPr>
        <xdr:spPr>
          <a:xfrm>
            <a:off x="5293080" y="16483320"/>
            <a:ext cx="456480" cy="360"/>
          </a:xfrm>
          <a:prstGeom prst="line">
            <a:avLst/>
          </a:prstGeom>
          <a:ln w="9525">
            <a:solidFill>
              <a:srgbClr val="00b0f0"/>
            </a:solidFill>
            <a:round/>
          </a:ln>
        </xdr:spPr>
        <xdr:style>
          <a:lnRef idx="0"/>
          <a:fillRef idx="0"/>
          <a:effectRef idx="0"/>
          <a:fontRef idx="minor"/>
        </xdr:style>
      </xdr:sp>
      <xdr:sp>
        <xdr:nvSpPr>
          <xdr:cNvPr id="57" name="Line 252"/>
          <xdr:cNvSpPr/>
        </xdr:nvSpPr>
        <xdr:spPr>
          <a:xfrm flipV="1">
            <a:off x="6667560" y="16188840"/>
            <a:ext cx="1080" cy="597600"/>
          </a:xfrm>
          <a:prstGeom prst="line">
            <a:avLst/>
          </a:prstGeom>
          <a:ln w="9525">
            <a:solidFill>
              <a:srgbClr val="00b0f0"/>
            </a:solidFill>
            <a:round/>
          </a:ln>
        </xdr:spPr>
        <xdr:style>
          <a:lnRef idx="0"/>
          <a:fillRef idx="0"/>
          <a:effectRef idx="0"/>
          <a:fontRef idx="minor"/>
        </xdr:style>
      </xdr:sp>
      <xdr:sp>
        <xdr:nvSpPr>
          <xdr:cNvPr id="58" name="Line 253"/>
          <xdr:cNvSpPr/>
        </xdr:nvSpPr>
        <xdr:spPr>
          <a:xfrm>
            <a:off x="5757480" y="16350840"/>
            <a:ext cx="906120" cy="449640"/>
          </a:xfrm>
          <a:prstGeom prst="line">
            <a:avLst/>
          </a:prstGeom>
          <a:ln w="9525">
            <a:solidFill>
              <a:srgbClr val="00b0f0"/>
            </a:solidFill>
            <a:round/>
          </a:ln>
        </xdr:spPr>
        <xdr:style>
          <a:lnRef idx="0"/>
          <a:fillRef idx="0"/>
          <a:effectRef idx="0"/>
          <a:fontRef idx="minor"/>
        </xdr:style>
      </xdr:sp>
      <xdr:sp>
        <xdr:nvSpPr>
          <xdr:cNvPr id="59" name="Line 254"/>
          <xdr:cNvSpPr/>
        </xdr:nvSpPr>
        <xdr:spPr>
          <a:xfrm flipH="1" flipV="1">
            <a:off x="5765400" y="15325920"/>
            <a:ext cx="902160" cy="866880"/>
          </a:xfrm>
          <a:prstGeom prst="line">
            <a:avLst/>
          </a:prstGeom>
          <a:ln w="9525">
            <a:solidFill>
              <a:srgbClr val="00b0f0"/>
            </a:solidFill>
            <a:round/>
          </a:ln>
        </xdr:spPr>
        <xdr:style>
          <a:lnRef idx="0"/>
          <a:fillRef idx="0"/>
          <a:effectRef idx="0"/>
          <a:fontRef idx="minor"/>
        </xdr:style>
      </xdr:sp>
      <xdr:sp>
        <xdr:nvSpPr>
          <xdr:cNvPr id="60" name="Line 255"/>
          <xdr:cNvSpPr/>
        </xdr:nvSpPr>
        <xdr:spPr>
          <a:xfrm flipH="1" flipV="1">
            <a:off x="4387320" y="16198560"/>
            <a:ext cx="720" cy="597600"/>
          </a:xfrm>
          <a:prstGeom prst="line">
            <a:avLst/>
          </a:prstGeom>
          <a:ln w="9525">
            <a:solidFill>
              <a:srgbClr val="00b0f0"/>
            </a:solidFill>
            <a:round/>
          </a:ln>
        </xdr:spPr>
        <xdr:style>
          <a:lnRef idx="0"/>
          <a:fillRef idx="0"/>
          <a:effectRef idx="0"/>
          <a:fontRef idx="minor"/>
        </xdr:style>
      </xdr:sp>
      <xdr:sp>
        <xdr:nvSpPr>
          <xdr:cNvPr id="61" name="Line 256"/>
          <xdr:cNvSpPr/>
        </xdr:nvSpPr>
        <xdr:spPr>
          <a:xfrm flipH="1">
            <a:off x="4387320" y="16355160"/>
            <a:ext cx="905760" cy="449640"/>
          </a:xfrm>
          <a:prstGeom prst="line">
            <a:avLst/>
          </a:prstGeom>
          <a:ln w="9525">
            <a:solidFill>
              <a:srgbClr val="00b0f0"/>
            </a:solidFill>
            <a:round/>
          </a:ln>
        </xdr:spPr>
        <xdr:style>
          <a:lnRef idx="0"/>
          <a:fillRef idx="0"/>
          <a:effectRef idx="0"/>
          <a:fontRef idx="minor"/>
        </xdr:style>
      </xdr:sp>
      <xdr:sp>
        <xdr:nvSpPr>
          <xdr:cNvPr id="62" name="Line 257"/>
          <xdr:cNvSpPr/>
        </xdr:nvSpPr>
        <xdr:spPr>
          <a:xfrm flipV="1">
            <a:off x="4395240" y="15330240"/>
            <a:ext cx="901800" cy="866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63" name="Line 268"/>
        <xdr:cNvSpPr/>
      </xdr:nvSpPr>
      <xdr:spPr>
        <a:xfrm>
          <a:off x="5142960" y="1392228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179280</xdr:colOff>
      <xdr:row>80</xdr:row>
      <xdr:rowOff>0</xdr:rowOff>
    </xdr:to>
    <xdr:sp>
      <xdr:nvSpPr>
        <xdr:cNvPr id="64" name="Line 269"/>
        <xdr:cNvSpPr/>
      </xdr:nvSpPr>
      <xdr:spPr>
        <a:xfrm>
          <a:off x="4469760" y="13154040"/>
          <a:ext cx="28526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65" name="Line 270"/>
        <xdr:cNvSpPr/>
      </xdr:nvSpPr>
      <xdr:spPr>
        <a:xfrm>
          <a:off x="6897240" y="13166640"/>
          <a:ext cx="0" cy="2165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66" name="Line 271"/>
        <xdr:cNvSpPr/>
      </xdr:nvSpPr>
      <xdr:spPr>
        <a:xfrm>
          <a:off x="4457160" y="1370952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67" name="Line 272"/>
        <xdr:cNvSpPr/>
      </xdr:nvSpPr>
      <xdr:spPr>
        <a:xfrm>
          <a:off x="4469760" y="13154040"/>
          <a:ext cx="0" cy="5554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313200</xdr:colOff>
      <xdr:row>102</xdr:row>
      <xdr:rowOff>95040</xdr:rowOff>
    </xdr:from>
    <xdr:to>
      <xdr:col>9</xdr:col>
      <xdr:colOff>77760</xdr:colOff>
      <xdr:row>102</xdr:row>
      <xdr:rowOff>95040</xdr:rowOff>
    </xdr:to>
    <xdr:sp>
      <xdr:nvSpPr>
        <xdr:cNvPr id="68" name="Line 277"/>
        <xdr:cNvSpPr/>
      </xdr:nvSpPr>
      <xdr:spPr>
        <a:xfrm>
          <a:off x="6981840" y="16792200"/>
          <a:ext cx="2390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69" name="Line 278"/>
        <xdr:cNvSpPr/>
      </xdr:nvSpPr>
      <xdr:spPr>
        <a:xfrm>
          <a:off x="6681240" y="1617336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77760</xdr:colOff>
      <xdr:row>93</xdr:row>
      <xdr:rowOff>75960</xdr:rowOff>
    </xdr:to>
    <xdr:sp>
      <xdr:nvSpPr>
        <xdr:cNvPr id="70" name="Line 279"/>
        <xdr:cNvSpPr/>
      </xdr:nvSpPr>
      <xdr:spPr>
        <a:xfrm>
          <a:off x="4793400" y="15325560"/>
          <a:ext cx="242748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71" name="Line 280"/>
        <xdr:cNvSpPr/>
      </xdr:nvSpPr>
      <xdr:spPr>
        <a:xfrm>
          <a:off x="4793400" y="16344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72" name="Line 281"/>
        <xdr:cNvSpPr/>
      </xdr:nvSpPr>
      <xdr:spPr>
        <a:xfrm>
          <a:off x="4793400" y="15325560"/>
          <a:ext cx="0" cy="10382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98</xdr:row>
      <xdr:rowOff>133200</xdr:rowOff>
    </xdr:from>
    <xdr:to>
      <xdr:col>9</xdr:col>
      <xdr:colOff>14400</xdr:colOff>
      <xdr:row>102</xdr:row>
      <xdr:rowOff>95040</xdr:rowOff>
    </xdr:to>
    <xdr:sp>
      <xdr:nvSpPr>
        <xdr:cNvPr id="73" name="Line 282"/>
        <xdr:cNvSpPr/>
      </xdr:nvSpPr>
      <xdr:spPr>
        <a:xfrm>
          <a:off x="7157520" y="16173360"/>
          <a:ext cx="0" cy="618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93</xdr:row>
      <xdr:rowOff>63360</xdr:rowOff>
    </xdr:from>
    <xdr:to>
      <xdr:col>9</xdr:col>
      <xdr:colOff>14400</xdr:colOff>
      <xdr:row>98</xdr:row>
      <xdr:rowOff>133200</xdr:rowOff>
    </xdr:to>
    <xdr:sp>
      <xdr:nvSpPr>
        <xdr:cNvPr id="74" name="Line 283"/>
        <xdr:cNvSpPr/>
      </xdr:nvSpPr>
      <xdr:spPr>
        <a:xfrm>
          <a:off x="7157520" y="15312960"/>
          <a:ext cx="0" cy="860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75" name="Line 284"/>
        <xdr:cNvSpPr/>
      </xdr:nvSpPr>
      <xdr:spPr>
        <a:xfrm flipV="1">
          <a:off x="6668640" y="16792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76" name="Line 285"/>
        <xdr:cNvSpPr/>
      </xdr:nvSpPr>
      <xdr:spPr>
        <a:xfrm flipV="1">
          <a:off x="5745960" y="16332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7</xdr:col>
      <xdr:colOff>474120</xdr:colOff>
      <xdr:row>103</xdr:row>
      <xdr:rowOff>0</xdr:rowOff>
    </xdr:to>
    <xdr:sp>
      <xdr:nvSpPr>
        <xdr:cNvPr id="77" name="Line 286"/>
        <xdr:cNvSpPr/>
      </xdr:nvSpPr>
      <xdr:spPr>
        <a:xfrm>
          <a:off x="5739840" y="16859160"/>
          <a:ext cx="92880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78" name="Line 287"/>
        <xdr:cNvSpPr/>
      </xdr:nvSpPr>
      <xdr:spPr>
        <a:xfrm>
          <a:off x="5003280" y="1469088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79" name="Line 288"/>
        <xdr:cNvSpPr/>
      </xdr:nvSpPr>
      <xdr:spPr>
        <a:xfrm>
          <a:off x="5307840" y="1527480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80" name="Line 289"/>
        <xdr:cNvSpPr/>
      </xdr:nvSpPr>
      <xdr:spPr>
        <a:xfrm>
          <a:off x="5168160" y="14363280"/>
          <a:ext cx="15447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81" name="Line 290"/>
        <xdr:cNvSpPr/>
      </xdr:nvSpPr>
      <xdr:spPr>
        <a:xfrm>
          <a:off x="5015880" y="14515920"/>
          <a:ext cx="170964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82" name="Line 291"/>
        <xdr:cNvSpPr/>
      </xdr:nvSpPr>
      <xdr:spPr>
        <a:xfrm>
          <a:off x="5015880" y="14932080"/>
          <a:ext cx="17226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83" name="Line 292"/>
        <xdr:cNvSpPr/>
      </xdr:nvSpPr>
      <xdr:spPr>
        <a:xfrm>
          <a:off x="5295240" y="15141240"/>
          <a:ext cx="1417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84" name="Line 293"/>
        <xdr:cNvSpPr/>
      </xdr:nvSpPr>
      <xdr:spPr>
        <a:xfrm>
          <a:off x="6108120" y="13154040"/>
          <a:ext cx="0" cy="1215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85" name="Line 294"/>
        <xdr:cNvSpPr/>
      </xdr:nvSpPr>
      <xdr:spPr>
        <a:xfrm>
          <a:off x="6384960" y="13154040"/>
          <a:ext cx="0" cy="1771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86" name="Line 295"/>
        <xdr:cNvSpPr/>
      </xdr:nvSpPr>
      <xdr:spPr>
        <a:xfrm>
          <a:off x="6712920" y="14363280"/>
          <a:ext cx="0" cy="152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87" name="Line 296"/>
        <xdr:cNvSpPr/>
      </xdr:nvSpPr>
      <xdr:spPr>
        <a:xfrm>
          <a:off x="6712920" y="14932080"/>
          <a:ext cx="0" cy="209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88" name="Line 297"/>
        <xdr:cNvSpPr/>
      </xdr:nvSpPr>
      <xdr:spPr>
        <a:xfrm>
          <a:off x="4317480" y="1392228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89" name="Line 298"/>
        <xdr:cNvSpPr/>
      </xdr:nvSpPr>
      <xdr:spPr>
        <a:xfrm>
          <a:off x="4317480" y="1469088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90" name="Line 299"/>
        <xdr:cNvSpPr/>
      </xdr:nvSpPr>
      <xdr:spPr>
        <a:xfrm>
          <a:off x="4317480" y="1527480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91" name="Line 300"/>
        <xdr:cNvSpPr/>
      </xdr:nvSpPr>
      <xdr:spPr>
        <a:xfrm>
          <a:off x="4317480" y="1579212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92" name="Line 301"/>
        <xdr:cNvSpPr/>
      </xdr:nvSpPr>
      <xdr:spPr>
        <a:xfrm>
          <a:off x="6346800" y="16859160"/>
          <a:ext cx="0" cy="18432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93" name="Line 302"/>
        <xdr:cNvSpPr/>
      </xdr:nvSpPr>
      <xdr:spPr>
        <a:xfrm>
          <a:off x="4317480" y="1340136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8</xdr:col>
      <xdr:colOff>474480</xdr:colOff>
      <xdr:row>83</xdr:row>
      <xdr:rowOff>82440</xdr:rowOff>
    </xdr:to>
    <xdr:sp>
      <xdr:nvSpPr>
        <xdr:cNvPr id="94" name="Line 303"/>
        <xdr:cNvSpPr/>
      </xdr:nvSpPr>
      <xdr:spPr>
        <a:xfrm>
          <a:off x="6095160" y="13741200"/>
          <a:ext cx="1047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8</xdr:col>
      <xdr:colOff>474480</xdr:colOff>
      <xdr:row>85</xdr:row>
      <xdr:rowOff>75960</xdr:rowOff>
    </xdr:to>
    <xdr:sp>
      <xdr:nvSpPr>
        <xdr:cNvPr id="95" name="Line 304"/>
        <xdr:cNvSpPr/>
      </xdr:nvSpPr>
      <xdr:spPr>
        <a:xfrm>
          <a:off x="6384960" y="14068080"/>
          <a:ext cx="7581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8</xdr:col>
      <xdr:colOff>474480</xdr:colOff>
      <xdr:row>87</xdr:row>
      <xdr:rowOff>133200</xdr:rowOff>
    </xdr:to>
    <xdr:sp>
      <xdr:nvSpPr>
        <xdr:cNvPr id="96" name="Line 305"/>
        <xdr:cNvSpPr/>
      </xdr:nvSpPr>
      <xdr:spPr>
        <a:xfrm>
          <a:off x="6712920" y="14439600"/>
          <a:ext cx="4302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97" name="Line 308"/>
        <xdr:cNvSpPr/>
      </xdr:nvSpPr>
      <xdr:spPr>
        <a:xfrm flipH="1">
          <a:off x="6712920" y="15020640"/>
          <a:ext cx="442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98" name="Line 278"/>
        <xdr:cNvSpPr/>
      </xdr:nvSpPr>
      <xdr:spPr>
        <a:xfrm>
          <a:off x="6890760" y="1470960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1146600</xdr:colOff>
      <xdr:row>31</xdr:row>
      <xdr:rowOff>101520</xdr:rowOff>
    </xdr:to>
    <xdr:grpSp>
      <xdr:nvGrpSpPr>
        <xdr:cNvPr id="99" name="Group 232"/>
        <xdr:cNvGrpSpPr/>
      </xdr:nvGrpSpPr>
      <xdr:grpSpPr>
        <a:xfrm>
          <a:off x="13766040" y="183960"/>
          <a:ext cx="2223720" cy="5127840"/>
          <a:chOff x="13766040" y="183960"/>
          <a:chExt cx="2223720" cy="5127840"/>
        </a:xfrm>
      </xdr:grpSpPr>
      <xdr:grpSp>
        <xdr:nvGrpSpPr>
          <xdr:cNvPr id="100" name="Group 233"/>
          <xdr:cNvGrpSpPr/>
        </xdr:nvGrpSpPr>
        <xdr:grpSpPr>
          <a:xfrm>
            <a:off x="14374080" y="183960"/>
            <a:ext cx="498960" cy="3647160"/>
            <a:chOff x="14374080" y="183960"/>
            <a:chExt cx="498960" cy="3647160"/>
          </a:xfrm>
        </xdr:grpSpPr>
        <xdr:sp>
          <xdr:nvSpPr>
            <xdr:cNvPr id="101" name="Arc 234"/>
            <xdr:cNvSpPr/>
          </xdr:nvSpPr>
          <xdr:spPr>
            <a:xfrm flipH="1">
              <a:off x="14523120" y="183960"/>
              <a:ext cx="349920" cy="857520"/>
            </a:xfrm>
            <a:custGeom>
              <a:avLst/>
              <a:gdLst>
                <a:gd name="textAreaLeft" fmla="*/ -360 w 349920"/>
                <a:gd name="textAreaRight" fmla="*/ 350280 w 34992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02" name="Group 235"/>
            <xdr:cNvGrpSpPr/>
          </xdr:nvGrpSpPr>
          <xdr:grpSpPr>
            <a:xfrm>
              <a:off x="14374080" y="1009440"/>
              <a:ext cx="277200" cy="2821680"/>
              <a:chOff x="14374080" y="1009440"/>
              <a:chExt cx="277200" cy="2821680"/>
            </a:xfrm>
          </xdr:grpSpPr>
          <xdr:sp>
            <xdr:nvSpPr>
              <xdr:cNvPr id="103" name="Line 236"/>
              <xdr:cNvSpPr/>
            </xdr:nvSpPr>
            <xdr:spPr>
              <a:xfrm>
                <a:off x="14521680" y="1009440"/>
                <a:ext cx="360" cy="833400"/>
              </a:xfrm>
              <a:prstGeom prst="line">
                <a:avLst/>
              </a:prstGeom>
              <a:ln w="9525">
                <a:solidFill>
                  <a:srgbClr val="00b0f0"/>
                </a:solidFill>
                <a:round/>
              </a:ln>
            </xdr:spPr>
            <xdr:style>
              <a:lnRef idx="0"/>
              <a:fillRef idx="0"/>
              <a:effectRef idx="0"/>
              <a:fontRef idx="minor"/>
            </xdr:style>
          </xdr:sp>
          <xdr:sp>
            <xdr:nvSpPr>
              <xdr:cNvPr id="104" name="Line 237"/>
              <xdr:cNvSpPr/>
            </xdr:nvSpPr>
            <xdr:spPr>
              <a:xfrm flipH="1">
                <a:off x="14374080" y="1842840"/>
                <a:ext cx="147600" cy="226080"/>
              </a:xfrm>
              <a:prstGeom prst="line">
                <a:avLst/>
              </a:prstGeom>
              <a:ln w="9525">
                <a:solidFill>
                  <a:srgbClr val="00b0f0"/>
                </a:solidFill>
                <a:round/>
              </a:ln>
            </xdr:spPr>
            <xdr:style>
              <a:lnRef idx="0"/>
              <a:fillRef idx="0"/>
              <a:effectRef idx="0"/>
              <a:fontRef idx="minor"/>
            </xdr:style>
          </xdr:sp>
          <xdr:sp>
            <xdr:nvSpPr>
              <xdr:cNvPr id="105" name="Line 238"/>
              <xdr:cNvSpPr/>
            </xdr:nvSpPr>
            <xdr:spPr>
              <a:xfrm>
                <a:off x="14374080" y="2068920"/>
                <a:ext cx="360" cy="571680"/>
              </a:xfrm>
              <a:prstGeom prst="line">
                <a:avLst/>
              </a:prstGeom>
              <a:ln w="9525">
                <a:solidFill>
                  <a:srgbClr val="00b0f0"/>
                </a:solidFill>
                <a:round/>
              </a:ln>
            </xdr:spPr>
            <xdr:style>
              <a:lnRef idx="0"/>
              <a:fillRef idx="0"/>
              <a:effectRef idx="0"/>
              <a:fontRef idx="minor"/>
            </xdr:style>
          </xdr:sp>
          <xdr:sp>
            <xdr:nvSpPr>
              <xdr:cNvPr id="106" name="Line 239"/>
              <xdr:cNvSpPr/>
            </xdr:nvSpPr>
            <xdr:spPr>
              <a:xfrm>
                <a:off x="14374080" y="2640600"/>
                <a:ext cx="276840" cy="326520"/>
              </a:xfrm>
              <a:prstGeom prst="line">
                <a:avLst/>
              </a:prstGeom>
              <a:ln w="9525">
                <a:solidFill>
                  <a:srgbClr val="00b0f0"/>
                </a:solidFill>
                <a:round/>
              </a:ln>
            </xdr:spPr>
            <xdr:style>
              <a:lnRef idx="0"/>
              <a:fillRef idx="0"/>
              <a:effectRef idx="0"/>
              <a:fontRef idx="minor"/>
            </xdr:style>
          </xdr:sp>
          <xdr:sp>
            <xdr:nvSpPr>
              <xdr:cNvPr id="107" name="Line 240"/>
              <xdr:cNvSpPr/>
            </xdr:nvSpPr>
            <xdr:spPr>
              <a:xfrm>
                <a:off x="14650920" y="2967120"/>
                <a:ext cx="360" cy="864000"/>
              </a:xfrm>
              <a:prstGeom prst="line">
                <a:avLst/>
              </a:prstGeom>
              <a:ln w="9525">
                <a:solidFill>
                  <a:srgbClr val="00b0f0"/>
                </a:solidFill>
                <a:round/>
              </a:ln>
            </xdr:spPr>
            <xdr:style>
              <a:lnRef idx="0"/>
              <a:fillRef idx="0"/>
              <a:effectRef idx="0"/>
              <a:fontRef idx="minor"/>
            </xdr:style>
          </xdr:sp>
        </xdr:grpSp>
      </xdr:grpSp>
      <xdr:grpSp>
        <xdr:nvGrpSpPr>
          <xdr:cNvPr id="108" name="Group 241"/>
          <xdr:cNvGrpSpPr/>
        </xdr:nvGrpSpPr>
        <xdr:grpSpPr>
          <a:xfrm>
            <a:off x="14872680" y="183960"/>
            <a:ext cx="500400" cy="3647160"/>
            <a:chOff x="14872680" y="183960"/>
            <a:chExt cx="500400" cy="3647160"/>
          </a:xfrm>
        </xdr:grpSpPr>
        <xdr:sp>
          <xdr:nvSpPr>
            <xdr:cNvPr id="109" name="Arc 242"/>
            <xdr:cNvSpPr/>
          </xdr:nvSpPr>
          <xdr:spPr>
            <a:xfrm>
              <a:off x="14872680" y="183960"/>
              <a:ext cx="349920" cy="857520"/>
            </a:xfrm>
            <a:custGeom>
              <a:avLst/>
              <a:gdLst>
                <a:gd name="textAreaLeft" fmla="*/ 0 w 349920"/>
                <a:gd name="textAreaRight" fmla="*/ 350640 w 349920"/>
                <a:gd name="textAreaTop" fmla="*/ 0 h 857520"/>
                <a:gd name="textAreaBottom" fmla="*/ 858240 h 85752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10" name="Group 243"/>
            <xdr:cNvGrpSpPr/>
          </xdr:nvGrpSpPr>
          <xdr:grpSpPr>
            <a:xfrm>
              <a:off x="15095880" y="1009440"/>
              <a:ext cx="277200" cy="2821680"/>
              <a:chOff x="15095880" y="1009440"/>
              <a:chExt cx="277200" cy="2821680"/>
            </a:xfrm>
          </xdr:grpSpPr>
          <xdr:sp>
            <xdr:nvSpPr>
              <xdr:cNvPr id="111" name="Line 244"/>
              <xdr:cNvSpPr/>
            </xdr:nvSpPr>
            <xdr:spPr>
              <a:xfrm>
                <a:off x="15225120" y="1009440"/>
                <a:ext cx="360" cy="833400"/>
              </a:xfrm>
              <a:prstGeom prst="line">
                <a:avLst/>
              </a:prstGeom>
              <a:ln w="9525">
                <a:solidFill>
                  <a:srgbClr val="00b0f0"/>
                </a:solidFill>
                <a:round/>
              </a:ln>
            </xdr:spPr>
            <xdr:style>
              <a:lnRef idx="0"/>
              <a:fillRef idx="0"/>
              <a:effectRef idx="0"/>
              <a:fontRef idx="minor"/>
            </xdr:style>
          </xdr:sp>
          <xdr:sp>
            <xdr:nvSpPr>
              <xdr:cNvPr id="112" name="Line 245"/>
              <xdr:cNvSpPr/>
            </xdr:nvSpPr>
            <xdr:spPr>
              <a:xfrm>
                <a:off x="15225120" y="1842840"/>
                <a:ext cx="147600" cy="226080"/>
              </a:xfrm>
              <a:prstGeom prst="line">
                <a:avLst/>
              </a:prstGeom>
              <a:ln w="9525">
                <a:solidFill>
                  <a:srgbClr val="00b0f0"/>
                </a:solidFill>
                <a:round/>
              </a:ln>
            </xdr:spPr>
            <xdr:style>
              <a:lnRef idx="0"/>
              <a:fillRef idx="0"/>
              <a:effectRef idx="0"/>
              <a:fontRef idx="minor"/>
            </xdr:style>
          </xdr:sp>
          <xdr:sp>
            <xdr:nvSpPr>
              <xdr:cNvPr id="113" name="Line 246"/>
              <xdr:cNvSpPr/>
            </xdr:nvSpPr>
            <xdr:spPr>
              <a:xfrm>
                <a:off x="15372720" y="2068920"/>
                <a:ext cx="360" cy="571680"/>
              </a:xfrm>
              <a:prstGeom prst="line">
                <a:avLst/>
              </a:prstGeom>
              <a:ln w="9525">
                <a:solidFill>
                  <a:srgbClr val="00b0f0"/>
                </a:solidFill>
                <a:round/>
              </a:ln>
            </xdr:spPr>
            <xdr:style>
              <a:lnRef idx="0"/>
              <a:fillRef idx="0"/>
              <a:effectRef idx="0"/>
              <a:fontRef idx="minor"/>
            </xdr:style>
          </xdr:sp>
          <xdr:sp>
            <xdr:nvSpPr>
              <xdr:cNvPr id="114" name="Line 247"/>
              <xdr:cNvSpPr/>
            </xdr:nvSpPr>
            <xdr:spPr>
              <a:xfrm flipH="1">
                <a:off x="15095880" y="2640600"/>
                <a:ext cx="276840" cy="326520"/>
              </a:xfrm>
              <a:prstGeom prst="line">
                <a:avLst/>
              </a:prstGeom>
              <a:ln w="9525">
                <a:solidFill>
                  <a:srgbClr val="00b0f0"/>
                </a:solidFill>
                <a:round/>
              </a:ln>
            </xdr:spPr>
            <xdr:style>
              <a:lnRef idx="0"/>
              <a:fillRef idx="0"/>
              <a:effectRef idx="0"/>
              <a:fontRef idx="minor"/>
            </xdr:style>
          </xdr:sp>
          <xdr:sp>
            <xdr:nvSpPr>
              <xdr:cNvPr id="115" name="Line 248"/>
              <xdr:cNvSpPr/>
            </xdr:nvSpPr>
            <xdr:spPr>
              <a:xfrm>
                <a:off x="15095880" y="2967120"/>
                <a:ext cx="360" cy="864000"/>
              </a:xfrm>
              <a:prstGeom prst="line">
                <a:avLst/>
              </a:prstGeom>
              <a:ln w="9525">
                <a:solidFill>
                  <a:srgbClr val="00b0f0"/>
                </a:solidFill>
                <a:round/>
              </a:ln>
            </xdr:spPr>
            <xdr:style>
              <a:lnRef idx="0"/>
              <a:fillRef idx="0"/>
              <a:effectRef idx="0"/>
              <a:fontRef idx="minor"/>
            </xdr:style>
          </xdr:sp>
        </xdr:grpSp>
      </xdr:grpSp>
      <xdr:sp>
        <xdr:nvSpPr>
          <xdr:cNvPr id="116" name="Line 249"/>
          <xdr:cNvSpPr/>
        </xdr:nvSpPr>
        <xdr:spPr>
          <a:xfrm>
            <a:off x="14650920" y="3683880"/>
            <a:ext cx="1800" cy="1174680"/>
          </a:xfrm>
          <a:prstGeom prst="line">
            <a:avLst/>
          </a:prstGeom>
          <a:ln w="9525">
            <a:solidFill>
              <a:srgbClr val="00b0f0"/>
            </a:solidFill>
            <a:round/>
          </a:ln>
        </xdr:spPr>
        <xdr:style>
          <a:lnRef idx="0"/>
          <a:fillRef idx="0"/>
          <a:effectRef idx="0"/>
          <a:fontRef idx="minor"/>
        </xdr:style>
      </xdr:sp>
      <xdr:sp>
        <xdr:nvSpPr>
          <xdr:cNvPr id="117" name="Line 250"/>
          <xdr:cNvSpPr/>
        </xdr:nvSpPr>
        <xdr:spPr>
          <a:xfrm>
            <a:off x="15095880" y="3683880"/>
            <a:ext cx="360" cy="1174680"/>
          </a:xfrm>
          <a:prstGeom prst="line">
            <a:avLst/>
          </a:prstGeom>
          <a:ln w="9525">
            <a:solidFill>
              <a:srgbClr val="00b0f0"/>
            </a:solidFill>
            <a:round/>
          </a:ln>
        </xdr:spPr>
        <xdr:style>
          <a:lnRef idx="0"/>
          <a:fillRef idx="0"/>
          <a:effectRef idx="0"/>
          <a:fontRef idx="minor"/>
        </xdr:style>
      </xdr:sp>
      <xdr:sp>
        <xdr:nvSpPr>
          <xdr:cNvPr id="118" name="Line 251"/>
          <xdr:cNvSpPr/>
        </xdr:nvSpPr>
        <xdr:spPr>
          <a:xfrm>
            <a:off x="14649120" y="4858560"/>
            <a:ext cx="444600" cy="360"/>
          </a:xfrm>
          <a:prstGeom prst="line">
            <a:avLst/>
          </a:prstGeom>
          <a:ln w="9525">
            <a:solidFill>
              <a:srgbClr val="00b0f0"/>
            </a:solidFill>
            <a:round/>
          </a:ln>
        </xdr:spPr>
        <xdr:style>
          <a:lnRef idx="0"/>
          <a:fillRef idx="0"/>
          <a:effectRef idx="0"/>
          <a:fontRef idx="minor"/>
        </xdr:style>
      </xdr:sp>
      <xdr:sp>
        <xdr:nvSpPr>
          <xdr:cNvPr id="119" name="Line 252"/>
          <xdr:cNvSpPr/>
        </xdr:nvSpPr>
        <xdr:spPr>
          <a:xfrm flipV="1">
            <a:off x="15988680" y="4443480"/>
            <a:ext cx="1080" cy="842400"/>
          </a:xfrm>
          <a:prstGeom prst="line">
            <a:avLst/>
          </a:prstGeom>
          <a:ln w="9525">
            <a:solidFill>
              <a:srgbClr val="00b0f0"/>
            </a:solidFill>
            <a:round/>
          </a:ln>
        </xdr:spPr>
        <xdr:style>
          <a:lnRef idx="0"/>
          <a:fillRef idx="0"/>
          <a:effectRef idx="0"/>
          <a:fontRef idx="minor"/>
        </xdr:style>
      </xdr:sp>
      <xdr:sp>
        <xdr:nvSpPr>
          <xdr:cNvPr id="120" name="Line 253"/>
          <xdr:cNvSpPr/>
        </xdr:nvSpPr>
        <xdr:spPr>
          <a:xfrm>
            <a:off x="15101640" y="4671360"/>
            <a:ext cx="883080" cy="633960"/>
          </a:xfrm>
          <a:prstGeom prst="line">
            <a:avLst/>
          </a:prstGeom>
          <a:ln w="9525">
            <a:solidFill>
              <a:srgbClr val="00b0f0"/>
            </a:solidFill>
            <a:round/>
          </a:ln>
        </xdr:spPr>
        <xdr:style>
          <a:lnRef idx="0"/>
          <a:fillRef idx="0"/>
          <a:effectRef idx="0"/>
          <a:fontRef idx="minor"/>
        </xdr:style>
      </xdr:sp>
      <xdr:sp>
        <xdr:nvSpPr>
          <xdr:cNvPr id="121" name="Line 254"/>
          <xdr:cNvSpPr/>
        </xdr:nvSpPr>
        <xdr:spPr>
          <a:xfrm flipH="1" flipV="1">
            <a:off x="15109560" y="3227400"/>
            <a:ext cx="879120" cy="1221480"/>
          </a:xfrm>
          <a:prstGeom prst="line">
            <a:avLst/>
          </a:prstGeom>
          <a:ln w="9525">
            <a:solidFill>
              <a:srgbClr val="00b0f0"/>
            </a:solidFill>
            <a:round/>
          </a:ln>
        </xdr:spPr>
        <xdr:style>
          <a:lnRef idx="0"/>
          <a:fillRef idx="0"/>
          <a:effectRef idx="0"/>
          <a:fontRef idx="minor"/>
        </xdr:style>
      </xdr:sp>
      <xdr:sp>
        <xdr:nvSpPr>
          <xdr:cNvPr id="122" name="Line 255"/>
          <xdr:cNvSpPr/>
        </xdr:nvSpPr>
        <xdr:spPr>
          <a:xfrm flipH="1" flipV="1">
            <a:off x="13766040" y="4456800"/>
            <a:ext cx="720" cy="842400"/>
          </a:xfrm>
          <a:prstGeom prst="line">
            <a:avLst/>
          </a:prstGeom>
          <a:ln w="9525">
            <a:solidFill>
              <a:srgbClr val="00b0f0"/>
            </a:solidFill>
            <a:round/>
          </a:ln>
        </xdr:spPr>
        <xdr:style>
          <a:lnRef idx="0"/>
          <a:fillRef idx="0"/>
          <a:effectRef idx="0"/>
          <a:fontRef idx="minor"/>
        </xdr:style>
      </xdr:sp>
      <xdr:sp>
        <xdr:nvSpPr>
          <xdr:cNvPr id="123" name="Line 256"/>
          <xdr:cNvSpPr/>
        </xdr:nvSpPr>
        <xdr:spPr>
          <a:xfrm flipH="1">
            <a:off x="13766040" y="4677840"/>
            <a:ext cx="883080" cy="633960"/>
          </a:xfrm>
          <a:prstGeom prst="line">
            <a:avLst/>
          </a:prstGeom>
          <a:ln w="9525">
            <a:solidFill>
              <a:srgbClr val="00b0f0"/>
            </a:solidFill>
            <a:round/>
          </a:ln>
        </xdr:spPr>
        <xdr:style>
          <a:lnRef idx="0"/>
          <a:fillRef idx="0"/>
          <a:effectRef idx="0"/>
          <a:fontRef idx="minor"/>
        </xdr:style>
      </xdr:sp>
      <xdr:sp>
        <xdr:nvSpPr>
          <xdr:cNvPr id="124" name="Line 257"/>
          <xdr:cNvSpPr/>
        </xdr:nvSpPr>
        <xdr:spPr>
          <a:xfrm flipV="1">
            <a:off x="13773600" y="3233520"/>
            <a:ext cx="87912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25" name="Line 268"/>
        <xdr:cNvSpPr/>
      </xdr:nvSpPr>
      <xdr:spPr>
        <a:xfrm>
          <a:off x="14527800" y="2025720"/>
          <a:ext cx="68364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26" name="Line 269"/>
        <xdr:cNvSpPr/>
      </xdr:nvSpPr>
      <xdr:spPr>
        <a:xfrm>
          <a:off x="13784760" y="183960"/>
          <a:ext cx="25412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27" name="Line 270"/>
        <xdr:cNvSpPr/>
      </xdr:nvSpPr>
      <xdr:spPr>
        <a:xfrm>
          <a:off x="1589724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28" name="Line 271"/>
        <xdr:cNvSpPr/>
      </xdr:nvSpPr>
      <xdr:spPr>
        <a:xfrm>
          <a:off x="13816800" y="1904760"/>
          <a:ext cx="14389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29" name="Line 272"/>
        <xdr:cNvSpPr/>
      </xdr:nvSpPr>
      <xdr:spPr>
        <a:xfrm>
          <a:off x="1384848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30" name="Line 277"/>
        <xdr:cNvSpPr/>
      </xdr:nvSpPr>
      <xdr:spPr>
        <a:xfrm>
          <a:off x="13111200" y="5305320"/>
          <a:ext cx="667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31" name="Line 280"/>
        <xdr:cNvSpPr/>
      </xdr:nvSpPr>
      <xdr:spPr>
        <a:xfrm>
          <a:off x="1503972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32" name="Line 281"/>
        <xdr:cNvSpPr/>
      </xdr:nvSpPr>
      <xdr:spPr>
        <a:xfrm>
          <a:off x="1420416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33" name="Line 282"/>
        <xdr:cNvSpPr/>
      </xdr:nvSpPr>
      <xdr:spPr>
        <a:xfrm flipH="1">
          <a:off x="1318752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34" name="Line 283"/>
        <xdr:cNvSpPr/>
      </xdr:nvSpPr>
      <xdr:spPr>
        <a:xfrm>
          <a:off x="1360656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35" name="Line 284"/>
        <xdr:cNvSpPr/>
      </xdr:nvSpPr>
      <xdr:spPr>
        <a:xfrm flipV="1">
          <a:off x="1376604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36" name="Line 285"/>
        <xdr:cNvSpPr/>
      </xdr:nvSpPr>
      <xdr:spPr>
        <a:xfrm flipV="1">
          <a:off x="1464228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37" name="Line 286"/>
        <xdr:cNvSpPr/>
      </xdr:nvSpPr>
      <xdr:spPr>
        <a:xfrm>
          <a:off x="1378476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38" name="Line 287"/>
        <xdr:cNvSpPr/>
      </xdr:nvSpPr>
      <xdr:spPr>
        <a:xfrm>
          <a:off x="14362920" y="2800080"/>
          <a:ext cx="99432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39" name="Line 289"/>
        <xdr:cNvSpPr/>
      </xdr:nvSpPr>
      <xdr:spPr>
        <a:xfrm>
          <a:off x="14527800" y="2545920"/>
          <a:ext cx="1480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40" name="Line 290"/>
        <xdr:cNvSpPr/>
      </xdr:nvSpPr>
      <xdr:spPr>
        <a:xfrm>
          <a:off x="14375520" y="2707920"/>
          <a:ext cx="1658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41" name="Line 291"/>
        <xdr:cNvSpPr/>
      </xdr:nvSpPr>
      <xdr:spPr>
        <a:xfrm>
          <a:off x="14362920" y="3137040"/>
          <a:ext cx="1671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42" name="Line 292"/>
        <xdr:cNvSpPr/>
      </xdr:nvSpPr>
      <xdr:spPr>
        <a:xfrm>
          <a:off x="14642280" y="3368520"/>
          <a:ext cx="13600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1146960</xdr:colOff>
      <xdr:row>14</xdr:row>
      <xdr:rowOff>126720</xdr:rowOff>
    </xdr:to>
    <xdr:sp>
      <xdr:nvSpPr>
        <xdr:cNvPr id="143" name="Line 293"/>
        <xdr:cNvSpPr/>
      </xdr:nvSpPr>
      <xdr:spPr>
        <a:xfrm flipH="1">
          <a:off x="14832720" y="171360"/>
          <a:ext cx="1044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44" name="Line 294"/>
        <xdr:cNvSpPr/>
      </xdr:nvSpPr>
      <xdr:spPr>
        <a:xfrm>
          <a:off x="1503360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45" name="Line 295"/>
        <xdr:cNvSpPr/>
      </xdr:nvSpPr>
      <xdr:spPr>
        <a:xfrm>
          <a:off x="1600848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46" name="Line 296"/>
        <xdr:cNvSpPr/>
      </xdr:nvSpPr>
      <xdr:spPr>
        <a:xfrm>
          <a:off x="1600236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47" name="Line 297"/>
        <xdr:cNvSpPr/>
      </xdr:nvSpPr>
      <xdr:spPr>
        <a:xfrm>
          <a:off x="1369620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48" name="Line 298"/>
        <xdr:cNvSpPr/>
      </xdr:nvSpPr>
      <xdr:spPr>
        <a:xfrm>
          <a:off x="1369620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49" name="Line 301"/>
        <xdr:cNvSpPr/>
      </xdr:nvSpPr>
      <xdr:spPr>
        <a:xfrm>
          <a:off x="1421028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50" name="Line 302"/>
        <xdr:cNvSpPr/>
      </xdr:nvSpPr>
      <xdr:spPr>
        <a:xfrm>
          <a:off x="1369620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624600</xdr:colOff>
      <xdr:row>10</xdr:row>
      <xdr:rowOff>88560</xdr:rowOff>
    </xdr:from>
    <xdr:to>
      <xdr:col>19</xdr:col>
      <xdr:colOff>820080</xdr:colOff>
      <xdr:row>10</xdr:row>
      <xdr:rowOff>88560</xdr:rowOff>
    </xdr:to>
    <xdr:sp>
      <xdr:nvSpPr>
        <xdr:cNvPr id="151" name="Line 303"/>
        <xdr:cNvSpPr/>
      </xdr:nvSpPr>
      <xdr:spPr>
        <a:xfrm>
          <a:off x="15467760" y="1841040"/>
          <a:ext cx="1342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820080</xdr:colOff>
      <xdr:row>12</xdr:row>
      <xdr:rowOff>75960</xdr:rowOff>
    </xdr:to>
    <xdr:sp>
      <xdr:nvSpPr>
        <xdr:cNvPr id="152" name="Line 304"/>
        <xdr:cNvSpPr/>
      </xdr:nvSpPr>
      <xdr:spPr>
        <a:xfrm>
          <a:off x="15033600" y="2171520"/>
          <a:ext cx="17762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53" name="Line 305"/>
        <xdr:cNvSpPr/>
      </xdr:nvSpPr>
      <xdr:spPr>
        <a:xfrm>
          <a:off x="1600848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54" name="Line 308"/>
        <xdr:cNvSpPr/>
      </xdr:nvSpPr>
      <xdr:spPr>
        <a:xfrm flipH="1">
          <a:off x="1600848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55" name="Line 310"/>
        <xdr:cNvSpPr/>
      </xdr:nvSpPr>
      <xdr:spPr>
        <a:xfrm>
          <a:off x="12869280" y="4784400"/>
          <a:ext cx="33084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56" name="Line 277"/>
        <xdr:cNvSpPr/>
      </xdr:nvSpPr>
      <xdr:spPr>
        <a:xfrm>
          <a:off x="13111200" y="4651200"/>
          <a:ext cx="6548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57" name="Line 280"/>
        <xdr:cNvSpPr/>
      </xdr:nvSpPr>
      <xdr:spPr>
        <a:xfrm>
          <a:off x="14108760" y="4822560"/>
          <a:ext cx="1963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58" name="Line 280"/>
        <xdr:cNvSpPr/>
      </xdr:nvSpPr>
      <xdr:spPr>
        <a:xfrm>
          <a:off x="1500804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158040</xdr:colOff>
      <xdr:row>30</xdr:row>
      <xdr:rowOff>43560</xdr:rowOff>
    </xdr:to>
    <xdr:sp>
      <xdr:nvSpPr>
        <xdr:cNvPr id="159" name="Rectangle 139"/>
        <xdr:cNvSpPr/>
      </xdr:nvSpPr>
      <xdr:spPr>
        <a:xfrm>
          <a:off x="14743800" y="3390840"/>
          <a:ext cx="257400" cy="169128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60" name="Line 270"/>
        <xdr:cNvSpPr/>
      </xdr:nvSpPr>
      <xdr:spPr>
        <a:xfrm>
          <a:off x="1577016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61" name="Line 301"/>
        <xdr:cNvSpPr/>
      </xdr:nvSpPr>
      <xdr:spPr>
        <a:xfrm>
          <a:off x="1370880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162" name="Line 270"/>
        <xdr:cNvSpPr/>
      </xdr:nvSpPr>
      <xdr:spPr>
        <a:xfrm>
          <a:off x="1563048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11.36328125" defaultRowHeight="12.75" zeroHeight="false" outlineLevelRow="0" outlineLevelCol="0"/>
  <cols>
    <col collapsed="false" customWidth="true" hidden="false" outlineLevel="0" max="1" min="1" style="1" width="2.18"/>
    <col collapsed="false" customWidth="true" hidden="false" outlineLevel="0" max="2" min="2" style="1" width="16.27"/>
    <col collapsed="false" customWidth="true" hidden="false" outlineLevel="0" max="3" min="3" style="2" width="12.82"/>
    <col collapsed="false" customWidth="true" hidden="false" outlineLevel="0" max="4" min="4" style="1" width="12.82"/>
    <col collapsed="false" customWidth="true" hidden="false" outlineLevel="0" max="5" min="5" style="3" width="4.18"/>
    <col collapsed="false" customWidth="true" hidden="false" outlineLevel="0" max="6" min="6" style="4" width="10.18"/>
    <col collapsed="false" customWidth="true" hidden="false" outlineLevel="0" max="7" min="7" style="4" width="10"/>
    <col collapsed="false" customWidth="true" hidden="false" outlineLevel="0" max="9" min="8" style="4" width="8.63"/>
    <col collapsed="false" customWidth="true" hidden="false" outlineLevel="0" max="10" min="10" style="1" width="5.36"/>
    <col collapsed="false" customWidth="true" hidden="false" outlineLevel="0" max="11" min="11" style="1" width="2.18"/>
    <col collapsed="false" customWidth="true" hidden="false" outlineLevel="0" max="12" min="12" style="1" width="17"/>
    <col collapsed="false" customWidth="true" hidden="false" outlineLevel="0" max="13" min="13" style="1" width="8.63"/>
    <col collapsed="false" customWidth="true" hidden="false" outlineLevel="0" max="15" min="14" style="1" width="4.27"/>
    <col collapsed="false" customWidth="true" hidden="false" outlineLevel="0" max="16" min="16" style="1" width="8.63"/>
    <col collapsed="false" customWidth="true" hidden="false" outlineLevel="0" max="18" min="17" style="1" width="2.18"/>
    <col collapsed="false" customWidth="false" hidden="false" outlineLevel="0" max="16384" min="19" style="1" width="11.36"/>
  </cols>
  <sheetData>
    <row r="1" customFormat="false" ht="12.75" hidden="false" customHeight="true" outlineLevel="0" collapsed="false">
      <c r="A1" s="5"/>
      <c r="B1" s="6"/>
      <c r="C1" s="7"/>
      <c r="D1" s="6"/>
      <c r="E1" s="8"/>
      <c r="F1" s="9"/>
      <c r="G1" s="9"/>
      <c r="H1" s="9"/>
      <c r="I1" s="9"/>
      <c r="J1" s="6"/>
      <c r="K1" s="6"/>
      <c r="L1" s="6"/>
      <c r="M1" s="6"/>
      <c r="N1" s="6"/>
      <c r="O1" s="6"/>
      <c r="P1" s="6"/>
      <c r="Q1" s="10"/>
      <c r="R1" s="11"/>
    </row>
    <row r="2" customFormat="false" ht="12.75" hidden="false" customHeight="true" outlineLevel="0" collapsed="false">
      <c r="A2" s="12"/>
      <c r="B2" s="11"/>
      <c r="C2" s="13" t="s">
        <v>0</v>
      </c>
      <c r="D2" s="13"/>
      <c r="E2" s="14"/>
      <c r="F2" s="15"/>
      <c r="G2" s="15"/>
      <c r="H2" s="15"/>
      <c r="I2" s="15"/>
      <c r="J2" s="11"/>
      <c r="K2" s="11"/>
      <c r="L2" s="16" t="str">
        <f aca="false">"Language/Langue"</f>
        <v>Language/Langue</v>
      </c>
      <c r="M2" s="17" t="s">
        <v>1</v>
      </c>
      <c r="N2" s="17"/>
      <c r="O2" s="17"/>
      <c r="P2" s="17"/>
      <c r="Q2" s="18"/>
      <c r="R2" s="11"/>
    </row>
    <row r="3" customFormat="false" ht="12.75" hidden="false" customHeight="true" outlineLevel="0" collapsed="false">
      <c r="A3" s="12"/>
      <c r="B3" s="11"/>
      <c r="C3" s="13"/>
      <c r="D3" s="13"/>
      <c r="E3" s="14"/>
      <c r="F3" s="15"/>
      <c r="G3" s="15"/>
      <c r="H3" s="15"/>
      <c r="I3" s="15"/>
      <c r="J3" s="11"/>
      <c r="K3" s="11"/>
      <c r="L3" s="19"/>
      <c r="M3" s="19"/>
      <c r="N3" s="19"/>
      <c r="O3" s="11"/>
      <c r="P3" s="11"/>
      <c r="Q3" s="18"/>
      <c r="R3" s="11"/>
    </row>
    <row r="4" customFormat="false" ht="12.75" hidden="false" customHeight="true" outlineLevel="0" collapsed="false">
      <c r="A4" s="12"/>
      <c r="B4" s="11"/>
      <c r="C4" s="20" t="str">
        <f aca="false">IF(Lang="Français","Stabilité de fusée à ailerons",IF(Lang="English","Stability for rocket with fins",""))</f>
        <v>Stabilité de fusée à ailerons</v>
      </c>
      <c r="D4" s="20"/>
      <c r="E4" s="14"/>
      <c r="F4" s="15"/>
      <c r="G4" s="15"/>
      <c r="H4" s="15"/>
      <c r="I4" s="15"/>
      <c r="J4" s="11"/>
      <c r="K4" s="11"/>
      <c r="L4" s="21"/>
      <c r="M4" s="17" t="s">
        <v>2</v>
      </c>
      <c r="N4" s="17"/>
      <c r="O4" s="17"/>
      <c r="P4" s="17"/>
      <c r="Q4" s="18"/>
      <c r="R4" s="11"/>
    </row>
    <row r="5" customFormat="false" ht="12.75" hidden="false" customHeight="true" outlineLevel="0" collapsed="false">
      <c r="A5" s="12"/>
      <c r="B5" s="22"/>
      <c r="C5" s="23"/>
      <c r="D5" s="23"/>
      <c r="E5" s="14"/>
      <c r="F5" s="15"/>
      <c r="G5" s="15"/>
      <c r="H5" s="15"/>
      <c r="I5" s="15"/>
      <c r="J5" s="11"/>
      <c r="K5" s="11"/>
      <c r="L5" s="21"/>
      <c r="M5" s="24" t="s">
        <v>3</v>
      </c>
      <c r="N5" s="24"/>
      <c r="O5" s="24" t="s">
        <v>4</v>
      </c>
      <c r="P5" s="24"/>
      <c r="Q5" s="25"/>
      <c r="R5" s="11"/>
    </row>
    <row r="6" customFormat="false" ht="12.75" hidden="false" customHeight="true" outlineLevel="0" collapsed="false">
      <c r="A6" s="12"/>
      <c r="B6" s="19"/>
      <c r="C6" s="26" t="str">
        <f aca="false">IF(Lang="Français","Remplir les cases jaunes",IF(Lang="English","Fill-in yellow cells only",""))</f>
        <v>Remplir les cases jaunes</v>
      </c>
      <c r="D6" s="26"/>
      <c r="E6" s="14"/>
      <c r="F6" s="15"/>
      <c r="G6" s="15"/>
      <c r="H6" s="15"/>
      <c r="I6" s="15"/>
      <c r="J6" s="11"/>
      <c r="K6" s="11"/>
      <c r="L6" s="27" t="str">
        <f aca="false">IF(Lang="Français","Longueur      'L'",IF(Lang="English","Length      'L'",""))</f>
        <v>Longueur      'L'</v>
      </c>
      <c r="M6" s="28" t="n">
        <v>50</v>
      </c>
      <c r="N6" s="28"/>
      <c r="O6" s="28" t="n">
        <v>50</v>
      </c>
      <c r="P6" s="28"/>
      <c r="Q6" s="25"/>
      <c r="R6" s="11"/>
    </row>
    <row r="7" customFormat="false" ht="12.75" hidden="false" customHeight="true" outlineLevel="0" collapsed="false">
      <c r="A7" s="12"/>
      <c r="B7" s="29"/>
      <c r="C7" s="30" t="str">
        <f aca="false">IF(Lang="Français","Fusée",IF(Lang="English","Rocket",""))</f>
        <v>Fusée</v>
      </c>
      <c r="D7" s="30"/>
      <c r="E7" s="14"/>
      <c r="F7" s="15"/>
      <c r="G7" s="15"/>
      <c r="H7" s="15"/>
      <c r="I7" s="15"/>
      <c r="J7" s="11"/>
      <c r="K7" s="11"/>
      <c r="L7" s="27" t="str">
        <f aca="false">IF(Lang="Français","Diamètre     'D1'",IF(Lang="English","Diameter 'D1'",""))</f>
        <v>Diamètre     'D1'</v>
      </c>
      <c r="M7" s="28" t="n">
        <f aca="false">D_og</f>
        <v>59</v>
      </c>
      <c r="N7" s="28"/>
      <c r="O7" s="28" t="n">
        <f aca="false">D2j</f>
        <v>80</v>
      </c>
      <c r="P7" s="28"/>
      <c r="Q7" s="25"/>
      <c r="R7" s="11"/>
    </row>
    <row r="8" customFormat="false" ht="12.75" hidden="false" customHeight="true" outlineLevel="0" collapsed="false">
      <c r="A8" s="12"/>
      <c r="B8" s="31" t="str">
        <f aca="false">IF(Lang="Français","Nom",IF(Lang="English","Name",""))</f>
        <v>Nom</v>
      </c>
      <c r="C8" s="32" t="s">
        <v>5</v>
      </c>
      <c r="D8" s="32"/>
      <c r="E8" s="33"/>
      <c r="F8" s="15"/>
      <c r="G8" s="15"/>
      <c r="H8" s="15"/>
      <c r="I8" s="15"/>
      <c r="J8" s="11"/>
      <c r="K8" s="21"/>
      <c r="L8" s="27" t="str">
        <f aca="false">IF(Lang="Français","Diamètre     'D2'",IF(Lang="English","Diameter 'D2'",""))</f>
        <v>Diamètre     'D2'</v>
      </c>
      <c r="M8" s="28" t="n">
        <v>80</v>
      </c>
      <c r="N8" s="28"/>
      <c r="O8" s="28" t="n">
        <f aca="false">D_og</f>
        <v>59</v>
      </c>
      <c r="P8" s="28"/>
      <c r="Q8" s="25"/>
      <c r="R8" s="11"/>
    </row>
    <row r="9" customFormat="false" ht="12.75" hidden="false" customHeight="true" outlineLevel="0" collapsed="false">
      <c r="A9" s="12"/>
      <c r="B9" s="31" t="s">
        <v>6</v>
      </c>
      <c r="C9" s="34" t="s">
        <v>7</v>
      </c>
      <c r="D9" s="34"/>
      <c r="E9" s="33"/>
      <c r="F9" s="15"/>
      <c r="G9" s="15"/>
      <c r="H9" s="15"/>
      <c r="I9" s="15"/>
      <c r="J9" s="11"/>
      <c r="K9" s="21"/>
      <c r="L9" s="27" t="str">
        <f aca="false">IF(Lang="Français","Implantation 'x'",IF(Lang="English","Basement 'x'",""))</f>
        <v>Implantation 'x'</v>
      </c>
      <c r="M9" s="28" t="n">
        <v>300</v>
      </c>
      <c r="N9" s="28"/>
      <c r="O9" s="28" t="n">
        <v>500</v>
      </c>
      <c r="P9" s="28"/>
      <c r="Q9" s="25"/>
      <c r="R9" s="11"/>
    </row>
    <row r="10" customFormat="false" ht="12.75" hidden="false" customHeight="true" outlineLevel="0" collapsed="false">
      <c r="A10" s="12"/>
      <c r="B10" s="24" t="s">
        <v>8</v>
      </c>
      <c r="C10" s="17" t="s">
        <v>9</v>
      </c>
      <c r="D10" s="17"/>
      <c r="E10" s="33"/>
      <c r="F10" s="15"/>
      <c r="G10" s="15"/>
      <c r="H10" s="15"/>
      <c r="I10" s="15"/>
      <c r="J10" s="11"/>
      <c r="K10" s="21"/>
      <c r="L10" s="11"/>
      <c r="M10" s="11"/>
      <c r="N10" s="11"/>
      <c r="O10" s="11"/>
      <c r="P10" s="11"/>
      <c r="Q10" s="25"/>
      <c r="R10" s="11"/>
    </row>
    <row r="11" customFormat="false" ht="12.75" hidden="false" customHeight="true" outlineLevel="0" collapsed="false">
      <c r="A11" s="12"/>
      <c r="B11" s="24" t="str">
        <f aca="false">IF(Lang="Français","Masse",IF(Lang="English","Weight",""))</f>
        <v>Masse</v>
      </c>
      <c r="C11" s="35" t="n">
        <v>1400</v>
      </c>
      <c r="D11" s="36" t="s">
        <v>10</v>
      </c>
      <c r="E11" s="33"/>
      <c r="F11" s="15"/>
      <c r="G11" s="15"/>
      <c r="H11" s="15"/>
      <c r="I11" s="15"/>
      <c r="J11" s="11"/>
      <c r="K11" s="21"/>
      <c r="L11" s="37"/>
      <c r="M11" s="38" t="str">
        <f aca="false">IF(Lang="Français","Propu plein",IF(Lang="English","Loaded Motor",""))</f>
        <v>Propu plein</v>
      </c>
      <c r="N11" s="38" t="str">
        <f aca="false">IF(Lang="Français","Propu vide",IF(Lang="English","Empty Motor",""))</f>
        <v>Propu vide</v>
      </c>
      <c r="O11" s="38"/>
      <c r="P11" s="38" t="str">
        <f aca="false">IF(Lang="Français","Sans propu",IF(Lang="English","Without M",""))</f>
        <v>Sans propu</v>
      </c>
      <c r="Q11" s="25"/>
      <c r="R11" s="11"/>
      <c r="S11" s="39"/>
      <c r="T11" s="40" t="str">
        <f aca="false">IF(Lang="Français","Propulseur",IF(Lang="English","Motor",""))</f>
        <v>Propulseur</v>
      </c>
    </row>
    <row r="12" customFormat="false" ht="12.75" hidden="false" customHeight="true" outlineLevel="0" collapsed="false">
      <c r="A12" s="12"/>
      <c r="B12" s="24" t="str">
        <f aca="false">IF(Lang="Français","Centre de Masse",IF(Lang="English","Center of Mass",""))</f>
        <v>Centre de Masse</v>
      </c>
      <c r="C12" s="28" t="n">
        <v>800</v>
      </c>
      <c r="D12" s="36" t="s">
        <v>10</v>
      </c>
      <c r="E12" s="14"/>
      <c r="F12" s="15"/>
      <c r="G12" s="15"/>
      <c r="H12" s="15"/>
      <c r="I12" s="15"/>
      <c r="J12" s="11"/>
      <c r="K12" s="11"/>
      <c r="L12" s="41" t="str">
        <f aca="false">IF(Lang="Français","Masse propu",IF(Lang="English","Motor Mass",""))</f>
        <v>Masse propu</v>
      </c>
      <c r="M12" s="42" t="n">
        <f aca="false">MpropuPlein</f>
        <v>0.1599</v>
      </c>
      <c r="N12" s="42" t="n">
        <f aca="false">MpropuVide</f>
        <v>0.0843</v>
      </c>
      <c r="O12" s="42"/>
      <c r="P12" s="43" t="s">
        <v>11</v>
      </c>
      <c r="Q12" s="25"/>
      <c r="R12" s="11"/>
      <c r="S12" s="40" t="str">
        <f aca="false">IF(Lang="Français","Haut",IF(Lang="English","Top",""))</f>
        <v>Haut</v>
      </c>
      <c r="T12" s="44" t="n">
        <f aca="false">XpropuRef-Long_propu</f>
        <v>972</v>
      </c>
    </row>
    <row r="13" customFormat="false" ht="12.75" hidden="false" customHeight="true" outlineLevel="0" collapsed="false">
      <c r="A13" s="12"/>
      <c r="B13" s="24" t="str">
        <f aca="false">IF(Lang="Français","Longueur totale",IF(Lang="English","Total length",""))</f>
        <v>Longueur totale</v>
      </c>
      <c r="C13" s="28" t="n">
        <v>1200</v>
      </c>
      <c r="D13" s="28"/>
      <c r="E13" s="14"/>
      <c r="F13" s="15"/>
      <c r="G13" s="15"/>
      <c r="H13" s="15"/>
      <c r="I13" s="15"/>
      <c r="J13" s="11"/>
      <c r="K13" s="11"/>
      <c r="L13" s="41" t="str">
        <f aca="false">IF(Lang="Français","CdM propu",IF(Lang="English","Motor CoM",""))</f>
        <v>CdM propu</v>
      </c>
      <c r="M13" s="44" t="n">
        <f aca="false">XpropuPlein</f>
        <v>114</v>
      </c>
      <c r="N13" s="44" t="n">
        <f aca="false">XpropuVide</f>
        <v>114</v>
      </c>
      <c r="O13" s="44"/>
      <c r="P13" s="43" t="s">
        <v>11</v>
      </c>
      <c r="Q13" s="25"/>
      <c r="R13" s="11"/>
      <c r="S13" s="40" t="str">
        <f aca="false">IF(Lang="Français","Longueur",IF(Lang="English","Length",""))</f>
        <v>Longueur</v>
      </c>
      <c r="T13" s="44" t="n">
        <f aca="false">Long_propu</f>
        <v>228</v>
      </c>
    </row>
    <row r="14" customFormat="false" ht="12.75" hidden="false" customHeight="true" outlineLevel="0" collapsed="false">
      <c r="A14" s="12"/>
      <c r="B14" s="27" t="str">
        <f aca="false">IF(Lang="Français","Diamètre Réf.",IF(Lang="English","Ref. Diameter",""))</f>
        <v>Diamètre Réf.</v>
      </c>
      <c r="C14" s="28" t="n">
        <f aca="false">D_og</f>
        <v>59</v>
      </c>
      <c r="D14" s="28"/>
      <c r="E14" s="14"/>
      <c r="F14" s="15"/>
      <c r="G14" s="15"/>
      <c r="H14" s="15"/>
      <c r="I14" s="15"/>
      <c r="J14" s="11"/>
      <c r="K14" s="11"/>
      <c r="L14" s="41" t="str">
        <f aca="false">IF(Lang="Français","Masse fusée",IF(Lang="English","Rocket Mass",""))</f>
        <v>Masse fusée</v>
      </c>
      <c r="M14" s="45" t="n">
        <f aca="false">MasseSans+MpropuPlein</f>
        <v>1.5599</v>
      </c>
      <c r="N14" s="45" t="n">
        <f aca="false">MasseSans+MpropuVide</f>
        <v>1.4843</v>
      </c>
      <c r="O14" s="45"/>
      <c r="P14" s="42" t="n">
        <f aca="false">IF(OR(D11="sans propu",D11="without motor"),C11/1000,IF(OR(D11="avec propu vide",D11="with empty motor"),C11/1000-MpropuVide,IF(OR(D11="avec propu plein",D11="with loaded motor"),C11/1000-MpropuPlein,"Erreur")))</f>
        <v>1.4</v>
      </c>
      <c r="Q14" s="25"/>
      <c r="R14" s="11"/>
      <c r="S14" s="40" t="str">
        <f aca="false">IF(Lang="Français","Bas",IF(Lang="English","Base",""))</f>
        <v>Bas</v>
      </c>
      <c r="T14" s="44" t="n">
        <f aca="false">XpropuRef</f>
        <v>1200</v>
      </c>
    </row>
    <row r="15" customFormat="false" ht="12.75" hidden="false" customHeight="true" outlineLevel="0" collapsed="false">
      <c r="A15" s="12"/>
      <c r="B15" s="11"/>
      <c r="C15" s="29"/>
      <c r="D15" s="29"/>
      <c r="E15" s="14"/>
      <c r="F15" s="15"/>
      <c r="G15" s="15"/>
      <c r="H15" s="15"/>
      <c r="I15" s="15"/>
      <c r="J15" s="11"/>
      <c r="K15" s="11"/>
      <c r="L15" s="46" t="str">
        <f aca="false">IF(Lang="Français","CdM fusée",IF(Lang="English","Rocket CoM",""))</f>
        <v>CdM fusée</v>
      </c>
      <c r="M15" s="47" t="n">
        <f aca="false">(XcgSans*MasseSans+(XpropuRef-Long_propu+XpropuPlein)*MpropuPlein)/MassePlein</f>
        <v>829.316879287134</v>
      </c>
      <c r="N15" s="47" t="n">
        <f aca="false">(XcgSans*MasseSans+(XpropuRef-Long_propu+XpropuVide)*MpropuVide)/MasseVide</f>
        <v>816.243212288621</v>
      </c>
      <c r="O15" s="47"/>
      <c r="P15" s="48" t="n">
        <f aca="false">IF(OR(D12="sans propu",D12="without motor"),C12,IF(OR(D12="avec propu vide",D12="with empty motor"),(C12*MasseVide-(XpropuRef-Long_propu+XpropuVide)*MpropuVide)/MasseSans,IF(OR(D12="avec propu plein",D12="with loaded motor"),(C12*MassePlein-(XpropuRef-Long_propu+XpropuPlein)*MpropuPlein)/MasseSans,"Erreur")))</f>
        <v>800</v>
      </c>
      <c r="Q15" s="25"/>
      <c r="R15" s="11"/>
    </row>
    <row r="16" customFormat="false" ht="12.75" hidden="false" customHeight="true" outlineLevel="0" collapsed="false">
      <c r="A16" s="12"/>
      <c r="B16" s="11"/>
      <c r="C16" s="49" t="str">
        <f aca="false">IF(Lang="Français","Propulseur",IF(Lang="English","Motor",""))</f>
        <v>Propulseur</v>
      </c>
      <c r="D16" s="49"/>
      <c r="E16" s="14"/>
      <c r="F16" s="15"/>
      <c r="G16" s="15"/>
      <c r="H16" s="15"/>
      <c r="I16" s="15"/>
      <c r="J16" s="11"/>
      <c r="K16" s="11"/>
      <c r="L16" s="50"/>
      <c r="M16" s="50"/>
      <c r="N16" s="50"/>
      <c r="O16" s="50"/>
      <c r="P16" s="50"/>
      <c r="Q16" s="25"/>
      <c r="R16" s="11"/>
      <c r="S16" s="39"/>
      <c r="T16" s="40" t="str">
        <f aca="false">IF(RIGHT(Type_masquage,1)=",",IF(Lang="Français","Ailerons","Fins"),IF(Lang="Français","Ailerons bas","Lower Fins"))</f>
        <v>Ailerons bas</v>
      </c>
    </row>
    <row r="17" customFormat="false" ht="12.75" hidden="false" customHeight="true" outlineLevel="0" collapsed="false">
      <c r="A17" s="12"/>
      <c r="B17" s="24" t="s">
        <v>8</v>
      </c>
      <c r="C17" s="51" t="s">
        <v>12</v>
      </c>
      <c r="D17" s="51"/>
      <c r="E17" s="14"/>
      <c r="F17" s="15"/>
      <c r="G17" s="15"/>
      <c r="H17" s="15"/>
      <c r="I17" s="15"/>
      <c r="J17" s="11"/>
      <c r="K17" s="11"/>
      <c r="L17" s="52"/>
      <c r="M17" s="53" t="s">
        <v>13</v>
      </c>
      <c r="N17" s="53"/>
      <c r="O17" s="53" t="s">
        <v>14</v>
      </c>
      <c r="P17" s="53"/>
      <c r="Q17" s="25"/>
      <c r="R17" s="11"/>
      <c r="S17" s="40" t="str">
        <f aca="false">IF(Lang="Français","Haut","Top")</f>
        <v>Haut</v>
      </c>
      <c r="T17" s="44" t="n">
        <f aca="false">X_ail-m_ail</f>
        <v>1091</v>
      </c>
    </row>
    <row r="18" customFormat="false" ht="12.75" hidden="false" customHeight="true" outlineLevel="0" collapsed="false">
      <c r="A18" s="12"/>
      <c r="B18" s="24" t="str">
        <f aca="false">IF(Lang="Français","Position du bas",IF(Lang="English","Basement",""))</f>
        <v>Position du bas</v>
      </c>
      <c r="C18" s="28" t="n">
        <f aca="false">Long_tot</f>
        <v>1200</v>
      </c>
      <c r="D18" s="28"/>
      <c r="F18" s="15"/>
      <c r="G18" s="15"/>
      <c r="H18" s="15"/>
      <c r="I18" s="15"/>
      <c r="J18" s="11"/>
      <c r="K18" s="54"/>
      <c r="L18" s="41" t="str">
        <f aca="false">IF(Lang="Français","Coiffe",IF(Lang="English","Nose Cone",""))</f>
        <v>Coiffe</v>
      </c>
      <c r="M18" s="55" t="n">
        <f aca="false">IF(LEFT(Forme_ogive,5)="Parab",1/2*Long_ogive,IF(LEFT(Forme_ogive,4)="Ogiv",7/15*Long_ogive,IF(LEFT(Forme_ogive,3)="Con",2/3*Long_ogive)))</f>
        <v>92.8666666666667</v>
      </c>
      <c r="N18" s="55"/>
      <c r="O18" s="56" t="n">
        <f aca="false">2*POWER(D_og/D_ref, 2)</f>
        <v>2</v>
      </c>
      <c r="P18" s="56"/>
      <c r="Q18" s="25"/>
      <c r="R18" s="11"/>
      <c r="S18" s="40" t="str">
        <f aca="false">IF(Lang="Français","Emplanture","Root edge")</f>
        <v>Emplanture</v>
      </c>
      <c r="T18" s="44" t="n">
        <f aca="false">m_ail</f>
        <v>109</v>
      </c>
    </row>
    <row r="19" customFormat="false" ht="12.75" hidden="false" customHeight="true" outlineLevel="0" collapsed="false">
      <c r="A19" s="12"/>
      <c r="B19" s="57" t="str">
        <f aca="false">IF(Propu="Cariacou","Cariacou :"," ")</f>
        <v> </v>
      </c>
      <c r="C19" s="58" t="str">
        <f aca="false">IF(Propu="Pandora (Pro24-6G)",IF(Lang="Français","C'Space Seulement",IF(Lang="English","C'Space only","")),"")</f>
        <v/>
      </c>
      <c r="D19" s="58"/>
      <c r="E19" s="14"/>
      <c r="F19" s="15"/>
      <c r="G19" s="15"/>
      <c r="H19" s="15"/>
      <c r="I19" s="15"/>
      <c r="J19" s="11"/>
      <c r="K19" s="11"/>
      <c r="L19" s="41" t="str">
        <f aca="false">IF(Lang="Français","Ailerons",IF(Lang="English","Fins",""))</f>
        <v>Ailerons</v>
      </c>
      <c r="M19" s="55" t="n">
        <f aca="false">(XCpa*Cnail-0.5*XCpi*Cni)/Cnai</f>
        <v>1161.71329365079</v>
      </c>
      <c r="N19" s="55"/>
      <c r="O19" s="56" t="n">
        <f aca="false">Cnail-Cni/2</f>
        <v>19.4975242818324</v>
      </c>
      <c r="P19" s="56"/>
      <c r="Q19" s="25"/>
      <c r="R19" s="11"/>
      <c r="S19" s="40" t="str">
        <f aca="false">IF(Lang="Français","Bas","Base")</f>
        <v>Bas</v>
      </c>
      <c r="T19" s="44" t="n">
        <f aca="false">X_ail</f>
        <v>1200</v>
      </c>
    </row>
    <row r="20" customFormat="false" ht="12.75" hidden="false" customHeight="true" outlineLevel="0" collapsed="false">
      <c r="A20" s="12"/>
      <c r="B20" s="59"/>
      <c r="C20" s="60" t="str">
        <f aca="false">IF(Lang="Français","Coiffe",IF(Lang="English","Nose Cone",""))</f>
        <v>Coiffe</v>
      </c>
      <c r="D20" s="60"/>
      <c r="E20" s="14"/>
      <c r="F20" s="15"/>
      <c r="G20" s="15"/>
      <c r="H20" s="15"/>
      <c r="I20" s="15"/>
      <c r="J20" s="11"/>
      <c r="K20" s="11"/>
      <c r="L20" s="41" t="str">
        <f aca="false">IF(Lang="Français","Ail bas entier",IF(Lang="English","Total Lower Fins",""))</f>
        <v>Ail bas entier</v>
      </c>
      <c r="M20" s="55" t="n">
        <f aca="false">X_ail-m_ail+p_ail*(m_ail+2*n_ail)/(3*(m_ail+n_ail))+(m_ail+n_ail-m_ail*n_ail/(m_ail+n_ail))/6</f>
        <v>1161.71329365079</v>
      </c>
      <c r="N20" s="55"/>
      <c r="O20" s="56" t="n">
        <f aca="false">4*Q_ail*POWER((E_ail/D_ref),2)*(1+D_ail/(2*E_ail+D_ail))/(1+SQRT(1+POWER(2*f_ail/(m_ail+n_ail),2)))</f>
        <v>19.4975242818324</v>
      </c>
      <c r="P20" s="56"/>
      <c r="Q20" s="25"/>
      <c r="R20" s="11"/>
    </row>
    <row r="21" customFormat="false" ht="12.75" hidden="false" customHeight="true" outlineLevel="0" collapsed="false">
      <c r="A21" s="12"/>
      <c r="B21" s="24" t="str">
        <f aca="false">IF(Lang="Français","Forme",IF(Lang="English","Shape",""))</f>
        <v>Forme</v>
      </c>
      <c r="C21" s="61" t="s">
        <v>15</v>
      </c>
      <c r="D21" s="61"/>
      <c r="E21" s="14"/>
      <c r="F21" s="15"/>
      <c r="G21" s="15"/>
      <c r="H21" s="15"/>
      <c r="I21" s="15"/>
      <c r="J21" s="11"/>
      <c r="K21" s="11"/>
      <c r="L21" s="41" t="str">
        <f aca="false">IF(Lang="Français","Ailerons haut",IF(Lang="English","Upper Fins",""))</f>
        <v>Ailerons haut</v>
      </c>
      <c r="M21" s="55" t="n">
        <f aca="false">IF(LEFT(Type_masquage,1)="M",0, X_can-m_can+p_can*(m_can+2*n_can)/(3*(m_can+n_can))+(m_can+n_can-m_can*n_can/(m_can+n_can))/6)</f>
        <v>0</v>
      </c>
      <c r="N21" s="55"/>
      <c r="O21" s="56" t="n">
        <f aca="false">IF(LEFT(Type_masquage,1)="M",0, 4*Q_can*POWER((E_can/D_ref),2)*(1+D_can/(2*E_can+D_can))/(1+SQRT(1+POWER(2*f_can/(m_can+n_can),2))))</f>
        <v>0</v>
      </c>
      <c r="P21" s="56"/>
      <c r="Q21" s="25"/>
      <c r="R21" s="11"/>
    </row>
    <row r="22" customFormat="false" ht="12.75" hidden="false" customHeight="true" outlineLevel="0" collapsed="false">
      <c r="A22" s="12"/>
      <c r="B22" s="24" t="str">
        <f aca="false">IF(Lang="Français","Hauteur",IF(Lang="English","Heigth",""))</f>
        <v>Hauteur</v>
      </c>
      <c r="C22" s="28" t="n">
        <v>199</v>
      </c>
      <c r="D22" s="28"/>
      <c r="E22" s="14"/>
      <c r="F22" s="15"/>
      <c r="G22" s="15"/>
      <c r="H22" s="15"/>
      <c r="I22" s="15"/>
      <c r="J22" s="11"/>
      <c r="K22" s="11"/>
      <c r="L22" s="41" t="str">
        <f aca="false">IF(Lang="Français","Partie masquée",IF(Lang="English","Interation zone",""))</f>
        <v>Partie masquée</v>
      </c>
      <c r="M22" s="55" t="n">
        <f aca="false">IF(LEFT(Type_masquage,1)="B", X_int-m_int+p_int*(m_int+2*n_int)/(3*(m_int+n_int))+(m_int+n_int-m_int*n_int/(m_int+n_int))/6, 0 )</f>
        <v>0</v>
      </c>
      <c r="N22" s="55"/>
      <c r="O22" s="56" t="n">
        <f aca="false">IF(LEFT(Type_masquage,1)="B", 4*Q_int*POWER((E_int/D_ref),2)*(1+D_int/(2*E_int+D_int))/(1+SQRT(1+POWER(2*f_int/(m_int+n_int),2))), 0 )</f>
        <v>0</v>
      </c>
      <c r="P22" s="56"/>
      <c r="Q22" s="25"/>
      <c r="R22" s="11"/>
    </row>
    <row r="23" customFormat="false" ht="12.75" hidden="false" customHeight="true" outlineLevel="0" collapsed="false">
      <c r="A23" s="12"/>
      <c r="B23" s="24" t="str">
        <f aca="false">IF(Lang="Français","Diamètre",IF(Lang="English","Diameter",""))</f>
        <v>Diamètre</v>
      </c>
      <c r="C23" s="28" t="n">
        <v>59</v>
      </c>
      <c r="D23" s="28"/>
      <c r="E23" s="14"/>
      <c r="F23" s="15"/>
      <c r="G23" s="15"/>
      <c r="H23" s="15"/>
      <c r="I23" s="15"/>
      <c r="J23" s="11"/>
      <c r="K23" s="11"/>
      <c r="L23" s="62" t="s">
        <v>3</v>
      </c>
      <c r="M23" s="55" t="n">
        <f aca="false">IF(OR(RIGHT(Nb_diam,1)=",",D2j=0),0, X_j+l_j/3*(1+1/(1+D1j/D2j)) )</f>
        <v>0</v>
      </c>
      <c r="N23" s="55"/>
      <c r="O23" s="56" t="n">
        <f aca="false">IF(OR(RIGHT(Nb_diam,1)=",",D2j=0),0,2*(POWER(D2j/D_ref,2)-POWER(D1j/D_ref,2)))</f>
        <v>0</v>
      </c>
      <c r="P23" s="56"/>
      <c r="Q23" s="25"/>
      <c r="R23" s="11"/>
    </row>
    <row r="24" customFormat="false" ht="12.75" hidden="false" customHeight="true" outlineLevel="0" collapsed="false">
      <c r="A24" s="12"/>
      <c r="E24" s="14"/>
      <c r="F24" s="15"/>
      <c r="G24" s="15"/>
      <c r="H24" s="15"/>
      <c r="I24" s="15"/>
      <c r="J24" s="11"/>
      <c r="K24" s="11"/>
      <c r="L24" s="62" t="s">
        <v>4</v>
      </c>
      <c r="M24" s="55" t="n">
        <f aca="false">IF( OR(RIGHT(Nb_diam,1)=",",D2r=0), 0, X_r+l_r/3*(1+1/(1+D1r/D2r)) )</f>
        <v>0</v>
      </c>
      <c r="N24" s="55"/>
      <c r="O24" s="56" t="n">
        <f aca="false">IF( OR(RIGHT(Nb_diam,1)=",",D2r=0), 0, 2*(POWER(D2r/D_ref,2)-POWER(D1r/D_ref,2)) )</f>
        <v>0</v>
      </c>
      <c r="P24" s="56"/>
      <c r="Q24" s="25"/>
      <c r="R24" s="11"/>
    </row>
    <row r="25" customFormat="false" ht="12.75" hidden="false" customHeight="true" outlineLevel="0" collapsed="false">
      <c r="A25" s="12"/>
      <c r="B25" s="59"/>
      <c r="C25" s="63" t="str">
        <f aca="false">IF(LEFT(Type_masquage,1)="M",IF(Lang="Français","Ailerons","Fins"),IF(Lang="Français","Ailerons bas","Lower Fins"))</f>
        <v>Ailerons</v>
      </c>
      <c r="D25" s="64" t="str">
        <f aca="false">IF(Lang="Français","Ailerons haut",IF(Lang="English","Upper Fins",""))</f>
        <v>Ailerons haut</v>
      </c>
      <c r="E25" s="65" t="s">
        <v>16</v>
      </c>
      <c r="F25" s="15"/>
      <c r="G25" s="15"/>
      <c r="H25" s="15"/>
      <c r="I25" s="15"/>
      <c r="J25" s="11"/>
      <c r="K25" s="11"/>
      <c r="L25" s="66"/>
      <c r="M25" s="66"/>
      <c r="N25" s="66"/>
      <c r="O25" s="11"/>
      <c r="P25" s="11"/>
      <c r="Q25" s="25"/>
      <c r="R25" s="66"/>
      <c r="S25" s="67" t="str">
        <f aca="false">IF(AND(Portee_balistique&gt;200,LEFT(Type_propu,3)="Min"),IF(Lang="Français","Fusée trop lègère !","Rocket too light"),"")</f>
        <v>Fusée trop lègère !</v>
      </c>
    </row>
    <row r="26" customFormat="false" ht="12.75" hidden="false" customHeight="true" outlineLevel="0" collapsed="false">
      <c r="A26" s="12"/>
      <c r="B26" s="59"/>
      <c r="C26" s="68" t="s">
        <v>17</v>
      </c>
      <c r="D26" s="68"/>
      <c r="E26" s="14"/>
      <c r="F26" s="69" t="n">
        <f aca="true">TODAY()</f>
        <v>45316</v>
      </c>
      <c r="G26" s="70" t="s">
        <v>18</v>
      </c>
      <c r="H26" s="71" t="str">
        <f aca="false">IF(Lang="Français","Résultats",IF(Lang="English","Results",""))</f>
        <v>Résultats</v>
      </c>
      <c r="I26" s="71"/>
      <c r="J26" s="70" t="s">
        <v>19</v>
      </c>
      <c r="K26" s="72"/>
      <c r="L26" s="66"/>
      <c r="M26" s="66"/>
      <c r="N26" s="66"/>
      <c r="O26" s="11"/>
      <c r="P26" s="11"/>
      <c r="Q26" s="25"/>
      <c r="R26" s="66"/>
      <c r="S26" s="67"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2"/>
      <c r="B27" s="73" t="str">
        <f aca="false">IF(Lang="Français"," Emplanture  'm'",IF(Lang="English"," Root edge  'm'",""))</f>
        <v> Emplanture  'm'</v>
      </c>
      <c r="C27" s="74" t="n">
        <v>109</v>
      </c>
      <c r="D27" s="74" t="n">
        <v>70</v>
      </c>
      <c r="E27" s="75" t="n">
        <f aca="false">m_ail</f>
        <v>109</v>
      </c>
      <c r="F27" s="76" t="s">
        <v>20</v>
      </c>
      <c r="G27" s="77" t="n">
        <f aca="false">IF(RIGHT(Type_fusee,1)=".",10, IF(OR(LEFT(Type_fusee,1)="R",LEFT(Type_fusee,1)=",",LEFT(Type_fusee,4)="Mini"),10, IF(LEFT(Type_fusee,5)="Micro",10, IF(RIGHT(Type_fusee,1)=" ",1))))</f>
        <v>10</v>
      </c>
      <c r="H27" s="78" t="n">
        <f aca="false">Long_tot/D_ref</f>
        <v>20.3389830508475</v>
      </c>
      <c r="I27" s="78"/>
      <c r="J27" s="77" t="n">
        <f aca="false">IF(RIGHT(Type_fusee,1)=".",35, IF(OR(LEFT(Type_fusee,1)="R",LEFT(Type_fusee,1)=",",LEFT(Type_fusee,4)="Mini"),20, IF(LEFT(Type_fusee,5)="Micro",30, IF(RIGHT(Type_fusee,1)=" ",100))))</f>
        <v>20</v>
      </c>
      <c r="K27" s="72"/>
      <c r="L27" s="66"/>
      <c r="M27" s="66"/>
      <c r="N27" s="66"/>
      <c r="O27" s="11"/>
      <c r="P27" s="11"/>
      <c r="Q27" s="25"/>
      <c r="R27" s="66"/>
      <c r="S27" s="67" t="str">
        <f aca="false">IF(Finesse&lt;CritFinessemin, IF(Lang="Français","Fusée trop courte !","Rocket too short!"), "" ) &amp; IF(Finesse&gt;CritFinessemax, IF(Lang="Français","Fusée trop longue !","Rocket too long!"), "" )</f>
        <v>Fusée trop longue !</v>
      </c>
    </row>
    <row r="28" customFormat="false" ht="12.75" hidden="false" customHeight="true" outlineLevel="0" collapsed="false">
      <c r="A28" s="12"/>
      <c r="B28" s="73" t="str">
        <f aca="false">IF(Lang="Français"," Saumon       'n'",IF(Lang="English"," Tip edge    'n'",""))</f>
        <v> Saumon       'n'</v>
      </c>
      <c r="C28" s="28" t="n">
        <v>59</v>
      </c>
      <c r="D28" s="28" t="n">
        <v>10</v>
      </c>
      <c r="E28" s="75" t="n">
        <f aca="false">n_ail+(m_ail-n_ail)*(1-E_int/E_ail)</f>
        <v>83.7474747474747</v>
      </c>
      <c r="F28" s="76" t="str">
        <f aca="false">IF(Lang="Français","Portance","Lift")</f>
        <v>Portance</v>
      </c>
      <c r="G28" s="77" t="n">
        <f aca="false">IF(RIGHT(Type_fusee,1)=".",15,IF(OR(LEFT(Type_fusee,1)="R",LEFT(Type_fusee,1)=",",LEFT(Type_fusee,4)="Mini"),15, IF(LEFT(Type_fusee,5)="Micro",15, IF(RIGHT(Type_fusee,1)=" ",15))))</f>
        <v>15</v>
      </c>
      <c r="H28" s="79" t="n">
        <f aca="false">Cnai+Cnc+Cno+Cnj+Cnr</f>
        <v>21.4975242818324</v>
      </c>
      <c r="I28" s="79" t="n">
        <f aca="false">Cnail+Cnc+Cno+Cnj+Cnr</f>
        <v>21.4975242818324</v>
      </c>
      <c r="J28" s="77" t="n">
        <f aca="false">IF(RIGHT(Type_fusee,1)=".",40, IF(OR(LEFT(Type_fusee,1)="R",LEFT(Type_fusee,1)=",",LEFT(Type_fusee,4)="Mini"),30, IF(LEFT(Type_fusee,5)="Micro",30, IF(RIGHT(Type_fusee,1)=" ",30))))</f>
        <v>30</v>
      </c>
      <c r="K28" s="72"/>
      <c r="L28" s="66"/>
      <c r="M28" s="66"/>
      <c r="N28" s="66"/>
      <c r="O28" s="11"/>
      <c r="P28" s="11"/>
      <c r="Q28" s="25"/>
      <c r="R28" s="66"/>
      <c r="S28" s="67" t="str">
        <f aca="false">IF(Cn&lt;CritCnmin, IF(Lang="Français","Ailerons trop petits !","Fins too small!"), "" ) &amp; IF(Cn&gt;CritCnmax, IF(Lang="Français","Ailerons trop grands !","Fins too big!"), "" )</f>
        <v/>
      </c>
    </row>
    <row r="29" customFormat="false" ht="12.75" hidden="false" customHeight="true" outlineLevel="0" collapsed="false">
      <c r="A29" s="12"/>
      <c r="B29" s="73" t="str">
        <f aca="false">IF(Lang="Français"," Flèche          'p'"," Offset         'p'")</f>
        <v> Flèche          'p'</v>
      </c>
      <c r="C29" s="28" t="n">
        <v>109</v>
      </c>
      <c r="D29" s="28" t="n">
        <v>40</v>
      </c>
      <c r="E29" s="75" t="n">
        <f aca="false">p_ail*E_int/E_ail</f>
        <v>55.0505050505051</v>
      </c>
      <c r="F29" s="80" t="str">
        <f aca="false">IF(Lang="Français","MargeStat.","StatMargin")</f>
        <v>MargeStat.</v>
      </c>
      <c r="G29" s="81" t="n">
        <f aca="false">IF(RIGHT(Type_fusee,1)=".",2, IF(OR(LEFT(Type_fusee,1)="R",LEFT(Type_fusee,1)=",",LEFT(Type_fusee,4)="Mini"),1.5, IF(LEFT(Type_fusee,5)="Micro",1, IF(RIGHT(Type_fusee,1)=" ",1))))</f>
        <v>1.5</v>
      </c>
      <c r="H29" s="82" t="n">
        <f aca="false">(XCp-XcgPlein)/D_ref</f>
        <v>3.94843001324688</v>
      </c>
      <c r="I29" s="83" t="n">
        <f aca="false">(XCp0-XcgVide)/D_ref</f>
        <v>4.17001758949287</v>
      </c>
      <c r="J29" s="81" t="n">
        <f aca="false">IF(RIGHT(Type_fusee,1)=".",6, IF(OR(LEFT(Type_fusee,1)="R",LEFT(Type_fusee,1)=",",LEFT(Type_fusee,4)="Mini"),6, IF(LEFT(Type_fusee,5)="Micro",3, IF(RIGHT(Type_fusee,1)=" ",3))))</f>
        <v>6</v>
      </c>
      <c r="K29" s="72"/>
      <c r="L29" s="11"/>
      <c r="M29" s="11"/>
      <c r="N29" s="11"/>
      <c r="O29" s="11"/>
      <c r="P29" s="11"/>
      <c r="Q29" s="25"/>
      <c r="R29" s="66"/>
      <c r="S29" s="67" t="str">
        <f aca="false">IF(MS_min&lt;CritMsmin, IF(Lang="Français","Abaisser les ailerons ou rehausser le CdM !","Lower the fins or move up the center of mass!"), "" ) &amp; IF(MS_max&gt;CritMsmax, IF(Lang="Français","Rehausser les ailerons ou abaisser le CdM !","Move up the fins or lower the center of mass!"), "" )</f>
        <v/>
      </c>
    </row>
    <row r="30" customFormat="false" ht="12.75" hidden="false" customHeight="true" outlineLevel="0" collapsed="false">
      <c r="A30" s="12"/>
      <c r="B30" s="73" t="str">
        <f aca="false">IF(Lang="Français"," Envergure     'E'",IF(Lang="English"," Span          'E'",""))</f>
        <v> Envergure     'E'</v>
      </c>
      <c r="C30" s="28" t="n">
        <v>99</v>
      </c>
      <c r="D30" s="28" t="n">
        <v>50</v>
      </c>
      <c r="E30" s="75" t="n">
        <f aca="false">IF(D_can/2+E_can&lt;=D_ail/2,0, IF(D_can/2+E_can&gt;=D_ail/2+E_ail,E_ail,  D_can/2+E_can - D_ail/2  ) )</f>
        <v>50</v>
      </c>
      <c r="F30" s="84" t="str">
        <f aca="false">IF(Lang="Français","Couple","Torque")</f>
        <v>Couple</v>
      </c>
      <c r="G30" s="85" t="n">
        <f aca="false">IF(RIGHT(Type_fusee,1)=".",40, IF(OR(LEFT(Type_fusee,1)="R",LEFT(Type_fusee,1)=",",LEFT(Type_fusee,4)="Mini"),30, IF(LEFT(Type_fusee,5)="Micro",15, IF(RIGHT(Type_fusee,1)=" ",15))))</f>
        <v>30</v>
      </c>
      <c r="H30" s="78" t="n">
        <f aca="false">MS_min*Cn</f>
        <v>84.8814700848907</v>
      </c>
      <c r="I30" s="86" t="n">
        <f aca="false">MS_max*Cn0</f>
        <v>89.6450543857911</v>
      </c>
      <c r="J30" s="85" t="n">
        <f aca="false">IF(RIGHT(Type_fusee,1)=".",100, IF(OR(LEFT(Type_fusee,1)="R",LEFT(Type_fusee,1)=",",LEFT(Type_fusee,4)="Mini"),100, IF(LEFT(Type_fusee,5)="Micro",100, IF(RIGHT(Type_fusee,1)=" ",90))))</f>
        <v>100</v>
      </c>
      <c r="K30" s="72"/>
      <c r="L30" s="11"/>
      <c r="M30" s="11"/>
      <c r="N30" s="11"/>
      <c r="O30" s="11"/>
      <c r="P30" s="11"/>
      <c r="Q30" s="25"/>
      <c r="R30" s="66"/>
      <c r="S30" s="67" t="str">
        <f aca="false">IF(MS_Cn_min&lt;CritMsCnmin, IF(Lang="Français","Ailerons trop petits ou trop haut /CdM !","Fins too small or too high /CoM!"), "" ) &amp; IF(MS_Cn_max&gt;CritMsCnmax, IF(Lang="Français","Ailerons trop grands ou trop bas  /CdM !","Fins too big or too low / CoM!"), "" )</f>
        <v/>
      </c>
    </row>
    <row r="31" customFormat="false" ht="12.75" hidden="false" customHeight="true" outlineLevel="0" collapsed="false">
      <c r="A31" s="12"/>
      <c r="B31" s="87" t="str">
        <f aca="false">IF(Lang="Français"," Epaisseur     'ep'",IF(Lang="English"," Thickness  'ep'",""))</f>
        <v> Epaisseur     'ep'</v>
      </c>
      <c r="C31" s="28" t="n">
        <v>2</v>
      </c>
      <c r="D31" s="28" t="n">
        <v>2</v>
      </c>
      <c r="E31" s="75" t="n">
        <f aca="false">ep_ail</f>
        <v>2</v>
      </c>
      <c r="F31" s="88" t="s">
        <v>13</v>
      </c>
      <c r="G31" s="77"/>
      <c r="H31" s="89" t="n">
        <f aca="false">(Cnai*XCpai+Cnc*XCpc+Cnj*XCpj+Cnr*XCpr+Cno*XCpo)/(Cnai+Cnc+Cnr+Cnj+Cno)</f>
        <v>1062.2742500687</v>
      </c>
      <c r="I31" s="89" t="n">
        <f aca="false">(Cnail*XCpa+Cnc*XCpc+Cnj*XCpj+Cnr*XCpr+Cno*XCpo)/(Cnail+Cnc+Cnr+Cnj+Cno)</f>
        <v>1062.2742500687</v>
      </c>
      <c r="J31" s="90"/>
      <c r="K31" s="72"/>
      <c r="L31" s="11"/>
      <c r="M31" s="11"/>
      <c r="N31" s="11"/>
      <c r="O31" s="11"/>
      <c r="P31" s="11"/>
      <c r="Q31" s="25"/>
      <c r="R31" s="66"/>
      <c r="S31" s="67"/>
    </row>
    <row r="32" customFormat="false" ht="12.75" hidden="false" customHeight="true" outlineLevel="0" collapsed="false">
      <c r="A32" s="12"/>
      <c r="B32" s="73" t="str">
        <f aca="false">IF(Lang="Français"," Nombre            ",IF(Lang="English"," Number of fins",""))</f>
        <v> Nombre            </v>
      </c>
      <c r="C32" s="91" t="n">
        <v>4</v>
      </c>
      <c r="D32" s="91" t="n">
        <v>4</v>
      </c>
      <c r="E32" s="75" t="n">
        <f aca="false">IF(Q_ail=Q_can,Q_ail,FALSE())</f>
        <v>4</v>
      </c>
      <c r="F32" s="88" t="s">
        <v>21</v>
      </c>
      <c r="G32" s="77"/>
      <c r="H32" s="92" t="n">
        <f aca="false">(XCp-XcgPlein)/Long_tot*100</f>
        <v>19.4131142317972</v>
      </c>
      <c r="I32" s="93" t="n">
        <f aca="false">(XCp-XcgVide)/Long_tot*100</f>
        <v>20.5025864816733</v>
      </c>
      <c r="J32" s="90"/>
      <c r="K32" s="72"/>
      <c r="L32" s="11"/>
      <c r="M32" s="11"/>
      <c r="N32" s="11"/>
      <c r="O32" s="11"/>
      <c r="P32" s="11"/>
      <c r="Q32" s="25"/>
      <c r="R32" s="66"/>
    </row>
    <row r="33" customFormat="false" ht="12.75" hidden="false" customHeight="true" outlineLevel="0" collapsed="false">
      <c r="A33" s="12"/>
      <c r="B33" s="73" t="str">
        <f aca="false">IF(Lang="Français"," Position du bas",IF(Lang="English"," Basement",""))</f>
        <v> Position du bas</v>
      </c>
      <c r="C33" s="28" t="n">
        <f aca="false">Long_tot</f>
        <v>1200</v>
      </c>
      <c r="D33" s="28" t="n">
        <v>700</v>
      </c>
      <c r="E33" s="75" t="n">
        <f aca="false">X_ail</f>
        <v>1200</v>
      </c>
      <c r="F33" s="15"/>
      <c r="G33" s="11"/>
      <c r="H33" s="94" t="str">
        <f aca="false">IF(AND(CritCnmin&lt;Cn,Cn0&lt;CritCnmax,CritMsmin&lt;MS_min,MS_max&lt;CritMsmax,CritMsCnmin&lt;MS_Cn_min,MS_Cn_max&lt;CritMsCnmax),"STABLE",IF(OR(Cn&lt;CritCnmin,MS_min&lt;CritMsmin,MS_Cn_min&lt;CritMsCnmin),"INSTABLE",IF(Lang="Français","SURSTABLE","OVERSTABLE")))</f>
        <v>STABLE</v>
      </c>
      <c r="I33" s="94"/>
      <c r="J33" s="29"/>
      <c r="K33" s="72"/>
      <c r="L33" s="11"/>
      <c r="M33" s="11"/>
      <c r="N33" s="11"/>
      <c r="O33" s="11"/>
      <c r="P33" s="11"/>
      <c r="Q33" s="25"/>
      <c r="R33" s="66"/>
    </row>
    <row r="34" customFormat="false" ht="12.75" hidden="false" customHeight="true" outlineLevel="0" collapsed="false">
      <c r="A34" s="12"/>
      <c r="B34" s="73" t="str">
        <f aca="false">IF(Lang="Français"," Diamètre         ",IF(Lang="English"," Diameter at Fins",""))</f>
        <v> Diamètre         </v>
      </c>
      <c r="C34" s="28" t="n">
        <f aca="false">D_ref</f>
        <v>59</v>
      </c>
      <c r="D34" s="28" t="n">
        <f aca="false">D_ref</f>
        <v>59</v>
      </c>
      <c r="E34" s="75" t="n">
        <f aca="false">D_ail</f>
        <v>59</v>
      </c>
      <c r="F34" s="15"/>
      <c r="G34" s="11"/>
      <c r="H34" s="94"/>
      <c r="I34" s="94"/>
      <c r="J34" s="11"/>
      <c r="K34" s="72"/>
      <c r="L34" s="11"/>
      <c r="M34" s="11"/>
      <c r="N34" s="11"/>
      <c r="O34" s="11"/>
      <c r="P34" s="11"/>
      <c r="Q34" s="25"/>
      <c r="R34" s="66"/>
    </row>
    <row r="35" customFormat="false" ht="12.75" hidden="false" customHeight="true" outlineLevel="0" collapsed="false">
      <c r="A35" s="12"/>
      <c r="B35" s="73" t="str">
        <f aca="false">IF(Lang="Français"," Ligne mi-corde f",IF(Lang="English"," Mid-chord line f",""))</f>
        <v> Ligne mi-corde f</v>
      </c>
      <c r="C35" s="95" t="n">
        <f aca="false">SQRT(POWER(p_ail+n_ail/2-m_ail/2,2)+POWER(E_ail,2))</f>
        <v>129.834510050294</v>
      </c>
      <c r="D35" s="95" t="n">
        <f aca="false">SQRT(POWER(p_can+n_can/2-m_can/2,2)+POWER(E_can,2))</f>
        <v>50.9901951359279</v>
      </c>
      <c r="E35" s="75" t="n">
        <f aca="false">SQRT(POWER(p_int+n_int/2-m_int/2,2)+POWER(E_int,2))</f>
        <v>65.5729848738861</v>
      </c>
      <c r="F35" s="15"/>
      <c r="G35" s="15"/>
      <c r="H35" s="15"/>
      <c r="I35" s="15"/>
      <c r="J35" s="11"/>
      <c r="K35" s="72"/>
      <c r="L35" s="11"/>
      <c r="M35" s="11"/>
      <c r="N35" s="11"/>
      <c r="O35" s="11"/>
      <c r="P35" s="11"/>
      <c r="Q35" s="25"/>
      <c r="R35" s="66"/>
      <c r="W35" s="1" t="str">
        <f aca="false">RIGHT(Type_fusee,1="R")</f>
        <v/>
      </c>
    </row>
    <row r="36" customFormat="false" ht="12.75" hidden="false" customHeight="true" outlineLevel="0" collapsed="false">
      <c r="A36" s="96"/>
      <c r="B36" s="97" t="str">
        <f aca="false">IF(Lang="Français","Commentaire libre :",IF(Lang="English","Free comment:",""))</f>
        <v>Commentaire libre :</v>
      </c>
      <c r="C36" s="98"/>
      <c r="D36" s="99"/>
      <c r="E36" s="100"/>
      <c r="F36" s="101"/>
      <c r="G36" s="101"/>
      <c r="H36" s="101"/>
      <c r="I36" s="101"/>
      <c r="J36" s="99"/>
      <c r="K36" s="99"/>
      <c r="L36" s="102" t="s">
        <v>22</v>
      </c>
      <c r="M36" s="103" t="str">
        <f aca="false">IF(ROUND(SUM(Propu!5:1228),0)=395253,"propu OK","propu NOK")</f>
        <v>propu OK</v>
      </c>
      <c r="N36" s="104" t="str">
        <f aca="false">IF(Lang="Français","fichier initial","Initial file")</f>
        <v>fichier initial</v>
      </c>
      <c r="O36" s="103"/>
      <c r="P36" s="105"/>
      <c r="Q36" s="106" t="s">
        <v>23</v>
      </c>
      <c r="R36" s="66"/>
    </row>
    <row r="37" customFormat="false" ht="12.75" hidden="false" customHeight="true" outlineLevel="0" collapsed="false">
      <c r="R37" s="107"/>
    </row>
    <row r="38" customFormat="false" ht="12.75" hidden="false" customHeight="false" outlineLevel="0" collapsed="false">
      <c r="L38" s="108" t="str">
        <f aca="false">IF(Lang="Français","Maintenant que votre fusée est stable, vérifiez sa trajectoire via la feuille","Now your rocket is stable, check its trajectory on sheet")</f>
        <v>Maintenant que votre fusée est stable, vérifiez sa trajectoire via la feuille</v>
      </c>
      <c r="M38" s="109" t="s">
        <v>24</v>
      </c>
    </row>
    <row r="39" customFormat="false" ht="12.75" hidden="false" customHeight="false" outlineLevel="0" collapsed="false">
      <c r="H39" s="110"/>
      <c r="O39" s="4"/>
      <c r="P39" s="4"/>
    </row>
    <row r="40" customFormat="false" ht="12.75" hidden="false" customHeight="false" outlineLevel="0" collapsed="false">
      <c r="F40" s="1"/>
      <c r="H40" s="107"/>
      <c r="I40" s="111"/>
      <c r="J40" s="107"/>
      <c r="N40" s="107"/>
      <c r="Q40" s="107"/>
      <c r="S40" s="112"/>
    </row>
    <row r="41" customFormat="false" ht="12.75" hidden="false" customHeight="false" outlineLevel="0" collapsed="false">
      <c r="F41" s="1"/>
      <c r="G41" s="113"/>
      <c r="H41" s="114"/>
      <c r="I41" s="111"/>
      <c r="J41" s="107"/>
      <c r="N41" s="107"/>
      <c r="Q41" s="107"/>
      <c r="R41" s="107"/>
    </row>
    <row r="42" customFormat="false" ht="12.75" hidden="false" customHeight="false" outlineLevel="0" collapsed="false">
      <c r="F42" s="1"/>
      <c r="H42" s="107"/>
      <c r="I42" s="111"/>
      <c r="J42" s="107"/>
      <c r="N42" s="107"/>
      <c r="Q42" s="107"/>
      <c r="R42" s="107"/>
    </row>
    <row r="43" customFormat="false" ht="12.75" hidden="false" customHeight="false" outlineLevel="0" collapsed="false">
      <c r="F43" s="1"/>
      <c r="H43" s="107"/>
      <c r="I43" s="111"/>
      <c r="J43" s="107"/>
      <c r="N43" s="107"/>
      <c r="Q43" s="107"/>
      <c r="R43" s="107"/>
    </row>
    <row r="44" customFormat="false" ht="12.75" hidden="false" customHeight="false" outlineLevel="0" collapsed="false">
      <c r="F44" s="1"/>
      <c r="H44" s="107"/>
      <c r="I44" s="111"/>
      <c r="J44" s="107"/>
      <c r="N44" s="107"/>
      <c r="O44" s="11"/>
      <c r="P44" s="11"/>
      <c r="Q44" s="107"/>
      <c r="R44" s="107"/>
    </row>
    <row r="45" customFormat="false" ht="12.75" hidden="false" customHeight="false" outlineLevel="0" collapsed="false">
      <c r="F45" s="1"/>
      <c r="H45" s="107"/>
      <c r="I45" s="111"/>
      <c r="J45" s="107"/>
      <c r="N45" s="107"/>
      <c r="O45" s="11"/>
      <c r="P45" s="11"/>
      <c r="Q45" s="107"/>
      <c r="R45" s="107"/>
    </row>
    <row r="46" customFormat="false" ht="12.75" hidden="false" customHeight="false" outlineLevel="0" collapsed="false">
      <c r="F46" s="1"/>
      <c r="H46" s="107"/>
      <c r="I46" s="111"/>
      <c r="J46" s="107"/>
      <c r="L46" s="107"/>
      <c r="M46" s="107"/>
      <c r="N46" s="107"/>
      <c r="O46" s="11"/>
      <c r="P46" s="11"/>
      <c r="Q46" s="107"/>
      <c r="R46" s="107"/>
    </row>
    <row r="47" customFormat="false" ht="12.75" hidden="false" customHeight="false" outlineLevel="0" collapsed="false">
      <c r="F47" s="1"/>
      <c r="H47" s="107"/>
      <c r="I47" s="111"/>
      <c r="J47" s="107"/>
      <c r="L47" s="107"/>
      <c r="M47" s="107"/>
      <c r="N47" s="107"/>
      <c r="O47" s="11"/>
      <c r="P47" s="11"/>
      <c r="Q47" s="107"/>
      <c r="R47" s="107"/>
    </row>
    <row r="48" customFormat="false" ht="12.75" hidden="false" customHeight="false" outlineLevel="0" collapsed="false">
      <c r="F48" s="1"/>
      <c r="H48" s="107"/>
      <c r="I48" s="111"/>
      <c r="J48" s="107"/>
      <c r="L48" s="107"/>
      <c r="M48" s="107"/>
      <c r="N48" s="107"/>
      <c r="O48" s="11"/>
      <c r="P48" s="11"/>
      <c r="Q48" s="107"/>
      <c r="R48" s="107"/>
    </row>
    <row r="49" customFormat="false" ht="12.75" hidden="false" customHeight="false" outlineLevel="0" collapsed="false">
      <c r="F49" s="1"/>
      <c r="H49" s="107"/>
      <c r="I49" s="111"/>
      <c r="J49" s="107"/>
      <c r="L49" s="107"/>
      <c r="M49" s="107"/>
      <c r="N49" s="107"/>
      <c r="O49" s="11"/>
      <c r="P49" s="11"/>
      <c r="Q49" s="107"/>
      <c r="R49" s="107"/>
    </row>
    <row r="50" customFormat="false" ht="12.75" hidden="false" customHeight="false" outlineLevel="0" collapsed="false">
      <c r="F50" s="1"/>
      <c r="H50" s="107"/>
      <c r="I50" s="111"/>
      <c r="J50" s="107"/>
      <c r="L50" s="107"/>
      <c r="M50" s="107"/>
      <c r="N50" s="107"/>
      <c r="O50" s="11"/>
      <c r="P50" s="11"/>
      <c r="Q50" s="107"/>
      <c r="R50" s="107"/>
    </row>
    <row r="51" customFormat="false" ht="12.75" hidden="false" customHeight="false" outlineLevel="0" collapsed="false">
      <c r="F51" s="1"/>
      <c r="H51" s="107"/>
      <c r="I51" s="111"/>
      <c r="J51" s="107"/>
      <c r="L51" s="107"/>
      <c r="M51" s="107"/>
      <c r="N51" s="107"/>
      <c r="O51" s="11"/>
      <c r="P51" s="11"/>
      <c r="Q51" s="107"/>
      <c r="R51" s="107"/>
    </row>
    <row r="52" customFormat="false" ht="12.75" hidden="false" customHeight="false" outlineLevel="0" collapsed="false">
      <c r="H52" s="107"/>
      <c r="I52" s="111"/>
      <c r="J52" s="107"/>
      <c r="L52" s="107"/>
      <c r="M52" s="107"/>
      <c r="N52" s="107"/>
      <c r="O52" s="11"/>
      <c r="P52" s="11"/>
      <c r="Q52" s="107"/>
      <c r="R52" s="107"/>
    </row>
    <row r="53" customFormat="false" ht="12.75" hidden="false" customHeight="false" outlineLevel="0" collapsed="false">
      <c r="H53" s="107"/>
      <c r="I53" s="111"/>
      <c r="J53" s="107"/>
      <c r="L53" s="107"/>
      <c r="M53" s="107"/>
      <c r="N53" s="107"/>
      <c r="Q53" s="107"/>
      <c r="R53" s="107"/>
    </row>
    <row r="54" customFormat="false" ht="12.75" hidden="false" customHeight="false" outlineLevel="0" collapsed="false">
      <c r="H54" s="107"/>
      <c r="I54" s="111"/>
      <c r="J54" s="107"/>
      <c r="L54" s="107"/>
      <c r="M54" s="107"/>
      <c r="N54" s="107"/>
      <c r="Q54" s="107"/>
      <c r="R54" s="107"/>
    </row>
    <row r="55" customFormat="false" ht="12.75" hidden="false" customHeight="false" outlineLevel="0" collapsed="false">
      <c r="H55" s="107"/>
      <c r="I55" s="111"/>
      <c r="J55" s="107"/>
      <c r="L55" s="107"/>
      <c r="M55" s="107"/>
      <c r="N55" s="107"/>
      <c r="Q55" s="107"/>
      <c r="R55" s="107"/>
    </row>
    <row r="56" customFormat="false" ht="12.75" hidden="false" customHeight="false" outlineLevel="0" collapsed="false">
      <c r="C56" s="1"/>
      <c r="H56" s="107"/>
      <c r="I56" s="111"/>
      <c r="J56" s="107"/>
      <c r="L56" s="107"/>
      <c r="M56" s="107"/>
      <c r="N56" s="107"/>
      <c r="Q56" s="107"/>
      <c r="R56" s="107"/>
    </row>
    <row r="57" customFormat="false" ht="12.75" hidden="false" customHeight="false" outlineLevel="0" collapsed="false">
      <c r="H57" s="107"/>
      <c r="I57" s="111"/>
      <c r="J57" s="107"/>
      <c r="L57" s="107"/>
      <c r="M57" s="107"/>
      <c r="N57" s="107"/>
      <c r="Q57" s="107"/>
      <c r="R57" s="107"/>
    </row>
    <row r="58" customFormat="false" ht="12.75" hidden="false" customHeight="false" outlineLevel="0" collapsed="false">
      <c r="B58" s="2"/>
      <c r="H58" s="107"/>
      <c r="I58" s="111"/>
      <c r="J58" s="107"/>
      <c r="L58" s="107"/>
      <c r="M58" s="107"/>
      <c r="N58" s="107"/>
      <c r="Q58" s="107"/>
      <c r="R58" s="107"/>
    </row>
    <row r="59" customFormat="false" ht="12.75" hidden="false" customHeight="false" outlineLevel="0" collapsed="false">
      <c r="B59" s="2"/>
      <c r="H59" s="107"/>
      <c r="I59" s="111"/>
      <c r="J59" s="107"/>
      <c r="L59" s="107"/>
      <c r="M59" s="107"/>
      <c r="N59" s="107"/>
      <c r="Q59" s="107"/>
      <c r="R59" s="107"/>
    </row>
    <row r="60" customFormat="false" ht="12.75" hidden="false" customHeight="false" outlineLevel="0" collapsed="false">
      <c r="B60" s="2"/>
      <c r="H60" s="107"/>
      <c r="I60" s="111"/>
      <c r="J60" s="107"/>
      <c r="L60" s="107"/>
      <c r="M60" s="107"/>
      <c r="N60" s="107"/>
      <c r="Q60" s="107"/>
      <c r="R60" s="107"/>
    </row>
    <row r="61" customFormat="false" ht="12.75" hidden="false" customHeight="false" outlineLevel="0" collapsed="false">
      <c r="B61" s="2"/>
      <c r="H61" s="107"/>
      <c r="I61" s="111"/>
      <c r="J61" s="107"/>
      <c r="L61" s="107"/>
      <c r="M61" s="107"/>
      <c r="N61" s="107"/>
      <c r="Q61" s="107"/>
      <c r="R61" s="107"/>
    </row>
    <row r="62" customFormat="false" ht="12.75" hidden="false" customHeight="false" outlineLevel="0" collapsed="false">
      <c r="B62" s="2"/>
      <c r="H62" s="107"/>
      <c r="I62" s="111"/>
      <c r="J62" s="107"/>
      <c r="L62" s="107"/>
      <c r="M62" s="107"/>
      <c r="N62" s="107"/>
      <c r="Q62" s="107"/>
      <c r="R62" s="107"/>
    </row>
    <row r="63" customFormat="false" ht="12.75" hidden="false" customHeight="false" outlineLevel="0" collapsed="false">
      <c r="B63" s="2"/>
      <c r="H63" s="107"/>
      <c r="I63" s="111"/>
      <c r="J63" s="107"/>
      <c r="L63" s="107"/>
      <c r="M63" s="107"/>
      <c r="N63" s="107"/>
      <c r="Q63" s="107"/>
      <c r="R63" s="107"/>
    </row>
    <row r="64" customFormat="false" ht="12.75" hidden="false" customHeight="false" outlineLevel="0" collapsed="false">
      <c r="B64" s="2"/>
      <c r="H64" s="107"/>
      <c r="I64" s="111"/>
      <c r="J64" s="107"/>
      <c r="L64" s="107"/>
      <c r="M64" s="107"/>
      <c r="N64" s="107"/>
      <c r="Q64" s="107"/>
      <c r="R64" s="107"/>
    </row>
    <row r="65" customFormat="false" ht="12.75" hidden="false" customHeight="false" outlineLevel="0" collapsed="false">
      <c r="B65" s="2"/>
      <c r="H65" s="107"/>
      <c r="I65" s="111"/>
      <c r="J65" s="107"/>
      <c r="L65" s="107"/>
      <c r="M65" s="107"/>
      <c r="N65" s="107"/>
      <c r="Q65" s="107"/>
      <c r="R65" s="107"/>
    </row>
    <row r="66" customFormat="false" ht="12.75" hidden="false" customHeight="false" outlineLevel="0" collapsed="false">
      <c r="B66" s="2"/>
      <c r="H66" s="107"/>
      <c r="I66" s="111"/>
      <c r="J66" s="107"/>
      <c r="L66" s="107"/>
      <c r="M66" s="107"/>
      <c r="N66" s="107"/>
      <c r="Q66" s="107"/>
      <c r="R66" s="107"/>
    </row>
    <row r="67" customFormat="false" ht="12.75" hidden="false" customHeight="false" outlineLevel="0" collapsed="false">
      <c r="C67" s="1"/>
      <c r="H67" s="107"/>
      <c r="I67" s="111"/>
      <c r="J67" s="107"/>
      <c r="L67" s="107"/>
      <c r="M67" s="107"/>
      <c r="N67" s="107"/>
      <c r="Q67" s="107"/>
      <c r="R67" s="107"/>
    </row>
    <row r="68" customFormat="false" ht="12.75" hidden="false" customHeight="false" outlineLevel="0" collapsed="false">
      <c r="C68" s="1"/>
      <c r="H68" s="107"/>
      <c r="I68" s="111"/>
      <c r="J68" s="107"/>
      <c r="L68" s="107"/>
      <c r="M68" s="107"/>
      <c r="N68" s="107"/>
      <c r="Q68" s="107"/>
      <c r="R68" s="107"/>
    </row>
    <row r="69" customFormat="false" ht="12.75" hidden="false" customHeight="false" outlineLevel="0" collapsed="false">
      <c r="C69" s="1"/>
      <c r="H69" s="107"/>
      <c r="I69" s="111"/>
      <c r="J69" s="107"/>
      <c r="L69" s="107"/>
      <c r="M69" s="107"/>
      <c r="N69" s="107"/>
      <c r="Q69" s="107"/>
      <c r="R69" s="107"/>
    </row>
    <row r="70" customFormat="false" ht="12.75" hidden="false" customHeight="false" outlineLevel="0" collapsed="false">
      <c r="C70" s="1"/>
      <c r="H70" s="107"/>
      <c r="I70" s="111"/>
      <c r="J70" s="107"/>
      <c r="L70" s="107"/>
      <c r="M70" s="107"/>
      <c r="N70" s="107"/>
      <c r="Q70" s="107"/>
      <c r="R70" s="107"/>
    </row>
    <row r="71" customFormat="false" ht="12.75" hidden="false" customHeight="false" outlineLevel="0" collapsed="false">
      <c r="C71" s="1"/>
      <c r="H71" s="107"/>
      <c r="I71" s="111"/>
      <c r="J71" s="107"/>
      <c r="L71" s="107"/>
      <c r="M71" s="107"/>
      <c r="N71" s="107"/>
      <c r="Q71" s="107"/>
      <c r="R71" s="107"/>
    </row>
    <row r="72" customFormat="false" ht="12.75" hidden="false" customHeight="false" outlineLevel="0" collapsed="false">
      <c r="C72" s="1"/>
      <c r="H72" s="107"/>
      <c r="I72" s="111"/>
      <c r="J72" s="107"/>
      <c r="L72" s="107"/>
      <c r="M72" s="107"/>
      <c r="N72" s="107"/>
      <c r="Q72" s="107"/>
      <c r="R72" s="107"/>
    </row>
    <row r="73" customFormat="false" ht="12.75" hidden="false" customHeight="false" outlineLevel="0" collapsed="false">
      <c r="C73" s="1"/>
      <c r="H73" s="107"/>
      <c r="I73" s="111"/>
      <c r="J73" s="107"/>
      <c r="L73" s="107"/>
      <c r="M73" s="107"/>
      <c r="N73" s="107"/>
      <c r="Q73" s="107"/>
      <c r="R73" s="107"/>
    </row>
    <row r="74" customFormat="false" ht="12.75" hidden="false" customHeight="false" outlineLevel="0" collapsed="false">
      <c r="C74" s="1"/>
      <c r="H74" s="107"/>
      <c r="I74" s="111"/>
      <c r="J74" s="107"/>
      <c r="L74" s="107"/>
      <c r="M74" s="107"/>
      <c r="N74" s="107"/>
      <c r="Q74" s="107"/>
      <c r="R74" s="107"/>
    </row>
    <row r="75" customFormat="false" ht="12.75" hidden="false" customHeight="false" outlineLevel="0" collapsed="false">
      <c r="C75" s="1"/>
      <c r="H75" s="107"/>
      <c r="I75" s="111"/>
      <c r="J75" s="107"/>
      <c r="L75" s="107"/>
      <c r="M75" s="107"/>
      <c r="N75" s="107"/>
      <c r="Q75" s="107"/>
      <c r="R75" s="107"/>
    </row>
    <row r="76" customFormat="false" ht="12.75" hidden="false" customHeight="false" outlineLevel="0" collapsed="false">
      <c r="C76" s="1"/>
      <c r="H76" s="107"/>
      <c r="I76" s="111"/>
      <c r="J76" s="107"/>
      <c r="L76" s="107"/>
      <c r="M76" s="107"/>
      <c r="N76" s="107"/>
      <c r="Q76" s="107"/>
      <c r="R76" s="107"/>
    </row>
    <row r="77" customFormat="false" ht="12.75" hidden="false" customHeight="false" outlineLevel="0" collapsed="false">
      <c r="C77" s="1"/>
      <c r="H77" s="107"/>
      <c r="I77" s="111"/>
      <c r="J77" s="107"/>
      <c r="L77" s="107"/>
      <c r="M77" s="107"/>
      <c r="N77" s="107"/>
      <c r="Q77" s="107"/>
      <c r="R77" s="107"/>
    </row>
    <row r="78" customFormat="false" ht="12.75" hidden="false" customHeight="false" outlineLevel="0" collapsed="false">
      <c r="C78" s="1"/>
      <c r="H78" s="107"/>
      <c r="I78" s="111"/>
      <c r="J78" s="107"/>
      <c r="L78" s="107"/>
      <c r="M78" s="107"/>
      <c r="N78" s="107"/>
      <c r="Q78" s="107"/>
      <c r="R78" s="107"/>
    </row>
    <row r="79" customFormat="false" ht="12.75" hidden="false" customHeight="false" outlineLevel="0" collapsed="false">
      <c r="C79" s="1"/>
      <c r="H79" s="107"/>
      <c r="I79" s="111"/>
      <c r="J79" s="107"/>
      <c r="L79" s="107"/>
      <c r="M79" s="107"/>
      <c r="N79" s="107"/>
      <c r="Q79" s="107"/>
      <c r="R79" s="107"/>
    </row>
    <row r="80" customFormat="false" ht="12.75" hidden="false" customHeight="false" outlineLevel="0" collapsed="false">
      <c r="C80" s="1"/>
      <c r="H80" s="107"/>
      <c r="I80" s="111"/>
      <c r="J80" s="107"/>
      <c r="L80" s="107"/>
      <c r="M80" s="107"/>
      <c r="N80" s="107"/>
      <c r="Q80" s="107"/>
      <c r="R80" s="107"/>
    </row>
    <row r="81" customFormat="false" ht="12.75" hidden="false" customHeight="false" outlineLevel="0" collapsed="false">
      <c r="C81" s="1"/>
      <c r="H81" s="107"/>
      <c r="I81" s="111"/>
      <c r="J81" s="107"/>
      <c r="L81" s="107"/>
      <c r="M81" s="107"/>
      <c r="N81" s="107"/>
      <c r="Q81" s="107"/>
      <c r="R81" s="107"/>
    </row>
    <row r="82" customFormat="false" ht="12.75" hidden="false" customHeight="false" outlineLevel="0" collapsed="false">
      <c r="C82" s="1"/>
      <c r="H82" s="107"/>
      <c r="I82" s="111"/>
      <c r="J82" s="107"/>
      <c r="L82" s="107"/>
      <c r="M82" s="107"/>
      <c r="N82" s="107"/>
      <c r="Q82" s="107"/>
      <c r="R82" s="107"/>
    </row>
    <row r="83" customFormat="false" ht="12.75" hidden="false" customHeight="false" outlineLevel="0" collapsed="false">
      <c r="C83" s="1"/>
      <c r="H83" s="107"/>
      <c r="I83" s="111"/>
      <c r="J83" s="107"/>
      <c r="L83" s="107"/>
      <c r="M83" s="107"/>
      <c r="N83" s="107"/>
      <c r="Q83" s="107"/>
      <c r="R83" s="107"/>
    </row>
    <row r="84" customFormat="false" ht="12.75" hidden="false" customHeight="false" outlineLevel="0" collapsed="false">
      <c r="C84" s="1"/>
      <c r="H84" s="107"/>
      <c r="I84" s="111"/>
      <c r="J84" s="107"/>
      <c r="L84" s="107"/>
      <c r="M84" s="107"/>
      <c r="N84" s="107"/>
      <c r="Q84" s="107"/>
      <c r="R84" s="107"/>
    </row>
    <row r="85" customFormat="false" ht="12.75" hidden="false" customHeight="false" outlineLevel="0" collapsed="false">
      <c r="C85" s="1"/>
      <c r="H85" s="107"/>
      <c r="I85" s="111"/>
      <c r="J85" s="107"/>
      <c r="L85" s="107"/>
      <c r="M85" s="107"/>
      <c r="N85" s="107"/>
      <c r="Q85" s="107"/>
      <c r="R85" s="107"/>
    </row>
    <row r="86" customFormat="false" ht="12.75" hidden="false" customHeight="false" outlineLevel="0" collapsed="false">
      <c r="C86" s="1"/>
      <c r="H86" s="107"/>
      <c r="I86" s="111"/>
      <c r="J86" s="107"/>
      <c r="L86" s="107"/>
      <c r="M86" s="107"/>
      <c r="N86" s="107"/>
      <c r="Q86" s="107"/>
      <c r="R86" s="107"/>
    </row>
    <row r="87" customFormat="false" ht="12.75" hidden="false" customHeight="false" outlineLevel="0" collapsed="false">
      <c r="C87" s="1"/>
      <c r="H87" s="107"/>
      <c r="I87" s="111"/>
      <c r="J87" s="107"/>
      <c r="L87" s="107"/>
      <c r="M87" s="107"/>
      <c r="N87" s="107"/>
      <c r="Q87" s="107"/>
      <c r="R87" s="107"/>
    </row>
    <row r="88" customFormat="false" ht="12.75" hidden="false" customHeight="false" outlineLevel="0" collapsed="false">
      <c r="C88" s="1"/>
      <c r="H88" s="107"/>
      <c r="I88" s="111"/>
      <c r="J88" s="107"/>
      <c r="L88" s="107"/>
      <c r="M88" s="107"/>
      <c r="N88" s="107"/>
      <c r="Q88" s="107"/>
      <c r="R88" s="107"/>
    </row>
    <row r="89" customFormat="false" ht="12.75" hidden="false" customHeight="false" outlineLevel="0" collapsed="false">
      <c r="C89" s="1"/>
      <c r="H89" s="107"/>
      <c r="I89" s="111"/>
      <c r="J89" s="107"/>
      <c r="L89" s="107"/>
      <c r="M89" s="107"/>
      <c r="N89" s="107"/>
      <c r="Q89" s="107"/>
      <c r="R89" s="107"/>
    </row>
    <row r="90" customFormat="false" ht="12.75" hidden="false" customHeight="false" outlineLevel="0" collapsed="false">
      <c r="C90" s="1"/>
      <c r="H90" s="107"/>
      <c r="I90" s="111"/>
      <c r="J90" s="107"/>
      <c r="L90" s="107"/>
      <c r="M90" s="107"/>
      <c r="N90" s="107"/>
      <c r="Q90" s="107"/>
      <c r="R90" s="107"/>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07"/>
      <c r="I91" s="111"/>
      <c r="J91" s="107"/>
      <c r="L91" s="107"/>
      <c r="M91" s="107"/>
      <c r="N91" s="107"/>
      <c r="Q91" s="107"/>
      <c r="R91" s="107"/>
    </row>
    <row r="92" customFormat="false" ht="12.75" hidden="false" customHeight="false" outlineLevel="0" collapsed="false">
      <c r="H92" s="107"/>
      <c r="I92" s="111"/>
      <c r="J92" s="107"/>
      <c r="L92" s="107"/>
      <c r="M92" s="107"/>
      <c r="N92" s="107"/>
      <c r="Q92" s="107"/>
      <c r="R92" s="107"/>
    </row>
    <row r="93" customFormat="false" ht="12.75" hidden="false" customHeight="false" outlineLevel="0" collapsed="false">
      <c r="B93" s="15" t="s">
        <v>1</v>
      </c>
      <c r="H93" s="107"/>
      <c r="I93" s="111"/>
      <c r="J93" s="107"/>
      <c r="L93" s="107"/>
      <c r="M93" s="107"/>
      <c r="N93" s="107"/>
      <c r="Q93" s="107"/>
      <c r="R93" s="107"/>
    </row>
    <row r="94" customFormat="false" ht="12.75" hidden="false" customHeight="false" outlineLevel="0" collapsed="false">
      <c r="B94" s="15" t="s">
        <v>25</v>
      </c>
      <c r="H94" s="107"/>
      <c r="I94" s="111"/>
      <c r="J94" s="107"/>
      <c r="L94" s="107"/>
      <c r="M94" s="107"/>
      <c r="N94" s="107"/>
      <c r="Q94" s="107"/>
      <c r="R94" s="107"/>
    </row>
    <row r="95" customFormat="false" ht="12.75" hidden="false" customHeight="false" outlineLevel="0" collapsed="false">
      <c r="B95" s="15"/>
      <c r="H95" s="107"/>
      <c r="I95" s="111"/>
      <c r="J95" s="107"/>
      <c r="L95" s="107"/>
      <c r="M95" s="107"/>
      <c r="N95" s="107"/>
      <c r="Q95" s="107"/>
      <c r="R95" s="107"/>
    </row>
    <row r="96" customFormat="false" ht="12.75" hidden="false" customHeight="false" outlineLevel="0" collapsed="false">
      <c r="B96" s="15" t="str">
        <f aca="false">IF(Lang="Français","Fusée à eau  ",IF(Lang="English","Water-rocket  ",""))</f>
        <v>Fusée à eau  </v>
      </c>
      <c r="H96" s="107"/>
      <c r="I96" s="111"/>
      <c r="J96" s="107"/>
      <c r="L96" s="107"/>
      <c r="M96" s="107"/>
      <c r="N96" s="107"/>
      <c r="Q96" s="107"/>
      <c r="R96" s="107"/>
    </row>
    <row r="97" customFormat="false" ht="12.75" hidden="false" customHeight="false" outlineLevel="0" collapsed="false">
      <c r="B97" s="15" t="str">
        <f aca="false">IF(Lang="Français","Microfusée",IF(Lang="English","Micro-rocket",""))</f>
        <v>Microfusée</v>
      </c>
      <c r="H97" s="107"/>
      <c r="I97" s="111"/>
      <c r="J97" s="107"/>
      <c r="L97" s="107"/>
      <c r="M97" s="107"/>
      <c r="N97" s="107"/>
      <c r="Q97" s="107"/>
      <c r="R97" s="107"/>
    </row>
    <row r="98" customFormat="false" ht="12.75" hidden="false" customHeight="false" outlineLevel="0" collapsed="false">
      <c r="B98" s="15" t="str">
        <f aca="false">IF(Lang="Français","Minifusée",IF(Lang="English","Mini-rocket",""))</f>
        <v>Minifusée</v>
      </c>
      <c r="H98" s="107"/>
      <c r="I98" s="111"/>
      <c r="J98" s="107"/>
      <c r="L98" s="107"/>
      <c r="M98" s="107"/>
      <c r="N98" s="107"/>
      <c r="Q98" s="107"/>
      <c r="R98" s="107"/>
    </row>
    <row r="99" customFormat="false" ht="12.75" hidden="false" customHeight="false" outlineLevel="0" collapsed="false">
      <c r="B99" s="15" t="s">
        <v>26</v>
      </c>
      <c r="H99" s="107"/>
      <c r="I99" s="111"/>
      <c r="J99" s="107"/>
      <c r="L99" s="107"/>
      <c r="M99" s="107"/>
      <c r="N99" s="107"/>
      <c r="Q99" s="107"/>
      <c r="R99" s="107"/>
    </row>
    <row r="100" customFormat="false" ht="12.75" hidden="false" customHeight="false" outlineLevel="0" collapsed="false">
      <c r="B100" s="15" t="str">
        <f aca="false">IF(Lang="Français","Fusée expérimentale.",IF(Lang="English","Experimental Rocket.",""))</f>
        <v>Fusée expérimentale.</v>
      </c>
      <c r="H100" s="107"/>
      <c r="I100" s="111"/>
      <c r="J100" s="107"/>
      <c r="L100" s="107"/>
      <c r="M100" s="107"/>
      <c r="N100" s="107"/>
      <c r="Q100" s="107"/>
      <c r="R100" s="107"/>
    </row>
    <row r="101" customFormat="false" ht="12.75" hidden="false" customHeight="false" outlineLevel="0" collapsed="false">
      <c r="B101" s="15" t="s">
        <v>27</v>
      </c>
      <c r="H101" s="107"/>
      <c r="I101" s="111"/>
      <c r="J101" s="107"/>
      <c r="L101" s="107"/>
      <c r="M101" s="107"/>
      <c r="N101" s="107"/>
      <c r="Q101" s="107"/>
      <c r="R101" s="107"/>
    </row>
    <row r="102" customFormat="false" ht="12.75" hidden="false" customHeight="false" outlineLevel="0" collapsed="false">
      <c r="B102" s="15"/>
      <c r="H102" s="107"/>
      <c r="I102" s="111"/>
      <c r="J102" s="107"/>
      <c r="L102" s="107"/>
      <c r="M102" s="107"/>
      <c r="N102" s="107"/>
      <c r="Q102" s="107"/>
      <c r="R102" s="107"/>
    </row>
    <row r="103" customFormat="false" ht="12.75" hidden="false" customHeight="false" outlineLevel="0" collapsed="false">
      <c r="B103" s="15" t="str">
        <f aca="false">IF(Lang="Français","sans propu",IF(Lang="English","without motor",""))</f>
        <v>sans propu</v>
      </c>
      <c r="H103" s="107"/>
      <c r="I103" s="111"/>
      <c r="J103" s="107"/>
      <c r="L103" s="107"/>
      <c r="M103" s="107"/>
      <c r="N103" s="107"/>
      <c r="Q103" s="107"/>
      <c r="R103" s="107"/>
    </row>
    <row r="104" customFormat="false" ht="12.75" hidden="false" customHeight="false" outlineLevel="0" collapsed="false">
      <c r="B104" s="15" t="str">
        <f aca="false">IF(Lang="Français","avec propu vide",IF(Lang="English","with empty motor",""))</f>
        <v>avec propu vide</v>
      </c>
      <c r="H104" s="107"/>
      <c r="I104" s="111"/>
      <c r="J104" s="107"/>
      <c r="L104" s="107"/>
      <c r="M104" s="107"/>
      <c r="N104" s="107"/>
      <c r="Q104" s="107"/>
      <c r="R104" s="107"/>
    </row>
    <row r="105" customFormat="false" ht="12.75" hidden="false" customHeight="false" outlineLevel="0" collapsed="false">
      <c r="B105" s="15" t="str">
        <f aca="false">IF(Lang="Français","avec propu plein",IF(Lang="English","with loaded motor",""))</f>
        <v>avec propu plein</v>
      </c>
      <c r="H105" s="107"/>
      <c r="I105" s="111"/>
      <c r="J105" s="107"/>
      <c r="L105" s="107"/>
      <c r="M105" s="107"/>
      <c r="N105" s="107"/>
      <c r="Q105" s="107"/>
      <c r="R105" s="107"/>
    </row>
    <row r="106" customFormat="false" ht="12.75" hidden="false" customHeight="false" outlineLevel="0" collapsed="false">
      <c r="B106" s="15"/>
      <c r="H106" s="107"/>
      <c r="I106" s="111"/>
      <c r="J106" s="107"/>
      <c r="L106" s="107"/>
      <c r="M106" s="107"/>
      <c r="N106" s="107"/>
      <c r="Q106" s="107"/>
      <c r="R106" s="107"/>
    </row>
    <row r="107" customFormat="false" ht="12.75" hidden="false" customHeight="false" outlineLevel="0" collapsed="false">
      <c r="B107" s="15" t="str">
        <f aca="false">IF(Lang="Français","Parabolique (arrondie)",IF(Lang="English","Parabola (rounded)",""))</f>
        <v>Parabolique (arrondie)</v>
      </c>
      <c r="H107" s="107"/>
      <c r="I107" s="111"/>
      <c r="J107" s="107"/>
      <c r="L107" s="107"/>
      <c r="M107" s="107"/>
      <c r="N107" s="107"/>
      <c r="Q107" s="107"/>
      <c r="R107" s="107"/>
    </row>
    <row r="108" customFormat="false" ht="12.75" hidden="false" customHeight="false" outlineLevel="0" collapsed="false">
      <c r="B108" s="15" t="str">
        <f aca="false">IF(Lang="Français","Ogivale (pointue)",IF(Lang="English","Ogive (sharp)",""))</f>
        <v>Ogivale (pointue)</v>
      </c>
      <c r="H108" s="107"/>
      <c r="I108" s="111"/>
      <c r="J108" s="107"/>
      <c r="L108" s="107"/>
      <c r="M108" s="107"/>
      <c r="N108" s="107"/>
      <c r="Q108" s="107"/>
      <c r="R108" s="107"/>
    </row>
    <row r="109" customFormat="false" ht="12.75" hidden="false" customHeight="false" outlineLevel="0" collapsed="false">
      <c r="B109" s="15" t="str">
        <f aca="false">IF(Lang="Français","Conique (droite)",IF(Lang="English","Cone (straight)",""))</f>
        <v>Conique (droite)</v>
      </c>
      <c r="H109" s="107"/>
      <c r="I109" s="111"/>
      <c r="J109" s="107"/>
      <c r="L109" s="107"/>
      <c r="M109" s="107"/>
      <c r="N109" s="107"/>
      <c r="Q109" s="107"/>
      <c r="R109" s="107"/>
    </row>
    <row r="110" customFormat="false" ht="12.75" hidden="false" customHeight="false" outlineLevel="0" collapsed="false">
      <c r="B110" s="115"/>
      <c r="H110" s="107"/>
      <c r="I110" s="111"/>
      <c r="J110" s="107"/>
      <c r="L110" s="107"/>
      <c r="M110" s="107"/>
      <c r="N110" s="107"/>
      <c r="Q110" s="107"/>
      <c r="R110" s="107"/>
    </row>
    <row r="111" customFormat="false" ht="12.75" hidden="false" customHeight="false" outlineLevel="0" collapsed="false">
      <c r="B111" s="66" t="s">
        <v>17</v>
      </c>
      <c r="H111" s="107"/>
      <c r="I111" s="111"/>
      <c r="J111" s="107"/>
      <c r="L111" s="107"/>
      <c r="M111" s="107"/>
      <c r="N111" s="107"/>
      <c r="Q111" s="107"/>
      <c r="R111" s="107"/>
    </row>
    <row r="112" customFormat="false" ht="12.75" hidden="false" customHeight="false" outlineLevel="0" collapsed="false">
      <c r="B112" s="66" t="s">
        <v>28</v>
      </c>
      <c r="H112" s="107"/>
      <c r="I112" s="111"/>
      <c r="J112" s="107"/>
      <c r="L112" s="107"/>
      <c r="M112" s="107"/>
      <c r="N112" s="107"/>
      <c r="Q112" s="107"/>
      <c r="R112" s="107"/>
    </row>
    <row r="113" customFormat="false" ht="12.75" hidden="false" customHeight="false" outlineLevel="0" collapsed="false">
      <c r="B113" s="115"/>
      <c r="H113" s="107"/>
      <c r="I113" s="111"/>
      <c r="J113" s="107"/>
      <c r="L113" s="107"/>
      <c r="M113" s="107"/>
      <c r="N113" s="107"/>
      <c r="Q113" s="107"/>
      <c r="R113" s="107"/>
    </row>
    <row r="114" customFormat="false" ht="12.75" hidden="false" customHeight="false" outlineLevel="0" collapsed="false">
      <c r="B114" s="66" t="str">
        <f aca="false">IF(Lang="Français","Fusée mono-diamètre,",IF(Lang="English","Mono-diameter rocket,",""))</f>
        <v>Fusée mono-diamètre,</v>
      </c>
      <c r="H114" s="107"/>
      <c r="I114" s="111"/>
      <c r="J114" s="107"/>
      <c r="L114" s="107"/>
      <c r="M114" s="107"/>
      <c r="N114" s="107"/>
      <c r="Q114" s="107"/>
      <c r="R114" s="107"/>
    </row>
    <row r="115" customFormat="false" ht="12.75" hidden="false" customHeight="false" outlineLevel="0" collapsed="false">
      <c r="B115" s="66" t="str">
        <f aca="false">IF(Lang="Français","Plusieurs diamètres.",IF(Lang="English","Many diameters rocket.",""))</f>
        <v>Plusieurs diamètres.</v>
      </c>
      <c r="H115" s="107"/>
      <c r="I115" s="111"/>
      <c r="J115" s="107"/>
      <c r="L115" s="107"/>
      <c r="M115" s="107"/>
      <c r="N115" s="107"/>
      <c r="Q115" s="107"/>
      <c r="R115" s="107"/>
    </row>
    <row r="116" customFormat="false" ht="12.75" hidden="false" customHeight="false" outlineLevel="0" collapsed="false">
      <c r="B116" s="66"/>
      <c r="H116" s="107"/>
      <c r="I116" s="111"/>
      <c r="J116" s="107"/>
      <c r="L116" s="107"/>
      <c r="M116" s="107"/>
      <c r="N116" s="107"/>
      <c r="Q116" s="107"/>
      <c r="R116" s="107"/>
    </row>
    <row r="117" customFormat="false" ht="12.75" hidden="false" customHeight="false" outlineLevel="0" collapsed="false">
      <c r="B117" s="66" t="str">
        <f aca="false">IF(Lang="Français","Diagramme des critères de stabilité","Stability criterions diagram")</f>
        <v>Diagramme des critères de stabilité</v>
      </c>
      <c r="H117" s="107"/>
      <c r="I117" s="111"/>
      <c r="J117" s="107"/>
      <c r="L117" s="107"/>
      <c r="M117" s="107"/>
      <c r="N117" s="107"/>
      <c r="Q117" s="107"/>
      <c r="R117" s="107"/>
    </row>
    <row r="118" customFormat="false" ht="12.75" hidden="false" customHeight="false" outlineLevel="0" collapsed="false">
      <c r="B118" s="66" t="str">
        <f aca="false">IF(Lang="Français","Marge Statique (MS)","Static Margin")</f>
        <v>Marge Statique (MS)</v>
      </c>
      <c r="H118" s="107"/>
      <c r="I118" s="111"/>
      <c r="J118" s="107"/>
      <c r="L118" s="107"/>
      <c r="M118" s="107"/>
      <c r="N118" s="107"/>
      <c r="Q118" s="107"/>
      <c r="R118" s="107"/>
    </row>
    <row r="119" customFormat="false" ht="12.75" hidden="false" customHeight="false" outlineLevel="0" collapsed="false">
      <c r="B119" s="66" t="str">
        <f aca="false">IF(Lang="Français","Portance Cnα","Lift Cnα")</f>
        <v>Portance Cnα</v>
      </c>
      <c r="H119" s="107"/>
      <c r="I119" s="111"/>
      <c r="J119" s="107"/>
      <c r="L119" s="107"/>
      <c r="M119" s="107"/>
      <c r="N119" s="107"/>
      <c r="Q119" s="107"/>
      <c r="R119" s="107"/>
    </row>
    <row r="120" customFormat="false" ht="12.75" hidden="false" customHeight="false" outlineLevel="0" collapsed="false">
      <c r="B120" s="66"/>
      <c r="H120" s="107"/>
      <c r="I120" s="111"/>
      <c r="J120" s="107"/>
      <c r="L120" s="107"/>
      <c r="M120" s="107"/>
      <c r="N120" s="107"/>
      <c r="Q120" s="107"/>
      <c r="R120" s="107"/>
    </row>
    <row r="121" customFormat="false" ht="12.75" hidden="false" customHeight="false" outlineLevel="0" collapsed="false">
      <c r="B121" s="1" t="str">
        <f aca="false">IF(Lang="Français","Données pour les graphiques :",IF(Lang="English","Data for plots:",""))</f>
        <v>Données pour les graphiques :</v>
      </c>
      <c r="H121" s="107"/>
      <c r="I121" s="111"/>
      <c r="J121" s="107"/>
      <c r="L121" s="107"/>
      <c r="M121" s="107"/>
      <c r="N121" s="107"/>
      <c r="Q121" s="107"/>
      <c r="R121" s="107"/>
    </row>
    <row r="122" customFormat="false" ht="12.75" hidden="false" customHeight="false" outlineLevel="0" collapsed="false">
      <c r="H122" s="107"/>
      <c r="I122" s="111"/>
      <c r="J122" s="107"/>
      <c r="L122" s="107"/>
      <c r="M122" s="107"/>
      <c r="N122" s="107"/>
      <c r="Q122" s="107"/>
      <c r="R122" s="107"/>
    </row>
    <row r="123" customFormat="false" ht="12.75" hidden="false" customHeight="false" outlineLevel="0" collapsed="false">
      <c r="B123" s="110"/>
      <c r="C123" s="110" t="s">
        <v>29</v>
      </c>
      <c r="D123" s="110" t="s">
        <v>30</v>
      </c>
      <c r="E123" s="116" t="s">
        <v>31</v>
      </c>
      <c r="K123" s="110"/>
      <c r="R123" s="107"/>
    </row>
    <row r="124" customFormat="false" ht="12.75" hidden="false" customHeight="false" outlineLevel="0" collapsed="false">
      <c r="B124" s="110" t="s">
        <v>32</v>
      </c>
      <c r="C124" s="117" t="n">
        <f aca="false">-Long_ogive</f>
        <v>-199</v>
      </c>
      <c r="D124" s="117" t="n">
        <v>0</v>
      </c>
      <c r="E124" s="118" t="n">
        <f aca="false">-D124</f>
        <v>-0</v>
      </c>
      <c r="K124" s="117"/>
    </row>
    <row r="125" customFormat="false" ht="12.75" hidden="false" customHeight="false" outlineLevel="0" collapsed="false">
      <c r="B125" s="110" t="s">
        <v>32</v>
      </c>
      <c r="C125" s="117" t="n">
        <f aca="false">-Long_ogive</f>
        <v>-199</v>
      </c>
      <c r="D125" s="117" t="n">
        <f aca="false">D_og/2</f>
        <v>29.5</v>
      </c>
      <c r="E125" s="118" t="n">
        <f aca="false">-D125</f>
        <v>-29.5</v>
      </c>
      <c r="K125" s="117"/>
    </row>
    <row r="126" customFormat="false" ht="12.75" hidden="false" customHeight="false" outlineLevel="0" collapsed="false">
      <c r="B126" s="110" t="s">
        <v>33</v>
      </c>
      <c r="C126" s="117" t="n">
        <f aca="false">IF(AND(RIGHT(Nb_diam,1)=".",X_j), -X_j, C125 )</f>
        <v>-199</v>
      </c>
      <c r="D126" s="117" t="n">
        <f aca="false">IF(AND(RIGHT(Nb_diam,1)=".",X_j), D1j/2, D125 )</f>
        <v>29.5</v>
      </c>
      <c r="E126" s="118" t="n">
        <f aca="false">-D126</f>
        <v>-29.5</v>
      </c>
      <c r="K126" s="117"/>
    </row>
    <row r="127" customFormat="false" ht="12.75" hidden="false" customHeight="false" outlineLevel="0" collapsed="false">
      <c r="B127" s="110" t="s">
        <v>34</v>
      </c>
      <c r="C127" s="117" t="n">
        <f aca="false">IF(AND(RIGHT(Nb_diam,1)=".",X_j), -X_j-l_j, C126 )</f>
        <v>-199</v>
      </c>
      <c r="D127" s="117" t="n">
        <f aca="false">IF(AND(RIGHT(Nb_diam,1)=".",X_j), D2j/2, D126 )</f>
        <v>29.5</v>
      </c>
      <c r="E127" s="118" t="n">
        <f aca="false">-D127</f>
        <v>-29.5</v>
      </c>
      <c r="K127" s="117"/>
    </row>
    <row r="128" customFormat="false" ht="12.75" hidden="false" customHeight="false" outlineLevel="0" collapsed="false">
      <c r="B128" s="110" t="s">
        <v>35</v>
      </c>
      <c r="C128" s="117" t="n">
        <f aca="false">IF(AND(RIGHT(Nb_diam,1)=".",X_r), -X_r, C127 )</f>
        <v>-199</v>
      </c>
      <c r="D128" s="117" t="n">
        <f aca="false">IF(AND(RIGHT(Nb_diam,1)=".",X_r), D1r/2, D127 )</f>
        <v>29.5</v>
      </c>
      <c r="E128" s="118" t="n">
        <f aca="false">-D128</f>
        <v>-29.5</v>
      </c>
      <c r="K128" s="117"/>
    </row>
    <row r="129" customFormat="false" ht="12.75" hidden="false" customHeight="false" outlineLevel="0" collapsed="false">
      <c r="B129" s="110" t="s">
        <v>36</v>
      </c>
      <c r="C129" s="117" t="n">
        <f aca="false">IF(AND(RIGHT(Nb_diam,1)=".",X_r), -X_r-l_r, C128 )</f>
        <v>-199</v>
      </c>
      <c r="D129" s="117" t="n">
        <f aca="false">IF(AND(RIGHT(Nb_diam,1)=".",X_r), D2r/2, D128 )</f>
        <v>29.5</v>
      </c>
      <c r="E129" s="118" t="n">
        <f aca="false">-D129</f>
        <v>-29.5</v>
      </c>
      <c r="K129" s="117"/>
    </row>
    <row r="130" customFormat="false" ht="12.75" hidden="false" customHeight="false" outlineLevel="0" collapsed="false">
      <c r="B130" s="110" t="s">
        <v>37</v>
      </c>
      <c r="C130" s="117" t="n">
        <f aca="false">-Long_tot</f>
        <v>-1200</v>
      </c>
      <c r="D130" s="117" t="n">
        <f aca="false">D129</f>
        <v>29.5</v>
      </c>
      <c r="E130" s="118" t="n">
        <f aca="false">-D130</f>
        <v>-29.5</v>
      </c>
      <c r="K130" s="117"/>
    </row>
    <row r="131" customFormat="false" ht="12.75" hidden="false" customHeight="false" outlineLevel="0" collapsed="false">
      <c r="B131" s="110" t="s">
        <v>37</v>
      </c>
      <c r="C131" s="117" t="n">
        <f aca="false">-Long_tot</f>
        <v>-1200</v>
      </c>
      <c r="D131" s="117" t="n">
        <v>0</v>
      </c>
      <c r="E131" s="118" t="n">
        <f aca="false">-D131</f>
        <v>-0</v>
      </c>
      <c r="K131" s="117"/>
    </row>
    <row r="132" customFormat="false" ht="12.75" hidden="false" customHeight="false" outlineLevel="0" collapsed="false">
      <c r="B132" s="119" t="s">
        <v>38</v>
      </c>
      <c r="C132" s="120" t="n">
        <f aca="false">-X_ail+m_ail</f>
        <v>-1091</v>
      </c>
      <c r="D132" s="120" t="n">
        <f aca="false">D_ail/2</f>
        <v>29.5</v>
      </c>
      <c r="E132" s="121" t="n">
        <f aca="false">-D132</f>
        <v>-29.5</v>
      </c>
      <c r="K132" s="117"/>
    </row>
    <row r="133" customFormat="false" ht="12.75" hidden="false" customHeight="false" outlineLevel="0" collapsed="false">
      <c r="B133" s="122" t="s">
        <v>39</v>
      </c>
      <c r="C133" s="123" t="n">
        <f aca="false">-X_ail+m_ail-p_ail</f>
        <v>-1200</v>
      </c>
      <c r="D133" s="123" t="n">
        <f aca="false">D_ail/2+E_ail</f>
        <v>128.5</v>
      </c>
      <c r="E133" s="124" t="n">
        <f aca="false">-D133</f>
        <v>-128.5</v>
      </c>
      <c r="K133" s="117"/>
    </row>
    <row r="134" customFormat="false" ht="12.75" hidden="false" customHeight="false" outlineLevel="0" collapsed="false">
      <c r="B134" s="122" t="s">
        <v>40</v>
      </c>
      <c r="C134" s="123" t="n">
        <f aca="false">-X_ail+m_ail-p_ail-n_ail</f>
        <v>-1259</v>
      </c>
      <c r="D134" s="123" t="n">
        <f aca="false">D_ail/2+E_ail</f>
        <v>128.5</v>
      </c>
      <c r="E134" s="124" t="n">
        <f aca="false">-D134</f>
        <v>-128.5</v>
      </c>
      <c r="K134" s="117"/>
    </row>
    <row r="135" customFormat="false" ht="12.75" hidden="false" customHeight="false" outlineLevel="0" collapsed="false">
      <c r="B135" s="122" t="s">
        <v>41</v>
      </c>
      <c r="C135" s="123" t="n">
        <f aca="false">-X_ail</f>
        <v>-1200</v>
      </c>
      <c r="D135" s="123" t="n">
        <f aca="false">D_ail/2</f>
        <v>29.5</v>
      </c>
      <c r="E135" s="124" t="n">
        <f aca="false">-D135</f>
        <v>-29.5</v>
      </c>
      <c r="K135" s="117"/>
    </row>
    <row r="136" customFormat="false" ht="12.75" hidden="false" customHeight="false" outlineLevel="0" collapsed="false">
      <c r="B136" s="125" t="s">
        <v>38</v>
      </c>
      <c r="C136" s="126" t="n">
        <f aca="false">-X_ail+m_ail</f>
        <v>-1091</v>
      </c>
      <c r="D136" s="126" t="n">
        <f aca="false">D_ail/2</f>
        <v>29.5</v>
      </c>
      <c r="E136" s="127" t="n">
        <f aca="false">-D136</f>
        <v>-29.5</v>
      </c>
      <c r="K136" s="117"/>
    </row>
    <row r="137" customFormat="false" ht="12.75" hidden="false" customHeight="false" outlineLevel="0" collapsed="false">
      <c r="B137" s="119" t="str">
        <f aca="false">IF(E_ail&gt;0,IF(Lang="Français","Envergure","Span"),"")</f>
        <v>Envergure</v>
      </c>
      <c r="C137" s="120" t="n">
        <f aca="false">MIN(-X_ail,-X_ail+m_ail-p_ail-n_ail)-Long_tot/30</f>
        <v>-1299</v>
      </c>
      <c r="D137" s="128" t="n">
        <f aca="false">-D_ail/2-E_ail</f>
        <v>-128.5</v>
      </c>
      <c r="E137" s="129"/>
      <c r="K137" s="117"/>
    </row>
    <row r="138" customFormat="false" ht="12.75" hidden="false" customHeight="false" outlineLevel="0" collapsed="false">
      <c r="B138" s="122" t="s">
        <v>42</v>
      </c>
      <c r="C138" s="123" t="n">
        <f aca="false">MIN(-X_ail,-X_ail+m_ail-p_ail-n_ail)-Long_tot/30</f>
        <v>-1299</v>
      </c>
      <c r="D138" s="130" t="n">
        <f aca="false">-D_ail/2-E_ail/2</f>
        <v>-79</v>
      </c>
      <c r="E138" s="129"/>
      <c r="K138" s="117"/>
    </row>
    <row r="139" customFormat="false" ht="12.75" hidden="false" customHeight="false" outlineLevel="0" collapsed="false">
      <c r="B139" s="125" t="s">
        <v>43</v>
      </c>
      <c r="C139" s="126" t="n">
        <f aca="false">MIN(-X_ail,-X_ail+m_ail-p_ail-n_ail)-Long_tot/30</f>
        <v>-1299</v>
      </c>
      <c r="D139" s="131" t="n">
        <f aca="false">-D_ail/2</f>
        <v>-29.5</v>
      </c>
      <c r="E139" s="129"/>
      <c r="K139" s="117"/>
    </row>
    <row r="140" customFormat="false" ht="12.75" hidden="false" customHeight="false" outlineLevel="0" collapsed="false">
      <c r="B140" s="119" t="str">
        <f aca="false">IF(Lang="Français","Emplanture","Root edge")</f>
        <v>Emplanture</v>
      </c>
      <c r="C140" s="120" t="n">
        <f aca="false">-X_ail+m_ail</f>
        <v>-1091</v>
      </c>
      <c r="D140" s="128" t="n">
        <f aca="false">D_ail/2+E_ail+Long_tot/20</f>
        <v>188.5</v>
      </c>
      <c r="E140" s="129"/>
      <c r="K140" s="117"/>
    </row>
    <row r="141" customFormat="false" ht="12.75" hidden="false" customHeight="false" outlineLevel="0" collapsed="false">
      <c r="B141" s="122" t="s">
        <v>44</v>
      </c>
      <c r="C141" s="123" t="n">
        <f aca="false">-X_ail+m_ail/2</f>
        <v>-1145.5</v>
      </c>
      <c r="D141" s="130" t="n">
        <f aca="false">D_ail/2+E_ail+Long_tot/20</f>
        <v>188.5</v>
      </c>
      <c r="E141" s="129"/>
      <c r="K141" s="117"/>
    </row>
    <row r="142" customFormat="false" ht="12.75" hidden="false" customHeight="false" outlineLevel="0" collapsed="false">
      <c r="B142" s="125" t="s">
        <v>45</v>
      </c>
      <c r="C142" s="126" t="n">
        <f aca="false">-X_ail</f>
        <v>-1200</v>
      </c>
      <c r="D142" s="131" t="n">
        <f aca="false">D_ail/2+E_ail+Long_tot/20</f>
        <v>188.5</v>
      </c>
      <c r="E142" s="129"/>
      <c r="K142" s="117"/>
    </row>
    <row r="143" customFormat="false" ht="12.75" hidden="false" customHeight="false" outlineLevel="0" collapsed="false">
      <c r="B143" s="119" t="str">
        <f aca="false">IF(p_ail&lt;&gt;0,IF(Lang="Français","Flèche","Offset"),"")</f>
        <v>Flèche</v>
      </c>
      <c r="C143" s="120" t="n">
        <f aca="false">-X_ail+m_ail</f>
        <v>-1091</v>
      </c>
      <c r="D143" s="128" t="n">
        <f aca="false">-D_ail/2-E_ail-Long_tot/30</f>
        <v>-168.5</v>
      </c>
      <c r="E143" s="129"/>
      <c r="K143" s="117"/>
    </row>
    <row r="144" customFormat="false" ht="12.75" hidden="false" customHeight="false" outlineLevel="0" collapsed="false">
      <c r="B144" s="122" t="s">
        <v>46</v>
      </c>
      <c r="C144" s="123" t="n">
        <f aca="false">-X_ail+m_ail-p_ail/2</f>
        <v>-1145.5</v>
      </c>
      <c r="D144" s="130" t="n">
        <f aca="false">-D_ail/2-E_ail-Long_tot/30</f>
        <v>-168.5</v>
      </c>
      <c r="E144" s="129"/>
      <c r="K144" s="117"/>
    </row>
    <row r="145" customFormat="false" ht="12.75" hidden="false" customHeight="false" outlineLevel="0" collapsed="false">
      <c r="B145" s="125" t="s">
        <v>47</v>
      </c>
      <c r="C145" s="126" t="n">
        <f aca="false">-X_ail+m_ail-p_ail</f>
        <v>-1200</v>
      </c>
      <c r="D145" s="131" t="n">
        <f aca="false">-D_ail/2-E_ail-Long_tot/30</f>
        <v>-168.5</v>
      </c>
      <c r="E145" s="129"/>
      <c r="K145" s="117"/>
    </row>
    <row r="146" customFormat="false" ht="12.75" hidden="false" customHeight="false" outlineLevel="0" collapsed="false">
      <c r="B146" s="119" t="str">
        <f aca="false">IF(n_ail&gt;0,IF(Lang="Français","Saumon","Tip edge"),"")</f>
        <v>Saumon</v>
      </c>
      <c r="C146" s="120" t="n">
        <f aca="false">-X_ail+m_ail-p_ail</f>
        <v>-1200</v>
      </c>
      <c r="D146" s="128" t="n">
        <f aca="false">-D_ail/2-E_ail-Long_tot/20</f>
        <v>-188.5</v>
      </c>
      <c r="E146" s="129"/>
      <c r="K146" s="117"/>
    </row>
    <row r="147" customFormat="false" ht="12.75" hidden="false" customHeight="false" outlineLevel="0" collapsed="false">
      <c r="B147" s="122" t="s">
        <v>48</v>
      </c>
      <c r="C147" s="123" t="n">
        <f aca="false">-X_ail+m_ail-p_ail-n_ail/2</f>
        <v>-1229.5</v>
      </c>
      <c r="D147" s="130" t="n">
        <f aca="false">-D_ail/2-E_ail-Long_tot/20</f>
        <v>-188.5</v>
      </c>
      <c r="E147" s="129"/>
      <c r="K147" s="117"/>
    </row>
    <row r="148" customFormat="false" ht="12.75" hidden="false" customHeight="false" outlineLevel="0" collapsed="false">
      <c r="B148" s="125" t="s">
        <v>49</v>
      </c>
      <c r="C148" s="126" t="n">
        <f aca="false">-X_ail+m_ail-p_ail-n_ail</f>
        <v>-1259</v>
      </c>
      <c r="D148" s="131" t="n">
        <f aca="false">-D_ail/2-E_ail-Long_tot/20</f>
        <v>-188.5</v>
      </c>
      <c r="E148" s="129"/>
      <c r="K148" s="117"/>
    </row>
    <row r="149" customFormat="false" ht="12.75" hidden="false" customHeight="false" outlineLevel="0" collapsed="false">
      <c r="B149" s="119" t="s">
        <v>50</v>
      </c>
      <c r="C149" s="120" t="n">
        <f aca="false">-XcgPlein</f>
        <v>-829.316879287134</v>
      </c>
      <c r="D149" s="128" t="n">
        <v>0</v>
      </c>
      <c r="E149" s="118"/>
      <c r="K149" s="117"/>
    </row>
    <row r="150" customFormat="false" ht="12.75" hidden="false" customHeight="false" outlineLevel="0" collapsed="false">
      <c r="B150" s="125" t="s">
        <v>51</v>
      </c>
      <c r="C150" s="126" t="n">
        <f aca="false">-XcgVide</f>
        <v>-816.243212288621</v>
      </c>
      <c r="D150" s="131" t="n">
        <v>0</v>
      </c>
      <c r="E150" s="118"/>
      <c r="K150" s="117"/>
    </row>
    <row r="151" customFormat="false" ht="12.75" hidden="false" customHeight="false" outlineLevel="0" collapsed="false">
      <c r="B151" s="119" t="s">
        <v>52</v>
      </c>
      <c r="C151" s="120" t="n">
        <f aca="false">-XCp</f>
        <v>-1062.2742500687</v>
      </c>
      <c r="D151" s="128" t="n">
        <v>0</v>
      </c>
      <c r="E151" s="118"/>
      <c r="K151" s="117"/>
    </row>
    <row r="152" customFormat="false" ht="12.75" hidden="false" customHeight="false" outlineLevel="0" collapsed="false">
      <c r="B152" s="125" t="s">
        <v>52</v>
      </c>
      <c r="C152" s="126" t="n">
        <f aca="false">-XCp</f>
        <v>-1062.2742500687</v>
      </c>
      <c r="D152" s="131" t="n">
        <f aca="false">Cn*D_ref/CritCnmin</f>
        <v>84.5569288418741</v>
      </c>
      <c r="E152" s="118"/>
      <c r="K152" s="117"/>
    </row>
    <row r="153" customFormat="false" ht="12.75" hidden="false" customHeight="false" outlineLevel="0" collapsed="false">
      <c r="B153" s="122" t="s">
        <v>53</v>
      </c>
      <c r="C153" s="123" t="n">
        <f aca="false">-XCp0</f>
        <v>-1062.2742500687</v>
      </c>
      <c r="D153" s="130" t="n">
        <f aca="false">Cn0*D_ref/CritCnmin</f>
        <v>84.5569288418741</v>
      </c>
      <c r="E153" s="118"/>
      <c r="K153" s="117"/>
    </row>
    <row r="154" customFormat="false" ht="12.75" hidden="false" customHeight="false" outlineLevel="0" collapsed="false">
      <c r="B154" s="122" t="s">
        <v>53</v>
      </c>
      <c r="C154" s="123" t="n">
        <f aca="false">-XCp0</f>
        <v>-1062.2742500687</v>
      </c>
      <c r="D154" s="130" t="n">
        <v>0</v>
      </c>
      <c r="E154" s="118"/>
      <c r="K154" s="117"/>
    </row>
    <row r="155" customFormat="false" ht="12.75" hidden="false" customHeight="false" outlineLevel="0" collapsed="false">
      <c r="B155" s="119" t="str">
        <f aca="false">IF(n_ail&gt;0,IF(Lang="Français","Marge Statique","Static Margin"),"")</f>
        <v>Marge Statique</v>
      </c>
      <c r="C155" s="120" t="n">
        <f aca="false">(-XcgPlein-XcgVide)/2</f>
        <v>-822.780045787877</v>
      </c>
      <c r="D155" s="128" t="n">
        <f aca="false">-D_ail/2-E_ail-Long_tot/20</f>
        <v>-188.5</v>
      </c>
      <c r="E155" s="118"/>
      <c r="K155" s="117"/>
    </row>
    <row r="156" customFormat="false" ht="12.75" hidden="false" customHeight="false" outlineLevel="0" collapsed="false">
      <c r="B156" s="122" t="s">
        <v>54</v>
      </c>
      <c r="C156" s="123" t="n">
        <f aca="false">(C155+C157)/2</f>
        <v>-942.527147928289</v>
      </c>
      <c r="D156" s="130" t="n">
        <f aca="false">-D_ail/2-E_ail-Long_tot/20</f>
        <v>-188.5</v>
      </c>
      <c r="E156" s="118"/>
      <c r="K156" s="117"/>
    </row>
    <row r="157" customFormat="false" ht="12.75" hidden="false" customHeight="false" outlineLevel="0" collapsed="false">
      <c r="B157" s="125" t="s">
        <v>55</v>
      </c>
      <c r="C157" s="126" t="n">
        <f aca="false">-XCp</f>
        <v>-1062.2742500687</v>
      </c>
      <c r="D157" s="131" t="n">
        <f aca="false">-D_ail/2-E_ail-Long_tot/20</f>
        <v>-188.5</v>
      </c>
      <c r="E157" s="118"/>
      <c r="K157" s="117"/>
    </row>
    <row r="158" customFormat="false" ht="12.75" hidden="false" customHeight="false" outlineLevel="0" collapsed="false">
      <c r="B158" s="119" t="s">
        <v>56</v>
      </c>
      <c r="C158" s="120" t="n">
        <f aca="false">IF(LEFT(Type_masquage,1)="M",0,-X_can+m_can)</f>
        <v>0</v>
      </c>
      <c r="D158" s="120" t="n">
        <f aca="false">IF(LEFT(Type_masquage,1)="M",0,D_ail/2)</f>
        <v>0</v>
      </c>
      <c r="E158" s="121" t="n">
        <f aca="false">-D158</f>
        <v>-0</v>
      </c>
      <c r="K158" s="117"/>
    </row>
    <row r="159" customFormat="false" ht="12.75" hidden="false" customHeight="false" outlineLevel="0" collapsed="false">
      <c r="B159" s="122" t="s">
        <v>57</v>
      </c>
      <c r="C159" s="123" t="n">
        <f aca="false">IF(LEFT(Type_masquage,1)="M",0,-X_can+m_can-p_can)</f>
        <v>0</v>
      </c>
      <c r="D159" s="123" t="n">
        <f aca="false">IF(LEFT(Type_masquage,1)="M",0,D_ail/2+E_can)</f>
        <v>0</v>
      </c>
      <c r="E159" s="124" t="n">
        <f aca="false">-D159</f>
        <v>-0</v>
      </c>
      <c r="K159" s="117"/>
    </row>
    <row r="160" customFormat="false" ht="12.75" hidden="false" customHeight="false" outlineLevel="0" collapsed="false">
      <c r="B160" s="122" t="s">
        <v>58</v>
      </c>
      <c r="C160" s="123" t="n">
        <f aca="false">IF(LEFT(Type_masquage,1)="M",0,-X_can+m_can-p_can-n_can)</f>
        <v>0</v>
      </c>
      <c r="D160" s="123" t="n">
        <f aca="false">IF(LEFT(Type_masquage,1)="M",0,D_ail/2+E_can)</f>
        <v>0</v>
      </c>
      <c r="E160" s="124" t="n">
        <f aca="false">-D160</f>
        <v>-0</v>
      </c>
      <c r="K160" s="117"/>
    </row>
    <row r="161" customFormat="false" ht="12.75" hidden="false" customHeight="false" outlineLevel="0" collapsed="false">
      <c r="B161" s="122" t="s">
        <v>59</v>
      </c>
      <c r="C161" s="123" t="n">
        <f aca="false">IF(LEFT(Type_masquage,1)="M",0,-X_can)</f>
        <v>0</v>
      </c>
      <c r="D161" s="123" t="n">
        <f aca="false">IF(LEFT(Type_masquage,1)="M",0,D_ail/2)</f>
        <v>0</v>
      </c>
      <c r="E161" s="124" t="n">
        <f aca="false">-D161</f>
        <v>-0</v>
      </c>
      <c r="K161" s="117"/>
    </row>
    <row r="162" customFormat="false" ht="12.75" hidden="false" customHeight="false" outlineLevel="0" collapsed="false">
      <c r="B162" s="125" t="s">
        <v>56</v>
      </c>
      <c r="C162" s="126" t="n">
        <f aca="false">IF(LEFT(Type_masquage,1)="M",0,-X_can+m_can)</f>
        <v>0</v>
      </c>
      <c r="D162" s="126" t="n">
        <f aca="false">IF(LEFT(Type_masquage,1)="M",0,D_ail/2)</f>
        <v>0</v>
      </c>
      <c r="E162" s="127" t="n">
        <f aca="false">-D162</f>
        <v>-0</v>
      </c>
      <c r="K162" s="117"/>
    </row>
    <row r="163" customFormat="false" ht="12.75" hidden="false" customHeight="false" outlineLevel="0" collapsed="false">
      <c r="B163" s="119" t="s">
        <v>60</v>
      </c>
      <c r="C163" s="120" t="n">
        <f aca="false">IF(LEFT(Type_masquage,1)="B",-X_int+m_int,0)</f>
        <v>0</v>
      </c>
      <c r="D163" s="120" t="n">
        <f aca="false">IF(LEFT(Type_masquage,1)="B",D_int/2,0)</f>
        <v>0</v>
      </c>
      <c r="E163" s="121" t="n">
        <f aca="false">-D163</f>
        <v>-0</v>
      </c>
      <c r="K163" s="117"/>
    </row>
    <row r="164" customFormat="false" ht="12.75" hidden="false" customHeight="false" outlineLevel="0" collapsed="false">
      <c r="B164" s="122" t="s">
        <v>61</v>
      </c>
      <c r="C164" s="123" t="n">
        <f aca="false">IF(LEFT(Type_masquage,1)="B",-X_int+m_int-p_int,0)</f>
        <v>0</v>
      </c>
      <c r="D164" s="123" t="n">
        <f aca="false">IF(LEFT(Type_masquage,1)="B",D_int/2+E_int,0)</f>
        <v>0</v>
      </c>
      <c r="E164" s="124" t="n">
        <f aca="false">-D164</f>
        <v>-0</v>
      </c>
      <c r="K164" s="117"/>
    </row>
    <row r="165" customFormat="false" ht="12.75" hidden="false" customHeight="false" outlineLevel="0" collapsed="false">
      <c r="B165" s="122" t="s">
        <v>62</v>
      </c>
      <c r="C165" s="123" t="n">
        <f aca="false">IF(LEFT(Type_masquage,1)="B",-X_int+m_int-p_int-n_int,0)</f>
        <v>0</v>
      </c>
      <c r="D165" s="123" t="n">
        <f aca="false">IF(LEFT(Type_masquage,1)="B",D_int/2+E_int,0)</f>
        <v>0</v>
      </c>
      <c r="E165" s="124" t="n">
        <f aca="false">-D165</f>
        <v>-0</v>
      </c>
      <c r="K165" s="117"/>
    </row>
    <row r="166" customFormat="false" ht="12.75" hidden="false" customHeight="false" outlineLevel="0" collapsed="false">
      <c r="B166" s="122" t="s">
        <v>63</v>
      </c>
      <c r="C166" s="123" t="n">
        <f aca="false">IF(LEFT(Type_masquage,1)="B",-X_int,0)</f>
        <v>0</v>
      </c>
      <c r="D166" s="123" t="n">
        <f aca="false">IF(LEFT(Type_masquage,1)="B",D_int/2,0)</f>
        <v>0</v>
      </c>
      <c r="E166" s="124" t="n">
        <f aca="false">-D166</f>
        <v>-0</v>
      </c>
      <c r="K166" s="117"/>
    </row>
    <row r="167" customFormat="false" ht="12.75" hidden="false" customHeight="false" outlineLevel="0" collapsed="false">
      <c r="B167" s="125" t="s">
        <v>60</v>
      </c>
      <c r="C167" s="126" t="n">
        <f aca="false">IF(LEFT(Type_masquage,1)="B",-X_int+m_int,0)</f>
        <v>0</v>
      </c>
      <c r="D167" s="126" t="n">
        <f aca="false">IF(LEFT(Type_masquage,1)="B",D_int/2,0)</f>
        <v>0</v>
      </c>
      <c r="E167" s="127" t="n">
        <f aca="false">-D167</f>
        <v>-0</v>
      </c>
      <c r="K167" s="117"/>
    </row>
    <row r="168" customFormat="false" ht="12.75" hidden="false" customHeight="false" outlineLevel="0" collapsed="false">
      <c r="B168" s="110" t="s">
        <v>64</v>
      </c>
      <c r="C168" s="117" t="n">
        <f aca="false">-MAX(Long_tot, X_ail-m_ail+p_ail+n_ail, (E_ail+D_ail/2)*3.2)*1.01</f>
        <v>-1271.59</v>
      </c>
      <c r="D168" s="117" t="n">
        <f aca="false">MAX(E_ail+D_ail/2, Long_tot/3)</f>
        <v>400</v>
      </c>
      <c r="E168" s="118"/>
      <c r="K168" s="117"/>
    </row>
    <row r="169" customFormat="false" ht="12.75" hidden="false" customHeight="false" outlineLevel="0" collapsed="false">
      <c r="B169" s="110" t="s">
        <v>64</v>
      </c>
      <c r="C169" s="117" t="n">
        <f aca="false">C168</f>
        <v>-1271.59</v>
      </c>
      <c r="D169" s="117" t="n">
        <f aca="false">-D168</f>
        <v>-400</v>
      </c>
      <c r="E169" s="118"/>
      <c r="K169" s="117"/>
    </row>
    <row r="170" customFormat="false" ht="12.75" hidden="false" customHeight="false" outlineLevel="0" collapsed="false">
      <c r="B170" s="119" t="s">
        <v>65</v>
      </c>
      <c r="C170" s="120" t="n">
        <f aca="false">-XpropuRef+Long_propu</f>
        <v>-972</v>
      </c>
      <c r="D170" s="128" t="n">
        <f aca="false">-Diam_propu/2</f>
        <v>-12</v>
      </c>
      <c r="E170" s="118"/>
      <c r="K170" s="117"/>
    </row>
    <row r="171" customFormat="false" ht="12.75" hidden="false" customHeight="false" outlineLevel="0" collapsed="false">
      <c r="B171" s="122" t="s">
        <v>66</v>
      </c>
      <c r="C171" s="123" t="n">
        <f aca="false">-XpropuRef+Long_propu</f>
        <v>-972</v>
      </c>
      <c r="D171" s="130" t="n">
        <f aca="false">Diam_propu/2</f>
        <v>12</v>
      </c>
      <c r="E171" s="118"/>
      <c r="K171" s="117"/>
    </row>
    <row r="172" customFormat="false" ht="12.75" hidden="false" customHeight="false" outlineLevel="0" collapsed="false">
      <c r="B172" s="122" t="s">
        <v>67</v>
      </c>
      <c r="C172" s="123" t="n">
        <f aca="false">-XpropuRef</f>
        <v>-1200</v>
      </c>
      <c r="D172" s="130" t="n">
        <f aca="false">Diam_propu/2</f>
        <v>12</v>
      </c>
      <c r="E172" s="118"/>
      <c r="K172" s="117"/>
    </row>
    <row r="173" customFormat="false" ht="12.75" hidden="false" customHeight="false" outlineLevel="0" collapsed="false">
      <c r="B173" s="122" t="s">
        <v>68</v>
      </c>
      <c r="C173" s="123" t="n">
        <f aca="false">-XpropuRef</f>
        <v>-1200</v>
      </c>
      <c r="D173" s="130" t="n">
        <f aca="false">-Diam_propu/2</f>
        <v>-12</v>
      </c>
      <c r="E173" s="118"/>
      <c r="K173" s="117"/>
    </row>
    <row r="174" customFormat="false" ht="12.75" hidden="false" customHeight="false" outlineLevel="0" collapsed="false">
      <c r="B174" s="125" t="s">
        <v>69</v>
      </c>
      <c r="C174" s="126" t="n">
        <f aca="false">-XpropuRef+Long_propu</f>
        <v>-972</v>
      </c>
      <c r="D174" s="131" t="n">
        <f aca="false">-Diam_propu/2</f>
        <v>-12</v>
      </c>
      <c r="E174" s="118"/>
      <c r="F174" s="119" t="s">
        <v>70</v>
      </c>
      <c r="G174" s="132" t="s">
        <v>71</v>
      </c>
      <c r="H174" s="133" t="s">
        <v>72</v>
      </c>
      <c r="K174" s="117"/>
    </row>
    <row r="175" customFormat="false" ht="12.75" hidden="false" customHeight="false" outlineLevel="0" collapsed="false">
      <c r="B175" s="119" t="s">
        <v>73</v>
      </c>
      <c r="C175" s="120" t="n">
        <v>0</v>
      </c>
      <c r="D175" s="120" t="n">
        <v>0</v>
      </c>
      <c r="E175" s="121" t="n">
        <f aca="false">-D175</f>
        <v>-0</v>
      </c>
      <c r="F175" s="122" t="n">
        <v>0</v>
      </c>
      <c r="G175" s="19" t="n">
        <v>0</v>
      </c>
      <c r="H175" s="134" t="n">
        <v>0</v>
      </c>
      <c r="K175" s="117"/>
    </row>
    <row r="176" customFormat="false" ht="12.75" hidden="false" customHeight="false" outlineLevel="0" collapsed="false">
      <c r="B176" s="122" t="s">
        <v>32</v>
      </c>
      <c r="C176" s="123" t="n">
        <f aca="false">-Long_ogive*0.1</f>
        <v>-19.9</v>
      </c>
      <c r="D176" s="123" t="n">
        <f aca="false">IF(LEFT(Forme_ogive,5)="Parab",H176,IF(LEFT(Forme_ogive,4)="Ogiv",G176,IF(LEFT(Forme_ogive,3)="Con",F176)))</f>
        <v>5.9</v>
      </c>
      <c r="E176" s="124" t="n">
        <f aca="false">-D176</f>
        <v>-5.9</v>
      </c>
      <c r="F176" s="122" t="n">
        <f aca="false">D_og/2*0.1</f>
        <v>2.95</v>
      </c>
      <c r="G176" s="19" t="n">
        <f aca="false">D_og/2*0.2</f>
        <v>5.9</v>
      </c>
      <c r="H176" s="134" t="n">
        <f aca="false">D_og/2*0.5</f>
        <v>14.75</v>
      </c>
      <c r="K176" s="117"/>
    </row>
    <row r="177" customFormat="false" ht="12.75" hidden="false" customHeight="false" outlineLevel="0" collapsed="false">
      <c r="B177" s="122" t="s">
        <v>32</v>
      </c>
      <c r="C177" s="123" t="n">
        <f aca="false">-Long_ogive/4</f>
        <v>-49.75</v>
      </c>
      <c r="D177" s="123" t="n">
        <f aca="false">IF(LEFT(Forme_ogive,5)="Parab",H177,IF(LEFT(Forme_ogive,4)="Ogiv",G177,IF(LEFT(Forme_ogive,3)="Con",F177)))</f>
        <v>14.75</v>
      </c>
      <c r="E177" s="124" t="n">
        <f aca="false">-D177</f>
        <v>-14.75</v>
      </c>
      <c r="F177" s="122" t="n">
        <f aca="false">D_og/2*1/4</f>
        <v>7.375</v>
      </c>
      <c r="G177" s="19" t="n">
        <f aca="false">D_og/2/2</f>
        <v>14.75</v>
      </c>
      <c r="H177" s="134" t="n">
        <f aca="false">D_og/2*0.7</f>
        <v>20.65</v>
      </c>
      <c r="K177" s="117"/>
    </row>
    <row r="178" customFormat="false" ht="12.75" hidden="false" customHeight="false" outlineLevel="0" collapsed="false">
      <c r="B178" s="122" t="s">
        <v>32</v>
      </c>
      <c r="C178" s="123" t="n">
        <f aca="false">-Long_ogive/2</f>
        <v>-99.5</v>
      </c>
      <c r="D178" s="123" t="n">
        <f aca="false">IF(LEFT(Forme_ogive,5)="Parab",H178,IF(LEFT(Forme_ogive,4)="Ogiv",G178,IF(LEFT(Forme_ogive,3)="Con",F178)))</f>
        <v>22.125</v>
      </c>
      <c r="E178" s="124" t="n">
        <f aca="false">-D178</f>
        <v>-22.125</v>
      </c>
      <c r="F178" s="122" t="n">
        <f aca="false">D_og/2/2</f>
        <v>14.75</v>
      </c>
      <c r="G178" s="19" t="n">
        <f aca="false">D_og/2*3/4</f>
        <v>22.125</v>
      </c>
      <c r="H178" s="134" t="n">
        <f aca="false">D_og/2*0.88</f>
        <v>25.96</v>
      </c>
      <c r="K178" s="117"/>
    </row>
    <row r="179" customFormat="false" ht="12.75" hidden="false" customHeight="false" outlineLevel="0" collapsed="false">
      <c r="B179" s="122" t="s">
        <v>32</v>
      </c>
      <c r="C179" s="123" t="n">
        <f aca="false">-Long_ogive*3/4</f>
        <v>-149.25</v>
      </c>
      <c r="D179" s="123" t="n">
        <f aca="false">IF(LEFT(Forme_ogive,5)="Parab",H179,IF(LEFT(Forme_ogive,4)="Ogiv",G179,IF(LEFT(Forme_ogive,3)="Con",F179)))</f>
        <v>26.55</v>
      </c>
      <c r="E179" s="124" t="n">
        <f aca="false">-D179</f>
        <v>-26.55</v>
      </c>
      <c r="F179" s="122" t="n">
        <f aca="false">D_og/2*3/4</f>
        <v>22.125</v>
      </c>
      <c r="G179" s="19" t="n">
        <f aca="false">D_og/2*0.9</f>
        <v>26.55</v>
      </c>
      <c r="H179" s="134" t="n">
        <f aca="false">D_og/2*0.95</f>
        <v>28.025</v>
      </c>
      <c r="K179" s="117"/>
    </row>
    <row r="180" customFormat="false" ht="12.75" hidden="false" customHeight="false" outlineLevel="0" collapsed="false">
      <c r="B180" s="125" t="s">
        <v>32</v>
      </c>
      <c r="C180" s="126" t="n">
        <f aca="false">-Long_ogive</f>
        <v>-199</v>
      </c>
      <c r="D180" s="126" t="n">
        <f aca="false">D_og/2</f>
        <v>29.5</v>
      </c>
      <c r="E180" s="127" t="n">
        <f aca="false">-D180</f>
        <v>-29.5</v>
      </c>
      <c r="F180" s="125" t="n">
        <f aca="false">D_og/2</f>
        <v>29.5</v>
      </c>
      <c r="G180" s="135" t="n">
        <f aca="false">D_og/2</f>
        <v>29.5</v>
      </c>
      <c r="H180" s="136" t="n">
        <f aca="false">D_og/2</f>
        <v>29.5</v>
      </c>
      <c r="K180" s="4"/>
    </row>
    <row r="181" customFormat="false" ht="12.75" hidden="false" customHeight="false" outlineLevel="0" collapsed="false">
      <c r="B181" s="110" t="s">
        <v>74</v>
      </c>
      <c r="C181" s="110" t="s">
        <v>75</v>
      </c>
      <c r="D181" s="119" t="s">
        <v>74</v>
      </c>
      <c r="E181" s="137" t="s">
        <v>75</v>
      </c>
      <c r="K181" s="110"/>
    </row>
    <row r="182" customFormat="false" ht="12.75" hidden="false" customHeight="false" outlineLevel="0" collapsed="false">
      <c r="B182" s="119" t="n">
        <v>0</v>
      </c>
      <c r="C182" s="132" t="n">
        <f aca="false">CritCnmin</f>
        <v>15</v>
      </c>
      <c r="D182" s="122" t="n">
        <v>0.5</v>
      </c>
      <c r="E182" s="138" t="n">
        <f aca="false">CritMsCnmin/D182</f>
        <v>60</v>
      </c>
      <c r="K182" s="110"/>
    </row>
    <row r="183" customFormat="false" ht="12.75" hidden="false" customHeight="false" outlineLevel="0" collapsed="false">
      <c r="B183" s="125" t="n">
        <v>7</v>
      </c>
      <c r="C183" s="135" t="n">
        <f aca="false">CritCnmin</f>
        <v>15</v>
      </c>
      <c r="D183" s="122" t="n">
        <v>1</v>
      </c>
      <c r="E183" s="138" t="n">
        <f aca="false">CritMsCnmin/D183</f>
        <v>30</v>
      </c>
      <c r="K183" s="110"/>
    </row>
    <row r="184" customFormat="false" ht="12.75" hidden="false" customHeight="false" outlineLevel="0" collapsed="false">
      <c r="B184" s="119" t="n">
        <v>0</v>
      </c>
      <c r="C184" s="132" t="n">
        <f aca="false">CritCnmax</f>
        <v>30</v>
      </c>
      <c r="D184" s="122" t="n">
        <v>2</v>
      </c>
      <c r="E184" s="138" t="n">
        <f aca="false">CritMsCnmin/D184</f>
        <v>15</v>
      </c>
      <c r="K184" s="110"/>
    </row>
    <row r="185" customFormat="false" ht="12.75" hidden="false" customHeight="false" outlineLevel="0" collapsed="false">
      <c r="B185" s="125" t="n">
        <v>7</v>
      </c>
      <c r="C185" s="135" t="n">
        <f aca="false">CritCnmax</f>
        <v>30</v>
      </c>
      <c r="D185" s="122" t="n">
        <v>3</v>
      </c>
      <c r="E185" s="138" t="n">
        <f aca="false">CritMsCnmin/D185</f>
        <v>10</v>
      </c>
      <c r="K185" s="110"/>
    </row>
    <row r="186" customFormat="false" ht="12.75" hidden="false" customHeight="false" outlineLevel="0" collapsed="false">
      <c r="B186" s="119" t="n">
        <f aca="false">CritMsmin</f>
        <v>1.5</v>
      </c>
      <c r="C186" s="132" t="n">
        <v>0</v>
      </c>
      <c r="D186" s="122" t="n">
        <v>5</v>
      </c>
      <c r="E186" s="138" t="n">
        <f aca="false">CritMsCnmin/D186</f>
        <v>6</v>
      </c>
      <c r="K186" s="110"/>
    </row>
    <row r="187" customFormat="false" ht="12.75" hidden="false" customHeight="false" outlineLevel="0" collapsed="false">
      <c r="B187" s="125" t="n">
        <f aca="false">CritMsmin</f>
        <v>1.5</v>
      </c>
      <c r="C187" s="135" t="n">
        <v>55</v>
      </c>
      <c r="D187" s="122" t="n">
        <v>7</v>
      </c>
      <c r="E187" s="138" t="n">
        <f aca="false">CritMsCnmin/D187</f>
        <v>4.28571428571429</v>
      </c>
      <c r="K187" s="110"/>
    </row>
    <row r="188" customFormat="false" ht="12.75" hidden="false" customHeight="false" outlineLevel="0" collapsed="false">
      <c r="B188" s="119" t="n">
        <f aca="false">CritMsmax</f>
        <v>6</v>
      </c>
      <c r="C188" s="132" t="n">
        <v>0</v>
      </c>
      <c r="D188" s="122" t="n">
        <v>1</v>
      </c>
      <c r="E188" s="138" t="n">
        <f aca="false">CritMsCnmax/D188</f>
        <v>100</v>
      </c>
      <c r="K188" s="110"/>
    </row>
    <row r="189" customFormat="false" ht="12.75" hidden="false" customHeight="false" outlineLevel="0" collapsed="false">
      <c r="B189" s="125" t="n">
        <f aca="false">CritMsmax</f>
        <v>6</v>
      </c>
      <c r="C189" s="135" t="n">
        <v>55</v>
      </c>
      <c r="D189" s="122" t="n">
        <v>2</v>
      </c>
      <c r="E189" s="138" t="n">
        <f aca="false">CritMsCnmax/D189</f>
        <v>50</v>
      </c>
      <c r="K189" s="110"/>
    </row>
    <row r="190" customFormat="false" ht="12.75" hidden="false" customHeight="false" outlineLevel="0" collapsed="false">
      <c r="B190" s="139" t="n">
        <f aca="false">MS_min</f>
        <v>3.94843001324688</v>
      </c>
      <c r="C190" s="140" t="n">
        <f aca="false">Cn</f>
        <v>21.4975242818324</v>
      </c>
      <c r="D190" s="122" t="n">
        <v>3</v>
      </c>
      <c r="E190" s="138" t="n">
        <f aca="false">CritMsCnmax/D190</f>
        <v>33.3333333333333</v>
      </c>
      <c r="K190" s="110"/>
    </row>
    <row r="191" customFormat="false" ht="12.75" hidden="false" customHeight="false" outlineLevel="0" collapsed="false">
      <c r="B191" s="141" t="n">
        <f aca="false">(XCp0-XcgPlein)/D_ref</f>
        <v>3.94843001324688</v>
      </c>
      <c r="C191" s="142" t="n">
        <f aca="false">Cn0</f>
        <v>21.4975242818324</v>
      </c>
      <c r="D191" s="122" t="n">
        <v>4</v>
      </c>
      <c r="E191" s="138" t="n">
        <f aca="false">CritMsCnmax/D191</f>
        <v>25</v>
      </c>
      <c r="K191" s="110"/>
    </row>
    <row r="192" customFormat="false" ht="12.75" hidden="false" customHeight="false" outlineLevel="0" collapsed="false">
      <c r="B192" s="141" t="n">
        <f aca="false">(XCp0-XcgVide)/D_ref</f>
        <v>4.17001758949287</v>
      </c>
      <c r="C192" s="142" t="n">
        <f aca="false">Cn0</f>
        <v>21.4975242818324</v>
      </c>
      <c r="D192" s="122" t="n">
        <v>6</v>
      </c>
      <c r="E192" s="138" t="n">
        <f aca="false">CritMsCnmax/D192</f>
        <v>16.6666666666667</v>
      </c>
      <c r="K192" s="110"/>
    </row>
    <row r="193" customFormat="false" ht="12.75" hidden="false" customHeight="false" outlineLevel="0" collapsed="false">
      <c r="B193" s="141" t="n">
        <f aca="false">(XCp-XcgVide)/D_ref</f>
        <v>4.17001758949287</v>
      </c>
      <c r="C193" s="142" t="n">
        <f aca="false">Cn</f>
        <v>21.4975242818324</v>
      </c>
      <c r="D193" s="125" t="n">
        <v>7</v>
      </c>
      <c r="E193" s="143" t="n">
        <f aca="false">CritMsCnmax/D193</f>
        <v>14.2857142857143</v>
      </c>
      <c r="K193" s="110"/>
    </row>
    <row r="194" customFormat="false" ht="12.75" hidden="false" customHeight="false" outlineLevel="0" collapsed="false">
      <c r="B194" s="141" t="n">
        <f aca="false">MS_min</f>
        <v>3.94843001324688</v>
      </c>
      <c r="C194" s="144" t="n">
        <f aca="false">Cn</f>
        <v>21.4975242818324</v>
      </c>
      <c r="D194" s="19"/>
      <c r="E194" s="145"/>
      <c r="K194" s="110"/>
    </row>
    <row r="195" customFormat="false" ht="12.75" hidden="false" customHeight="false" outlineLevel="0" collapsed="false">
      <c r="B195" s="119" t="n">
        <v>0</v>
      </c>
      <c r="C195" s="132" t="n">
        <f aca="false">(CritCnmin+CritCnmax)/2</f>
        <v>22.5</v>
      </c>
      <c r="D195" s="4"/>
      <c r="E195" s="146"/>
      <c r="K195" s="4"/>
    </row>
    <row r="196" customFormat="false" ht="12.75" hidden="false" customHeight="false" outlineLevel="0" collapsed="false">
      <c r="B196" s="122" t="n">
        <f aca="false">MAX(CritMsmin,CritMsCnmin/C196)</f>
        <v>1.5</v>
      </c>
      <c r="C196" s="19" t="n">
        <f aca="false">(CritCnmin+CritCnmax)/2</f>
        <v>22.5</v>
      </c>
      <c r="D196" s="4"/>
      <c r="E196" s="146"/>
      <c r="K196" s="4"/>
    </row>
    <row r="197" customFormat="false" ht="12.75" hidden="false" customHeight="false" outlineLevel="0" collapsed="false">
      <c r="B197" s="122" t="n">
        <f aca="false">MIN(CritMsmax,CritMsCnmax/C197)</f>
        <v>4.44444444444445</v>
      </c>
      <c r="C197" s="134" t="n">
        <f aca="false">(CritCnmin+CritCnmax)/2</f>
        <v>22.5</v>
      </c>
    </row>
    <row r="198" customFormat="false" ht="12.75" hidden="false" customHeight="false" outlineLevel="0" collapsed="false">
      <c r="B198" s="125" t="n">
        <v>7</v>
      </c>
      <c r="C198" s="136" t="n">
        <f aca="false">(CritCnmin+CritCnmax)/2</f>
        <v>22.5</v>
      </c>
    </row>
    <row r="199" customFormat="false" ht="12.75" hidden="false" customHeight="false" outlineLevel="0" collapsed="false">
      <c r="B199" s="119" t="n">
        <f aca="false">(CritMsmin+CritMsmax)/2</f>
        <v>3.75</v>
      </c>
      <c r="C199" s="147" t="n">
        <v>0</v>
      </c>
    </row>
    <row r="200" customFormat="false" ht="12.75" hidden="false" customHeight="false" outlineLevel="0" collapsed="false">
      <c r="B200" s="122" t="n">
        <f aca="false">(CritMsmin+CritMsmax)/2</f>
        <v>3.75</v>
      </c>
      <c r="C200" s="148" t="n">
        <f aca="false">MAX(CritCnmin,CritMsCnmin/B200)</f>
        <v>15</v>
      </c>
    </row>
    <row r="201" customFormat="false" ht="12.75" hidden="false" customHeight="false" outlineLevel="0" collapsed="false">
      <c r="B201" s="122" t="n">
        <f aca="false">(CritMsmin+CritMsmax)/2</f>
        <v>3.75</v>
      </c>
      <c r="C201" s="148" t="n">
        <f aca="false">MIN(CritCnmax,CritMsCnmax/B201)</f>
        <v>26.6666666666667</v>
      </c>
    </row>
    <row r="202" customFormat="false" ht="12.75" hidden="false" customHeight="false" outlineLevel="0" collapsed="false">
      <c r="B202" s="125" t="n">
        <f aca="false">(CritMsmin+CritMsmax)/2</f>
        <v>3.75</v>
      </c>
      <c r="C202" s="149" t="n">
        <v>55</v>
      </c>
    </row>
    <row r="203" customFormat="false" ht="12.75" hidden="false" customHeight="false" outlineLevel="0" collapsed="false">
      <c r="D203" s="150"/>
    </row>
    <row r="204" customFormat="false" ht="12.75" hidden="false" customHeight="false" outlineLevel="0" collapsed="false">
      <c r="B204" s="151" t="s">
        <v>76</v>
      </c>
      <c r="C204" s="152" t="b">
        <f aca="false">(OR(C205:C210))</f>
        <v>1</v>
      </c>
      <c r="D204" s="150"/>
    </row>
    <row r="205" customFormat="false" ht="12.75" hidden="false" customHeight="false" outlineLevel="0" collapsed="false">
      <c r="B205" s="115" t="s">
        <v>77</v>
      </c>
      <c r="C205" s="153" t="b">
        <f aca="false">AND(Type_propu="H2O",RIGHT(Type_fusee,1)=" ")</f>
        <v>0</v>
      </c>
      <c r="D205" s="150"/>
    </row>
    <row r="206" customFormat="false" ht="12.75" hidden="false" customHeight="false" outlineLevel="0" collapsed="false">
      <c r="B206" s="115" t="s">
        <v>78</v>
      </c>
      <c r="C206" s="153" t="b">
        <f aca="false">AND(Type_propu="Fusex",RIGHT(Type_fusee,1)=".")</f>
        <v>0</v>
      </c>
      <c r="D206" s="150"/>
    </row>
    <row r="207" customFormat="false" ht="12.75" hidden="false" customHeight="false" outlineLevel="0" collapsed="false">
      <c r="B207" s="115" t="s">
        <v>79</v>
      </c>
      <c r="C207" s="153" t="b">
        <f aca="false">LEFT(Type_propu,5)=LEFT(Type_fusee,5)</f>
        <v>0</v>
      </c>
      <c r="D207" s="150"/>
    </row>
    <row r="208" customFormat="false" ht="12.75" hidden="false" customHeight="false" outlineLevel="0" collapsed="false">
      <c r="B208" s="115" t="s">
        <v>80</v>
      </c>
      <c r="C208" s="153" t="b">
        <f aca="false">AND(RIGHT(Type_propu,1)="N",LEFT(Type_fusee,4)="Mini")</f>
        <v>1</v>
      </c>
      <c r="D208" s="150"/>
    </row>
    <row r="209" customFormat="false" ht="12.75" hidden="false" customHeight="false" outlineLevel="0" collapsed="false">
      <c r="B209" s="115" t="s">
        <v>81</v>
      </c>
      <c r="C209" s="153" t="b">
        <f aca="false">AND(LEFT(Type_propu,5)="MiniR",LEFT(Type_fusee,1)="R")</f>
        <v>0</v>
      </c>
    </row>
    <row r="210" customFormat="false" ht="12.75" hidden="false" customHeight="false" outlineLevel="0" collapsed="false">
      <c r="B210" s="115" t="s">
        <v>82</v>
      </c>
      <c r="C210" s="153" t="b">
        <f aca="false">AND(LEFT(Type_propu,4)="Mini",LEFT(Type_fusee,1)=",")</f>
        <v>0</v>
      </c>
    </row>
    <row r="223" customFormat="false" ht="12.75" hidden="false" customHeight="false" outlineLevel="0" collapsed="false">
      <c r="A223" s="1" t="s">
        <v>83</v>
      </c>
    </row>
    <row r="226" customFormat="false" ht="12.75" hidden="false" customHeight="false" outlineLevel="0" collapsed="false">
      <c r="A226" s="1" t="s">
        <v>84</v>
      </c>
    </row>
    <row r="228" customFormat="false" ht="12.75" hidden="false" customHeight="false" outlineLevel="0" collapsed="false">
      <c r="A228" s="1" t="s">
        <v>85</v>
      </c>
    </row>
    <row r="230" customFormat="false" ht="12.75" hidden="false" customHeight="false" outlineLevel="0" collapsed="false">
      <c r="A230" s="1" t="s">
        <v>86</v>
      </c>
    </row>
    <row r="232" customFormat="false" ht="12.75" hidden="false" customHeight="false" outlineLevel="0" collapsed="false">
      <c r="A232" s="1" t="s">
        <v>87</v>
      </c>
    </row>
    <row r="233" customFormat="false" ht="12.75" hidden="false" customHeight="false" outlineLevel="0" collapsed="false">
      <c r="A233" s="1" t="s">
        <v>88</v>
      </c>
    </row>
    <row r="234" customFormat="false" ht="12.75" hidden="false" customHeight="false" outlineLevel="0" collapsed="false">
      <c r="A234" s="1" t="s">
        <v>89</v>
      </c>
    </row>
    <row r="235" customFormat="false" ht="12.75" hidden="false" customHeight="false" outlineLevel="0" collapsed="false">
      <c r="A235" s="1" t="s">
        <v>90</v>
      </c>
    </row>
    <row r="236" customFormat="false" ht="12.75" hidden="false" customHeight="false" outlineLevel="0" collapsed="false">
      <c r="A236" s="1" t="s">
        <v>91</v>
      </c>
    </row>
    <row r="237" customFormat="false" ht="12.75" hidden="false" customHeight="false" outlineLevel="0" collapsed="false">
      <c r="A237" s="1" t="s">
        <v>92</v>
      </c>
    </row>
    <row r="238" customFormat="false" ht="12.75" hidden="false" customHeight="false" outlineLevel="0" collapsed="false">
      <c r="A238" s="1" t="s">
        <v>93</v>
      </c>
    </row>
    <row r="239" customFormat="false" ht="12.75" hidden="false" customHeight="false" outlineLevel="0" collapsed="false">
      <c r="A239" s="1" t="s">
        <v>94</v>
      </c>
    </row>
    <row r="240" customFormat="false" ht="12.75" hidden="false" customHeight="false" outlineLevel="0" collapsed="false">
      <c r="A240" s="1" t="s">
        <v>95</v>
      </c>
    </row>
    <row r="241" customFormat="false" ht="12.75" hidden="false" customHeight="false" outlineLevel="0" collapsed="false">
      <c r="A241" s="1" t="s">
        <v>93</v>
      </c>
    </row>
    <row r="242" customFormat="false" ht="12.75" hidden="false" customHeight="false" outlineLevel="0" collapsed="false">
      <c r="A242" s="1" t="s">
        <v>96</v>
      </c>
    </row>
    <row r="244" customFormat="false" ht="12.75" hidden="false" customHeight="false" outlineLevel="0" collapsed="false">
      <c r="A244" s="1" t="s">
        <v>97</v>
      </c>
    </row>
    <row r="246" customFormat="false" ht="12.75" hidden="false" customHeight="false" outlineLevel="0" collapsed="false">
      <c r="A246" s="1" t="s">
        <v>98</v>
      </c>
    </row>
    <row r="248" customFormat="false" ht="12.75" hidden="false" customHeight="false" outlineLevel="0" collapsed="false">
      <c r="A248" s="1" t="s">
        <v>99</v>
      </c>
    </row>
    <row r="249" customFormat="false" ht="12.75" hidden="false" customHeight="false" outlineLevel="0" collapsed="false">
      <c r="A249" s="1" t="s">
        <v>100</v>
      </c>
    </row>
    <row r="250" customFormat="false" ht="12.75" hidden="false" customHeight="false" outlineLevel="0" collapsed="false">
      <c r="A250" s="1" t="s">
        <v>101</v>
      </c>
    </row>
    <row r="251" customFormat="false" ht="12.75" hidden="false" customHeight="false" outlineLevel="0" collapsed="false">
      <c r="A251" s="1" t="s">
        <v>102</v>
      </c>
    </row>
    <row r="252" customFormat="false" ht="12.75" hidden="false" customHeight="false" outlineLevel="0" collapsed="false">
      <c r="A252" s="1" t="s">
        <v>103</v>
      </c>
    </row>
    <row r="254" customFormat="false" ht="12.75" hidden="false" customHeight="false" outlineLevel="0" collapsed="false">
      <c r="A254" s="1" t="s">
        <v>104</v>
      </c>
    </row>
    <row r="255" customFormat="false" ht="12.75" hidden="false" customHeight="false" outlineLevel="0" collapsed="false">
      <c r="A255" s="1" t="s">
        <v>105</v>
      </c>
    </row>
    <row r="256" customFormat="false" ht="12.75" hidden="false" customHeight="false" outlineLevel="0" collapsed="false">
      <c r="A256" s="1" t="s">
        <v>106</v>
      </c>
    </row>
    <row r="257" customFormat="false" ht="12.75" hidden="false" customHeight="false" outlineLevel="0" collapsed="false">
      <c r="A257" s="1" t="s">
        <v>107</v>
      </c>
    </row>
    <row r="258" customFormat="false" ht="12.75" hidden="false" customHeight="false" outlineLevel="0" collapsed="false">
      <c r="A258" s="1" t="s">
        <v>108</v>
      </c>
    </row>
    <row r="261" customFormat="false" ht="12.75" hidden="false" customHeight="false" outlineLevel="0" collapsed="false">
      <c r="A261" s="1" t="s">
        <v>109</v>
      </c>
    </row>
    <row r="262" customFormat="false" ht="12.75" hidden="false" customHeight="false" outlineLevel="0" collapsed="false">
      <c r="A262" s="1" t="s">
        <v>110</v>
      </c>
    </row>
    <row r="263" customFormat="false" ht="12.75" hidden="false" customHeight="false" outlineLevel="0" collapsed="false">
      <c r="A263" s="1" t="s">
        <v>111</v>
      </c>
    </row>
    <row r="264" customFormat="false" ht="12.75" hidden="false" customHeight="false" outlineLevel="0" collapsed="false">
      <c r="A264" s="1" t="s">
        <v>112</v>
      </c>
    </row>
    <row r="265" customFormat="false" ht="12.75" hidden="false" customHeight="false" outlineLevel="0" collapsed="false">
      <c r="A265" s="1" t="s">
        <v>113</v>
      </c>
    </row>
    <row r="267" customFormat="false" ht="12.75" hidden="false" customHeight="false" outlineLevel="0" collapsed="false">
      <c r="A267" s="1" t="s">
        <v>106</v>
      </c>
    </row>
    <row r="268" customFormat="false" ht="12.75" hidden="false" customHeight="false" outlineLevel="0" collapsed="false">
      <c r="A268" s="1" t="s">
        <v>107</v>
      </c>
    </row>
    <row r="269" customFormat="false" ht="12.75" hidden="false" customHeight="false" outlineLevel="0" collapsed="false">
      <c r="A269" s="1" t="s">
        <v>114</v>
      </c>
    </row>
    <row r="272" customFormat="false" ht="12.75" hidden="false" customHeight="false" outlineLevel="0" collapsed="false">
      <c r="A272" s="1" t="s">
        <v>115</v>
      </c>
    </row>
    <row r="273" customFormat="false" ht="12.75" hidden="false" customHeight="false" outlineLevel="0" collapsed="false">
      <c r="A273" s="1" t="s">
        <v>116</v>
      </c>
    </row>
    <row r="275" customFormat="false" ht="12.75" hidden="false" customHeight="false" outlineLevel="0" collapsed="false">
      <c r="A275" s="1" t="s">
        <v>117</v>
      </c>
    </row>
    <row r="277" customFormat="false" ht="12.75" hidden="false" customHeight="false" outlineLevel="0" collapsed="false">
      <c r="A277" s="1" t="s">
        <v>114</v>
      </c>
    </row>
    <row r="280" customFormat="false" ht="12.75" hidden="false" customHeight="false" outlineLevel="0" collapsed="false">
      <c r="A280" s="1" t="s">
        <v>118</v>
      </c>
    </row>
    <row r="281" customFormat="false" ht="12.75" hidden="false" customHeight="false" outlineLevel="0" collapsed="false">
      <c r="A281" s="1" t="s">
        <v>119</v>
      </c>
    </row>
    <row r="282" customFormat="false" ht="12.75" hidden="false" customHeight="false" outlineLevel="0" collapsed="false">
      <c r="A282" s="1" t="s">
        <v>120</v>
      </c>
    </row>
    <row r="283" customFormat="false" ht="12.75" hidden="false" customHeight="false" outlineLevel="0" collapsed="false">
      <c r="A283" s="1" t="s">
        <v>121</v>
      </c>
    </row>
    <row r="284" customFormat="false" ht="12.75" hidden="false" customHeight="false" outlineLevel="0" collapsed="false">
      <c r="A284" s="1" t="s">
        <v>114</v>
      </c>
    </row>
    <row r="285" customFormat="false" ht="12.75" hidden="false" customHeight="false" outlineLevel="0" collapsed="false">
      <c r="A285" s="1" t="s">
        <v>122</v>
      </c>
    </row>
    <row r="287" customFormat="false" ht="12.75" hidden="false" customHeight="false" outlineLevel="0" collapsed="false">
      <c r="A287" s="1" t="s">
        <v>123</v>
      </c>
    </row>
    <row r="288" customFormat="false" ht="12.75" hidden="false" customHeight="false" outlineLevel="0" collapsed="false">
      <c r="A288" s="1" t="s">
        <v>120</v>
      </c>
    </row>
    <row r="289" customFormat="false" ht="12.75" hidden="false" customHeight="false" outlineLevel="0" collapsed="false">
      <c r="A289" s="1" t="s">
        <v>124</v>
      </c>
    </row>
    <row r="291" customFormat="false" ht="12.75" hidden="false" customHeight="false" outlineLevel="0" collapsed="false">
      <c r="A291" s="1" t="s">
        <v>114</v>
      </c>
    </row>
    <row r="294" customFormat="false" ht="12.75" hidden="false" customHeight="false" outlineLevel="0" collapsed="false">
      <c r="A294" s="1" t="s">
        <v>125</v>
      </c>
    </row>
    <row r="295" customFormat="false" ht="12.75" hidden="false" customHeight="false" outlineLevel="0" collapsed="false">
      <c r="A295" s="1" t="s">
        <v>126</v>
      </c>
    </row>
    <row r="296" customFormat="false" ht="12.75" hidden="false" customHeight="false" outlineLevel="0" collapsed="false">
      <c r="A296" s="1" t="s">
        <v>127</v>
      </c>
    </row>
    <row r="298" customFormat="false" ht="12.75" hidden="false" customHeight="false" outlineLevel="0" collapsed="false">
      <c r="A298" s="1" t="s">
        <v>114</v>
      </c>
    </row>
    <row r="301" customFormat="false" ht="12.75" hidden="false" customHeight="false" outlineLevel="0" collapsed="false">
      <c r="A301" s="1" t="s">
        <v>128</v>
      </c>
    </row>
    <row r="302" customFormat="false" ht="12.75" hidden="false" customHeight="false" outlineLevel="0" collapsed="false">
      <c r="A302" s="1" t="s">
        <v>129</v>
      </c>
    </row>
    <row r="304" customFormat="false" ht="12.75" hidden="false" customHeight="false" outlineLevel="0" collapsed="false">
      <c r="A304" s="1" t="s">
        <v>130</v>
      </c>
    </row>
    <row r="305" customFormat="false" ht="12.75" hidden="false" customHeight="false" outlineLevel="0" collapsed="false">
      <c r="A305" s="1" t="s">
        <v>131</v>
      </c>
    </row>
    <row r="306" customFormat="false" ht="12.75" hidden="false" customHeight="false" outlineLevel="0" collapsed="false">
      <c r="A306" s="1" t="s">
        <v>114</v>
      </c>
    </row>
    <row r="309" customFormat="false" ht="12.75" hidden="false" customHeight="false" outlineLevel="0" collapsed="false">
      <c r="A309" s="1" t="s">
        <v>128</v>
      </c>
    </row>
    <row r="310" customFormat="false" ht="12.75" hidden="false" customHeight="false" outlineLevel="0" collapsed="false">
      <c r="A310" s="1" t="s">
        <v>132</v>
      </c>
    </row>
    <row r="311" customFormat="false" ht="12.75" hidden="false" customHeight="false" outlineLevel="0" collapsed="false">
      <c r="A311" s="1" t="s">
        <v>128</v>
      </c>
    </row>
    <row r="312" customFormat="false" ht="12.75" hidden="false" customHeight="false" outlineLevel="0" collapsed="false">
      <c r="A312" s="1" t="s">
        <v>133</v>
      </c>
    </row>
    <row r="314" customFormat="false" ht="12.75" hidden="false" customHeight="false" outlineLevel="0" collapsed="false">
      <c r="A314" s="1" t="s">
        <v>134</v>
      </c>
    </row>
    <row r="316" customFormat="false" ht="12.75" hidden="false" customHeight="false" outlineLevel="0" collapsed="false">
      <c r="A316" s="1" t="s">
        <v>114</v>
      </c>
    </row>
    <row r="319" customFormat="false" ht="12.75" hidden="false" customHeight="false" outlineLevel="0" collapsed="false">
      <c r="A319" s="1" t="s">
        <v>128</v>
      </c>
    </row>
    <row r="320" customFormat="false" ht="12.75" hidden="false" customHeight="false" outlineLevel="0" collapsed="false">
      <c r="A320" s="1" t="s">
        <v>135</v>
      </c>
    </row>
    <row r="321" customFormat="false" ht="12.75" hidden="false" customHeight="false" outlineLevel="0" collapsed="false">
      <c r="A321" s="1" t="s">
        <v>136</v>
      </c>
    </row>
    <row r="322" customFormat="false" ht="12.75" hidden="false" customHeight="false" outlineLevel="0" collapsed="false">
      <c r="A322" s="1" t="s">
        <v>137</v>
      </c>
    </row>
    <row r="324" customFormat="false" ht="12.75" hidden="false" customHeight="false" outlineLevel="0" collapsed="false">
      <c r="A324" s="1" t="s">
        <v>114</v>
      </c>
    </row>
    <row r="326" customFormat="false" ht="12.75" hidden="false" customHeight="false" outlineLevel="0" collapsed="false">
      <c r="A326" s="1" t="s">
        <v>138</v>
      </c>
    </row>
    <row r="329" customFormat="false" ht="12.75" hidden="false" customHeight="false" outlineLevel="0" collapsed="false">
      <c r="A329" s="1" t="s">
        <v>139</v>
      </c>
    </row>
    <row r="330" customFormat="false" ht="12.75" hidden="false" customHeight="false" outlineLevel="0" collapsed="false">
      <c r="A330" s="1" t="s">
        <v>140</v>
      </c>
    </row>
    <row r="331" customFormat="false" ht="12.75" hidden="false" customHeight="false" outlineLevel="0" collapsed="false">
      <c r="A331" s="1" t="s">
        <v>141</v>
      </c>
    </row>
    <row r="332" customFormat="false" ht="12.75" hidden="false" customHeight="false" outlineLevel="0" collapsed="false">
      <c r="A332" s="1" t="s">
        <v>142</v>
      </c>
    </row>
    <row r="333" customFormat="false" ht="12.75" hidden="false" customHeight="false" outlineLevel="0" collapsed="false">
      <c r="A333" s="1" t="s">
        <v>143</v>
      </c>
    </row>
    <row r="334" customFormat="false" ht="12.75" hidden="false" customHeight="false" outlineLevel="0" collapsed="false">
      <c r="A334" s="1" t="s">
        <v>144</v>
      </c>
    </row>
    <row r="335" customFormat="false" ht="12.75" hidden="false" customHeight="false" outlineLevel="0" collapsed="false">
      <c r="A335" s="1" t="s">
        <v>145</v>
      </c>
    </row>
    <row r="336" customFormat="false" ht="12.75" hidden="false" customHeight="false" outlineLevel="0" collapsed="false">
      <c r="A336" s="1" t="s">
        <v>89</v>
      </c>
    </row>
    <row r="337" customFormat="false" ht="12.75" hidden="false" customHeight="false" outlineLevel="0" collapsed="false">
      <c r="A337" s="1" t="s">
        <v>146</v>
      </c>
    </row>
    <row r="340" customFormat="false" ht="12.75" hidden="false" customHeight="false" outlineLevel="0" collapsed="false">
      <c r="A340" s="1" t="s">
        <v>147</v>
      </c>
    </row>
    <row r="342" customFormat="false" ht="12.75" hidden="false" customHeight="false" outlineLevel="0" collapsed="false">
      <c r="A342" s="1" t="s">
        <v>148</v>
      </c>
    </row>
    <row r="343" customFormat="false" ht="12.75" hidden="false" customHeight="false" outlineLevel="0" collapsed="false">
      <c r="A343" s="1" t="s">
        <v>149</v>
      </c>
    </row>
    <row r="344" customFormat="false" ht="12.75" hidden="false" customHeight="false" outlineLevel="0" collapsed="false">
      <c r="A344" s="1" t="s">
        <v>150</v>
      </c>
    </row>
    <row r="345" customFormat="false" ht="12.75" hidden="false" customHeight="false" outlineLevel="0" collapsed="false">
      <c r="A345" s="1" t="s">
        <v>151</v>
      </c>
    </row>
    <row r="346" customFormat="false" ht="12.75" hidden="false" customHeight="false" outlineLevel="0" collapsed="false">
      <c r="A346" s="1" t="s">
        <v>152</v>
      </c>
    </row>
    <row r="347" customFormat="false" ht="12.75" hidden="false" customHeight="false" outlineLevel="0" collapsed="false">
      <c r="A347" s="1" t="s">
        <v>89</v>
      </c>
    </row>
    <row r="348" customFormat="false" ht="12.75" hidden="false" customHeight="false" outlineLevel="0" collapsed="false">
      <c r="A348" s="1" t="s">
        <v>153</v>
      </c>
    </row>
    <row r="349" customFormat="false" ht="12.75" hidden="false" customHeight="false" outlineLevel="0" collapsed="false">
      <c r="A349" s="1" t="s">
        <v>154</v>
      </c>
    </row>
    <row r="350" customFormat="false" ht="12.75" hidden="false" customHeight="false" outlineLevel="0" collapsed="false">
      <c r="A350" s="1" t="s">
        <v>155</v>
      </c>
    </row>
    <row r="352" customFormat="false" ht="12.75" hidden="false" customHeight="false" outlineLevel="0" collapsed="false">
      <c r="A352" s="1" t="s">
        <v>114</v>
      </c>
    </row>
    <row r="355" customFormat="false" ht="12.75" hidden="false" customHeight="false" outlineLevel="0" collapsed="false">
      <c r="A355" s="1" t="s">
        <v>138</v>
      </c>
    </row>
    <row r="361" customFormat="false" ht="12.75" hidden="false" customHeight="false" outlineLevel="0" collapsed="false">
      <c r="A361" s="1" t="s">
        <v>156</v>
      </c>
    </row>
  </sheetData>
  <sheetProtection sheet="true" password="c6ac"/>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I28">
    <cfRule type="expression" priority="2" aboveAverage="0" equalAverage="0" bottom="0" percent="0" rank="0" text="" dxfId="0">
      <formula>OR(Cn0&lt;CritCnmin,Cn0&gt;CritCnmax)</formula>
    </cfRule>
  </conditionalFormatting>
  <conditionalFormatting sqref="D17">
    <cfRule type="expression" priority="3" aboveAverage="0" equalAverage="0" bottom="0" percent="0" rank="0" text="" dxfId="1">
      <formula>D202</formula>
    </cfRule>
  </conditionalFormatting>
  <conditionalFormatting sqref="C29 C27">
    <cfRule type="cellIs" priority="4" operator="equal" aboveAverage="0" equalAverage="0" bottom="0" percent="0" rank="0" text="" dxfId="2">
      <formula>109</formula>
    </cfRule>
  </conditionalFormatting>
  <conditionalFormatting sqref="C28">
    <cfRule type="cellIs" priority="5" operator="equal" aboveAverage="0" equalAverage="0" bottom="0" percent="0" rank="0" text="" dxfId="3">
      <formula>59</formula>
    </cfRule>
  </conditionalFormatting>
  <conditionalFormatting sqref="C30">
    <cfRule type="cellIs" priority="6" operator="equal" aboveAverage="0" equalAverage="0" bottom="0" percent="0" rank="0" text="" dxfId="4">
      <formula>99</formula>
    </cfRule>
  </conditionalFormatting>
  <conditionalFormatting sqref="C23:D23 C14 C34">
    <cfRule type="cellIs" priority="7" operator="equal" aboveAverage="0" equalAverage="0" bottom="0" percent="0" rank="0" text="" dxfId="5">
      <formula>59</formula>
    </cfRule>
  </conditionalFormatting>
  <conditionalFormatting sqref="C22:D22">
    <cfRule type="cellIs" priority="8" operator="equal" aboveAverage="0" equalAverage="0" bottom="0" percent="0" rank="0" text="" dxfId="6">
      <formula>199</formula>
    </cfRule>
  </conditionalFormatting>
  <conditionalFormatting sqref="C13:D13 C18 C33">
    <cfRule type="cellIs" priority="9" operator="equal" aboveAverage="0" equalAverage="0" bottom="0" percent="0" rank="0" text="" dxfId="7">
      <formula>1001</formula>
    </cfRule>
  </conditionalFormatting>
  <conditionalFormatting sqref="C12">
    <cfRule type="cellIs" priority="10" operator="equal" aboveAverage="0" equalAverage="0" bottom="0" percent="0" rank="0" text="" dxfId="8">
      <formula>639</formula>
    </cfRule>
  </conditionalFormatting>
  <conditionalFormatting sqref="C11">
    <cfRule type="cellIs" priority="11" operator="equal" aboveAverage="0" equalAverage="0" bottom="0" percent="0" rank="0" text="" dxfId="9">
      <formula>359</formula>
    </cfRule>
    <cfRule type="expression" priority="12" aboveAverage="0" equalAverage="0" bottom="0" percent="0" rank="0" text="" dxfId="10">
      <formula>OR(MasseSans&lt;MpropuVide, MasseSans&gt;20*MpropuPlein)</formula>
    </cfRule>
  </conditionalFormatting>
  <conditionalFormatting sqref="N36">
    <cfRule type="expression" priority="13" aboveAverage="0" equalAverage="0" bottom="0" percent="0" rank="0" text="" dxfId="11">
      <formula>ROUND(SUM(C2:P25)+SUM(C27:P35),0)=8637</formula>
    </cfRule>
  </conditionalFormatting>
  <conditionalFormatting sqref="B14:D14 B34:C34">
    <cfRule type="expression" priority="14" aboveAverage="0" equalAverage="0" bottom="0" percent="0" rank="0" text="" dxfId="12">
      <formula>AND(IF(RIGHT(Nb_diam,1)=",",1),IF(LEFT(Type_masquage,1)="M",1))</formula>
    </cfRule>
  </conditionalFormatting>
  <conditionalFormatting sqref="M5:P5">
    <cfRule type="expression" priority="15" aboveAverage="0" equalAverage="0" bottom="0" percent="0" rank="0" text="" dxfId="13">
      <formula>IF(RIGHT(Nb_diam,1)=",",1)</formula>
    </cfRule>
  </conditionalFormatting>
  <conditionalFormatting sqref="I30">
    <cfRule type="expression" priority="16" aboveAverage="0" equalAverage="0" bottom="0" percent="0" rank="0" text="" dxfId="14">
      <formula>OR(MS_Cn_max&lt;CritMsCnmin,MS_Cn_max&gt;CritMsCnmax)</formula>
    </cfRule>
  </conditionalFormatting>
  <conditionalFormatting sqref="H30">
    <cfRule type="expression" priority="17" aboveAverage="0" equalAverage="0" bottom="0" percent="0" rank="0" text="" dxfId="15">
      <formula>OR(MS_Cn_min&lt;CritMsCnmin,MS_Cn_min&gt;CritMsCnmax)</formula>
    </cfRule>
  </conditionalFormatting>
  <conditionalFormatting sqref="I29">
    <cfRule type="expression" priority="18" aboveAverage="0" equalAverage="0" bottom="0" percent="0" rank="0" text="" dxfId="16">
      <formula>OR(MS_max&lt;CritMsmin,MS_max&gt;CritMsmax)</formula>
    </cfRule>
  </conditionalFormatting>
  <conditionalFormatting sqref="H29">
    <cfRule type="expression" priority="19" aboveAverage="0" equalAverage="0" bottom="0" percent="0" rank="0" text="" dxfId="17">
      <formula>OR(MS_min&lt;CritMsmin,MS_min&gt;CritMsmax)</formula>
    </cfRule>
  </conditionalFormatting>
  <conditionalFormatting sqref="H28">
    <cfRule type="expression" priority="20" aboveAverage="0" equalAverage="0" bottom="0" percent="0" rank="0" text="" dxfId="18">
      <formula>OR(Cn&lt;CritCnmin,Cn&gt;CritCnmax)</formula>
    </cfRule>
  </conditionalFormatting>
  <conditionalFormatting sqref="H27:I27">
    <cfRule type="expression" priority="21" aboveAverage="0" equalAverage="0" bottom="0" percent="0" rank="0" text="" dxfId="19">
      <formula>OR(Finesse&lt;CritFinessemin,Finesse&gt;CritFinessemax)</formula>
    </cfRule>
  </conditionalFormatting>
  <conditionalFormatting sqref="L6:P9">
    <cfRule type="expression" priority="22" aboveAverage="0" equalAverage="0" bottom="0" percent="0" rank="0" text="" dxfId="20">
      <formula>IF(RIGHT(Nb_diam,1)=",",1)</formula>
    </cfRule>
  </conditionalFormatting>
  <conditionalFormatting sqref="H33:I34">
    <cfRule type="expression" priority="23" aboveAverage="0" equalAverage="0" bottom="0" percent="0" rank="0" text="" dxfId="21">
      <formula>$H$33="STABLE"</formula>
    </cfRule>
  </conditionalFormatting>
  <conditionalFormatting sqref="L23:P24">
    <cfRule type="expression" priority="24" aboveAverage="0" equalAverage="0" bottom="0" percent="0" rank="0" text="" dxfId="22">
      <formula>IF(RIGHT(Nb_diam,1)=",",1)</formula>
    </cfRule>
  </conditionalFormatting>
  <conditionalFormatting sqref="D25:E25 D27:E34 B35:E35 L20:P22">
    <cfRule type="expression" priority="25" aboveAverage="0" equalAverage="0" bottom="0" percent="0" rank="0" text="" dxfId="23">
      <formula>IF(LEFT(Type_masquage,1)="M",1)</formula>
    </cfRule>
  </conditionalFormatting>
  <conditionalFormatting sqref="O36 M36">
    <cfRule type="expression" priority="26" aboveAverage="0" equalAverage="0" bottom="0" percent="0" rank="0" text="" dxfId="24">
      <formula>$M$36="propu NOK"</formula>
    </cfRule>
  </conditionalFormatting>
  <conditionalFormatting sqref="C17">
    <cfRule type="expression" priority="27" aboveAverage="0" equalAverage="0" bottom="0" percent="0" rank="0" text="" dxfId="25">
      <formula>C204</formula>
    </cfRule>
  </conditionalFormatting>
  <conditionalFormatting sqref="L38:M38">
    <cfRule type="expression" priority="28" aboveAverage="0" equalAverage="0" bottom="0" percent="0" rank="0" text="" dxfId="26">
      <formula>OR(SUM($C$27:$C$32)=273, $H$33&lt;&gt;"STABLE")</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36328125" defaultRowHeight="12" zeroHeight="false" outlineLevelRow="0" outlineLevelCol="0"/>
  <cols>
    <col collapsed="false" customWidth="true" hidden="false" outlineLevel="0" max="1" min="1" style="154" width="2.18"/>
    <col collapsed="false" customWidth="true" hidden="false" outlineLevel="0" max="2" min="2" style="154" width="16.27"/>
    <col collapsed="false" customWidth="false" hidden="false" outlineLevel="0" max="4" min="3" style="154" width="11.36"/>
    <col collapsed="false" customWidth="true" hidden="false" outlineLevel="0" max="5" min="5" style="154" width="2.73"/>
    <col collapsed="false" customWidth="true" hidden="false" outlineLevel="0" max="7" min="6" style="154" width="12.82"/>
    <col collapsed="false" customWidth="true" hidden="false" outlineLevel="0" max="13" min="8" style="154" width="10.73"/>
    <col collapsed="false" customWidth="true" hidden="false" outlineLevel="0" max="15" min="14" style="154" width="2.18"/>
    <col collapsed="false" customWidth="true" hidden="false" outlineLevel="0" max="17" min="16" style="154" width="14.27"/>
    <col collapsed="false" customWidth="false" hidden="false" outlineLevel="0" max="16384" min="18" style="154" width="11.36"/>
  </cols>
  <sheetData>
    <row r="1" customFormat="false" ht="12.75" hidden="false" customHeight="false" outlineLevel="0" collapsed="false">
      <c r="A1" s="155"/>
      <c r="B1" s="156"/>
      <c r="C1" s="157"/>
      <c r="D1" s="156"/>
      <c r="E1" s="158"/>
      <c r="F1" s="158"/>
      <c r="G1" s="158"/>
      <c r="H1" s="158"/>
      <c r="I1" s="158"/>
      <c r="J1" s="158"/>
      <c r="K1" s="158"/>
      <c r="L1" s="158"/>
      <c r="M1" s="158"/>
      <c r="N1" s="159"/>
    </row>
    <row r="2" customFormat="false" ht="12.75" hidden="false" customHeight="true" outlineLevel="0" collapsed="false">
      <c r="A2" s="160"/>
      <c r="B2" s="161"/>
      <c r="C2" s="162" t="s">
        <v>157</v>
      </c>
      <c r="D2" s="162"/>
      <c r="E2" s="163"/>
      <c r="F2" s="164"/>
      <c r="G2" s="163"/>
      <c r="H2" s="163"/>
      <c r="I2" s="163"/>
      <c r="J2" s="165"/>
      <c r="K2" s="163"/>
      <c r="L2" s="163"/>
      <c r="M2" s="163"/>
      <c r="N2" s="166"/>
    </row>
    <row r="3" customFormat="false" ht="12.75" hidden="false" customHeight="true" outlineLevel="0" collapsed="false">
      <c r="A3" s="160"/>
      <c r="B3" s="161"/>
      <c r="C3" s="162"/>
      <c r="D3" s="162"/>
      <c r="E3" s="167"/>
      <c r="F3" s="167"/>
      <c r="G3" s="167"/>
      <c r="H3" s="168"/>
      <c r="I3" s="167"/>
      <c r="J3" s="165"/>
      <c r="K3" s="163"/>
      <c r="L3" s="163"/>
      <c r="M3" s="163"/>
      <c r="N3" s="166"/>
    </row>
    <row r="4" customFormat="false" ht="12.75" hidden="false" customHeight="true" outlineLevel="0" collapsed="false">
      <c r="A4" s="160"/>
      <c r="B4" s="161"/>
      <c r="C4" s="169" t="str">
        <f aca="false">IF(Lang="Français","Trajectographie de fusée",IF(Lang="English","Rocket Trajectography",""))</f>
        <v>Trajectographie de fusée</v>
      </c>
      <c r="D4" s="169"/>
      <c r="E4" s="167"/>
      <c r="F4" s="167"/>
      <c r="G4" s="167"/>
      <c r="H4" s="168"/>
      <c r="I4" s="167"/>
      <c r="J4" s="165"/>
      <c r="K4" s="163"/>
      <c r="L4" s="163"/>
      <c r="M4" s="163"/>
      <c r="N4" s="166"/>
    </row>
    <row r="5" customFormat="false" ht="12.75" hidden="false" customHeight="true" outlineLevel="0" collapsed="false">
      <c r="A5" s="160"/>
      <c r="B5" s="161"/>
      <c r="C5" s="163"/>
      <c r="D5" s="163"/>
      <c r="E5" s="167"/>
      <c r="F5" s="167"/>
      <c r="G5" s="163"/>
      <c r="H5" s="163"/>
      <c r="I5" s="167"/>
      <c r="J5" s="165"/>
      <c r="K5" s="163"/>
      <c r="L5" s="163"/>
      <c r="M5" s="163"/>
      <c r="N5" s="166"/>
    </row>
    <row r="6" customFormat="false" ht="12.75" hidden="false" customHeight="true" outlineLevel="0" collapsed="false">
      <c r="A6" s="160"/>
      <c r="B6" s="19"/>
      <c r="C6" s="170" t="str">
        <f aca="false">IF(Lang="Français","Remplir les cases jaunes",IF(Lang="English","Fill-in yellow cells only",""))</f>
        <v>Remplir les cases jaunes</v>
      </c>
      <c r="D6" s="170"/>
      <c r="E6" s="167"/>
      <c r="F6" s="167"/>
      <c r="G6" s="163"/>
      <c r="H6" s="163"/>
      <c r="I6" s="167"/>
      <c r="J6" s="165"/>
      <c r="K6" s="163"/>
      <c r="L6" s="163"/>
      <c r="M6" s="163"/>
      <c r="N6" s="166"/>
    </row>
    <row r="7" customFormat="false" ht="12.75" hidden="false" customHeight="false" outlineLevel="0" collapsed="false">
      <c r="A7" s="160"/>
      <c r="B7" s="171"/>
      <c r="C7" s="172" t="str">
        <f aca="false">IF(Lang="Français","Fusée",IF(Lang="English","Rocket",""))</f>
        <v>Fusée</v>
      </c>
      <c r="D7" s="172"/>
      <c r="E7" s="167"/>
      <c r="F7" s="167"/>
      <c r="G7" s="163"/>
      <c r="H7" s="163"/>
      <c r="I7" s="167"/>
      <c r="J7" s="163"/>
      <c r="K7" s="163"/>
      <c r="L7" s="163"/>
      <c r="M7" s="163"/>
      <c r="N7" s="173"/>
    </row>
    <row r="8" customFormat="false" ht="12.75" hidden="false" customHeight="true" outlineLevel="0" collapsed="false">
      <c r="A8" s="160"/>
      <c r="B8" s="174" t="str">
        <f aca="false">IF(Lang="Français","Nom",IF(Lang="English","Name",""))</f>
        <v>Nom</v>
      </c>
      <c r="C8" s="175" t="str">
        <f aca="false">Nom</f>
        <v>Ail et fines’eirb</v>
      </c>
      <c r="D8" s="175"/>
      <c r="E8" s="168"/>
      <c r="F8" s="168"/>
      <c r="G8" s="163"/>
      <c r="H8" s="163"/>
      <c r="I8" s="167"/>
      <c r="J8" s="165"/>
      <c r="K8" s="163"/>
      <c r="L8" s="163"/>
      <c r="M8" s="163"/>
      <c r="N8" s="166"/>
    </row>
    <row r="9" customFormat="false" ht="12.75" hidden="false" customHeight="true" outlineLevel="0" collapsed="false">
      <c r="A9" s="176"/>
      <c r="B9" s="174" t="s">
        <v>6</v>
      </c>
      <c r="C9" s="175" t="str">
        <f aca="false">Club</f>
        <v>Eirspace</v>
      </c>
      <c r="D9" s="175"/>
      <c r="E9" s="167"/>
      <c r="F9" s="168"/>
      <c r="G9" s="163"/>
      <c r="H9" s="163"/>
      <c r="I9" s="167"/>
      <c r="J9" s="163"/>
      <c r="K9" s="163"/>
      <c r="L9" s="163"/>
      <c r="M9" s="163"/>
      <c r="N9" s="173"/>
    </row>
    <row r="10" customFormat="false" ht="12.75" hidden="false" customHeight="true" outlineLevel="0" collapsed="false">
      <c r="A10" s="176"/>
      <c r="B10" s="174" t="str">
        <f aca="false">IF(Lang="Français","Masse totale",IF(Lang="English","Total Mass",""))</f>
        <v>Masse totale</v>
      </c>
      <c r="C10" s="177" t="n">
        <f aca="false">MassePlein</f>
        <v>1.5599</v>
      </c>
      <c r="D10" s="177"/>
      <c r="E10" s="167"/>
      <c r="F10" s="168"/>
      <c r="G10" s="163"/>
      <c r="H10" s="163"/>
      <c r="I10" s="167"/>
      <c r="J10" s="163"/>
      <c r="K10" s="163"/>
      <c r="L10" s="163"/>
      <c r="M10" s="163"/>
      <c r="N10" s="173"/>
    </row>
    <row r="11" customFormat="false" ht="12.75" hidden="false" customHeight="true" outlineLevel="0" collapsed="false">
      <c r="A11" s="176"/>
      <c r="B11" s="178" t="str">
        <f aca="false">IF(Lang="Français","Propulseur",IF(Lang="English","Motor",""))</f>
        <v>Propulseur</v>
      </c>
      <c r="C11" s="179" t="str">
        <f aca="false">Propu</f>
        <v>Pandora (Pro24-6G BS)</v>
      </c>
      <c r="D11" s="179"/>
      <c r="E11" s="167"/>
      <c r="F11" s="168"/>
      <c r="G11" s="163"/>
      <c r="H11" s="163"/>
      <c r="I11" s="167"/>
      <c r="J11" s="163"/>
      <c r="K11" s="163"/>
      <c r="L11" s="163"/>
      <c r="M11" s="163"/>
      <c r="N11" s="173"/>
    </row>
    <row r="12" customFormat="false" ht="12.75" hidden="false" customHeight="true" outlineLevel="0" collapsed="false">
      <c r="A12" s="176"/>
      <c r="B12" s="163"/>
      <c r="C12" s="163"/>
      <c r="D12" s="163"/>
      <c r="E12" s="167"/>
      <c r="F12" s="168"/>
      <c r="G12" s="163"/>
      <c r="H12" s="163"/>
      <c r="I12" s="167"/>
      <c r="J12" s="163"/>
      <c r="K12" s="163"/>
      <c r="L12" s="163"/>
      <c r="M12" s="163"/>
      <c r="N12" s="173"/>
    </row>
    <row r="13" customFormat="false" ht="12.75" hidden="false" customHeight="true" outlineLevel="0" collapsed="false">
      <c r="A13" s="176"/>
      <c r="B13" s="180"/>
      <c r="C13" s="172" t="str">
        <f aca="false">IF(Lang="Français","Traînée Aérdynamique",IF(Lang="English","Drag",""))</f>
        <v>Traînée Aérdynamique</v>
      </c>
      <c r="D13" s="172"/>
      <c r="E13" s="167"/>
      <c r="F13" s="163"/>
      <c r="G13" s="163"/>
      <c r="H13" s="163"/>
      <c r="I13" s="167"/>
      <c r="J13" s="163"/>
      <c r="K13" s="163"/>
      <c r="L13" s="163"/>
      <c r="M13" s="163"/>
      <c r="N13" s="173"/>
    </row>
    <row r="14" customFormat="false" ht="12.75" hidden="false" customHeight="true" outlineLevel="0" collapsed="false">
      <c r="A14" s="176"/>
      <c r="B14" s="174" t="s">
        <v>158</v>
      </c>
      <c r="C14" s="181" t="n">
        <f aca="false">(PI()*D_ref^2/4+E_ail*ep_ail*Q_ail)/10^6</f>
        <v>0.00352597100678652</v>
      </c>
      <c r="D14" s="181"/>
      <c r="E14" s="167"/>
      <c r="F14" s="163"/>
      <c r="G14" s="163"/>
      <c r="H14" s="163"/>
      <c r="I14" s="167"/>
      <c r="J14" s="163"/>
      <c r="K14" s="163"/>
      <c r="L14" s="163"/>
      <c r="M14" s="163"/>
      <c r="N14" s="173"/>
    </row>
    <row r="15" customFormat="false" ht="12.75" hidden="false" customHeight="true" outlineLevel="0" collapsed="false">
      <c r="A15" s="176"/>
      <c r="B15" s="182" t="s">
        <v>159</v>
      </c>
      <c r="C15" s="183" t="n">
        <v>0.5</v>
      </c>
      <c r="D15" s="183"/>
      <c r="E15" s="167"/>
      <c r="F15" s="163"/>
      <c r="G15" s="163"/>
      <c r="H15" s="163"/>
      <c r="I15" s="167"/>
      <c r="J15" s="163"/>
      <c r="K15" s="163"/>
      <c r="L15" s="163"/>
      <c r="M15" s="163"/>
      <c r="N15" s="173"/>
    </row>
    <row r="16" customFormat="false" ht="12.75" hidden="false" customHeight="true" outlineLevel="0" collapsed="false">
      <c r="A16" s="176"/>
      <c r="B16" s="163"/>
      <c r="C16" s="163"/>
      <c r="D16" s="163"/>
      <c r="E16" s="167"/>
      <c r="F16" s="167"/>
      <c r="G16" s="163"/>
      <c r="H16" s="163"/>
      <c r="I16" s="167"/>
      <c r="J16" s="163"/>
      <c r="K16" s="163"/>
      <c r="L16" s="163"/>
      <c r="M16" s="163"/>
      <c r="N16" s="173"/>
    </row>
    <row r="17" customFormat="false" ht="12.75" hidden="false" customHeight="true" outlineLevel="0" collapsed="false">
      <c r="A17" s="176"/>
      <c r="B17" s="180"/>
      <c r="C17" s="172" t="str">
        <f aca="false">IF(Lang="Français","Rampe de Lancement",IF(Lang="English","Launch Pad",""))</f>
        <v>Rampe de Lancement</v>
      </c>
      <c r="D17" s="172"/>
      <c r="E17" s="167"/>
      <c r="F17" s="163"/>
      <c r="G17" s="163"/>
      <c r="H17" s="163"/>
      <c r="I17" s="167"/>
      <c r="J17" s="163"/>
      <c r="K17" s="163"/>
      <c r="L17" s="163"/>
      <c r="M17" s="163"/>
      <c r="N17" s="173"/>
    </row>
    <row r="18" customFormat="false" ht="12.75" hidden="false" customHeight="true" outlineLevel="0" collapsed="false">
      <c r="A18" s="176"/>
      <c r="B18" s="174" t="str">
        <f aca="false">IF(Lang="Français","Longueur",IF(Lang="English","Length",""))</f>
        <v>Longueur</v>
      </c>
      <c r="C18" s="184" t="n">
        <f aca="false">IF(RIGHT(Type_fusee,1)=".",4, IF(LEFT(Type_fusee,4)="Mini",2.5, IF(LEFT(Type_fusee,5)="Micro",1, IF(RIGHT(Type_fusee,1)=" ",0.1,IF(LEFT(Type_fusee,1)="R",3, 2.5)))))</f>
        <v>2.5</v>
      </c>
      <c r="D18" s="184"/>
      <c r="E18" s="167"/>
      <c r="F18" s="163"/>
      <c r="G18" s="163"/>
      <c r="H18" s="163"/>
      <c r="I18" s="167"/>
      <c r="J18" s="163"/>
      <c r="K18" s="163"/>
      <c r="L18" s="163"/>
      <c r="M18" s="163"/>
      <c r="N18" s="173"/>
    </row>
    <row r="19" customFormat="false" ht="12.75" hidden="false" customHeight="true" outlineLevel="0" collapsed="false">
      <c r="A19" s="176"/>
      <c r="B19" s="174" t="str">
        <f aca="false">IF(Lang="Français","Élévation",IF(Lang="English","Angle /horizon",""))</f>
        <v>Élévation</v>
      </c>
      <c r="C19" s="185" t="n">
        <v>80</v>
      </c>
      <c r="D19" s="185"/>
      <c r="E19" s="167"/>
      <c r="F19" s="163"/>
      <c r="G19" s="163"/>
      <c r="H19" s="163"/>
      <c r="I19" s="167"/>
      <c r="J19" s="163"/>
      <c r="K19" s="163"/>
      <c r="L19" s="163"/>
      <c r="M19" s="163"/>
      <c r="N19" s="173"/>
    </row>
    <row r="20" customFormat="false" ht="12.75" hidden="false" customHeight="true" outlineLevel="0" collapsed="false">
      <c r="A20" s="176"/>
      <c r="B20" s="174" t="s">
        <v>160</v>
      </c>
      <c r="C20" s="184" t="n">
        <v>0</v>
      </c>
      <c r="D20" s="184"/>
      <c r="E20" s="167"/>
      <c r="F20" s="167"/>
      <c r="G20" s="163"/>
      <c r="H20" s="163"/>
      <c r="I20" s="167"/>
      <c r="J20" s="163"/>
      <c r="K20" s="163"/>
      <c r="L20" s="163"/>
      <c r="M20" s="163"/>
      <c r="N20" s="173"/>
    </row>
    <row r="21" customFormat="false" ht="12.75" hidden="false" customHeight="true" outlineLevel="0" collapsed="false">
      <c r="A21" s="176"/>
      <c r="B21" s="163"/>
      <c r="C21" s="163"/>
      <c r="D21" s="163"/>
      <c r="E21" s="163"/>
      <c r="F21" s="186"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163"/>
      <c r="H21" s="163"/>
      <c r="I21" s="163"/>
      <c r="J21" s="163"/>
      <c r="K21" s="163"/>
      <c r="L21" s="163"/>
      <c r="M21" s="163"/>
      <c r="N21" s="173"/>
    </row>
    <row r="22" customFormat="false" ht="12.75" hidden="false" customHeight="false" outlineLevel="0" collapsed="false">
      <c r="A22" s="176"/>
      <c r="B22" s="163"/>
      <c r="C22" s="187" t="str">
        <f aca="false">IF(Lang="Français","DescenteSousParachute",IF(Lang="English","Over Parachute",""))</f>
        <v>DescenteSousParachute</v>
      </c>
      <c r="D22" s="187"/>
      <c r="E22" s="163"/>
      <c r="F22" s="165"/>
      <c r="G22" s="188" t="n">
        <f aca="true">TODAY()</f>
        <v>45316</v>
      </c>
      <c r="H22" s="189" t="str">
        <f aca="false">IF(Lang="Français","Temps",IF(Lang="English","Time",""))</f>
        <v>Temps</v>
      </c>
      <c r="I22" s="189" t="s">
        <v>161</v>
      </c>
      <c r="J22" s="189" t="str">
        <f aca="false">IF(Lang="Français","Portée x",IF(Lang="English","Range x",""))</f>
        <v>Portée x</v>
      </c>
      <c r="K22" s="189" t="str">
        <f aca="false">IF(Lang="Français","Vitesse",IF(Lang="English","Velocity",""))</f>
        <v>Vitesse</v>
      </c>
      <c r="L22" s="190" t="s">
        <v>162</v>
      </c>
      <c r="M22" s="191" t="s">
        <v>163</v>
      </c>
      <c r="N22" s="173"/>
    </row>
    <row r="23" customFormat="false" ht="12.75" hidden="false" customHeight="false" outlineLevel="0" collapsed="false">
      <c r="A23" s="176"/>
      <c r="B23" s="180"/>
      <c r="C23" s="192" t="str">
        <f aca="false">C7</f>
        <v>Fusée</v>
      </c>
      <c r="D23" s="193" t="s">
        <v>164</v>
      </c>
      <c r="E23" s="163"/>
      <c r="F23" s="194" t="str">
        <f aca="false">IF(Lang="Français","Sortie de Rampe",IF(Lang="English","Launch-Pad Exit",""))</f>
        <v>Sortie de Rampe</v>
      </c>
      <c r="G23" s="194"/>
      <c r="H23" s="195"/>
      <c r="I23" s="195"/>
      <c r="J23" s="195"/>
      <c r="K23" s="196" t="n">
        <f aca="false">INDEX(vit_xz,MATCH("Sortie de rampe",Event,0))</f>
        <v>23.6096320586357</v>
      </c>
      <c r="L23" s="197"/>
      <c r="M23" s="198"/>
      <c r="N23" s="173"/>
    </row>
    <row r="24" customFormat="false" ht="12.75" hidden="false" customHeight="false" outlineLevel="0" collapsed="false">
      <c r="A24" s="176"/>
      <c r="B24" s="199" t="str">
        <f aca="false">IF(Lang="Français","Masse",IF(Lang="English","Mass",""))</f>
        <v>Masse</v>
      </c>
      <c r="C24" s="177" t="n">
        <f aca="false">IF(Nb_sat="0 satellite",MasseVide,MasseVide-m_satellite)</f>
        <v>1.4843</v>
      </c>
      <c r="D24" s="200" t="n">
        <f aca="false">IF(RIGHT(Type_fusee,1)=".",1,0.15)</f>
        <v>0.15</v>
      </c>
      <c r="E24" s="186" t="str">
        <f aca="false">IF(ABS(T_satellite-0.11-T_para)&lt;0.1,"Pb!","")</f>
        <v/>
      </c>
      <c r="F24" s="194" t="str">
        <f aca="false">IF(Lang="Français","Vit max &amp; Acc max",IF(Lang="English","Max Velocity &amp; Acc",""))</f>
        <v>Vit max &amp; Acc max</v>
      </c>
      <c r="G24" s="194"/>
      <c r="H24" s="195"/>
      <c r="I24" s="195"/>
      <c r="J24" s="195"/>
      <c r="K24" s="201" t="n">
        <f aca="false">MAX(vit_xz)</f>
        <v>81.6261368570002</v>
      </c>
      <c r="L24" s="202" t="n">
        <f aca="false">MAX(acc_xz)</f>
        <v>144.450610706871</v>
      </c>
      <c r="M24" s="198"/>
      <c r="N24" s="173"/>
    </row>
    <row r="25" customFormat="false" ht="12.75" hidden="false" customHeight="false" outlineLevel="0" collapsed="false">
      <c r="A25" s="176"/>
      <c r="B25" s="203" t="str">
        <f aca="false">IF(Lang="Français","Dépotage",IF(Lang="English","Delay",""))</f>
        <v>Dépotage</v>
      </c>
      <c r="C25" s="204" t="s">
        <v>165</v>
      </c>
      <c r="D25" s="205"/>
      <c r="E25" s="163"/>
      <c r="F25" s="206" t="str">
        <f aca="false">IF(Lang="Français","Largage du satellite",IF(Lang="English","Satellite separation",""))</f>
        <v>Largage du satellite</v>
      </c>
      <c r="G25" s="206"/>
      <c r="H25" s="207" t="n">
        <f aca="false">IF(T_satellite&lt;&gt;0,T_satellite,"")</f>
        <v>3.5</v>
      </c>
      <c r="I25" s="208" t="n">
        <f aca="false">IF(T_satellite&lt;&gt;0,INDEX(pos_z,MATCH("Satellite",Event_sat,0)),"")</f>
        <v>208.92156206941</v>
      </c>
      <c r="J25" s="209" t="n">
        <f aca="false">IF(T_satellite&lt;&gt;0,INDEX(pos_x,MATCH("Satellite",Event_sat,0)),"")</f>
        <v>47.9015368210961</v>
      </c>
      <c r="K25" s="210" t="n">
        <f aca="false">IF(T_satellite&lt;&gt;0,INDEX(vit_xz,MATCH("Satellite",Event_sat,0)),"")</f>
        <v>49.9330401045551</v>
      </c>
      <c r="L25" s="211"/>
      <c r="M25" s="212" t="n">
        <f aca="false">1/2*Rho_moyen*1*V_ouv_sat^2*S_satellite</f>
        <v>30.543029052518</v>
      </c>
      <c r="N25" s="173"/>
    </row>
    <row r="26" customFormat="false" ht="12.75" hidden="false" customHeight="false" outlineLevel="0" collapsed="false">
      <c r="A26" s="176"/>
      <c r="B26" s="213" t="str">
        <f aca="false">IF(Lang="Français","Ouverture para",IF(Lang="English","Opening time",""))</f>
        <v>Ouverture para</v>
      </c>
      <c r="C26" s="214" t="n">
        <v>12</v>
      </c>
      <c r="D26" s="214" t="n">
        <v>3.5</v>
      </c>
      <c r="E26" s="163"/>
      <c r="F26" s="194" t="s">
        <v>166</v>
      </c>
      <c r="G26" s="194"/>
      <c r="H26" s="215" t="n">
        <f aca="false">INDEX(t,MATCH("Apogée",Event,0))</f>
        <v>7.99999999999999</v>
      </c>
      <c r="I26" s="216" t="n">
        <f aca="false">INDEX(pos_z,MATCH("Apogée",Event,0))</f>
        <v>315.77942584937</v>
      </c>
      <c r="J26" s="217" t="n">
        <f aca="false">INDEX(pos_x,MATCH("Apogée",Event,0))</f>
        <v>109.29191186161</v>
      </c>
      <c r="K26" s="218" t="n">
        <f aca="false">INDEX(vit_xz,MATCH("Apogée",Event,0))</f>
        <v>13.1952141491521</v>
      </c>
      <c r="L26" s="219"/>
      <c r="M26" s="198"/>
      <c r="N26" s="173"/>
    </row>
    <row r="27" customFormat="false" ht="12.75" hidden="false" customHeight="false" outlineLevel="0" collapsed="false">
      <c r="A27" s="176"/>
      <c r="B27" s="182" t="s">
        <v>167</v>
      </c>
      <c r="C27" s="220" t="n">
        <f aca="false">S_para_croix</f>
        <v>0.260205</v>
      </c>
      <c r="D27" s="221" t="n">
        <f aca="false">IF(RIGHT(Type_fusee,1)=".",0.1,0.02)</f>
        <v>0.02</v>
      </c>
      <c r="E27" s="163"/>
      <c r="F27" s="222" t="str">
        <f aca="false">IF(Lang="Français","Ouverture parachute fusée",IF(Lang="English","Rocket parachute opening",""))</f>
        <v>Ouverture parachute fusée</v>
      </c>
      <c r="G27" s="222"/>
      <c r="H27" s="207" t="n">
        <f aca="false">T_para</f>
        <v>12</v>
      </c>
      <c r="I27" s="208" t="n">
        <f aca="false">INDEX(pos_z,MATCH("Para",Event_para,0))</f>
        <v>242.577425027439</v>
      </c>
      <c r="J27" s="223" t="n">
        <f aca="false">INDEX(pos_x,MATCH("Para",Event_para,0))</f>
        <v>160.578787393525</v>
      </c>
      <c r="K27" s="210" t="n">
        <f aca="false">INDEX(vit_xz,MATCH("Para",Event_para,0))</f>
        <v>38.8853105907693</v>
      </c>
      <c r="L27" s="211"/>
      <c r="M27" s="212" t="n">
        <f aca="false">1/2*Rho_moyen*1*V_ouverture^2*S_para</f>
        <v>240.986589184059</v>
      </c>
      <c r="N27" s="173"/>
      <c r="P27" s="224" t="str">
        <f aca="false">IF(V_para&lt;5, IF(Lang="Français","Parachute fusée trop grand !","Parachute too big!"), IF( V_para&gt;15, IF(Lang="Français","Parachute fusée trop petit !","Parachute too small!"), ""))</f>
        <v/>
      </c>
      <c r="R27" s="224"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76"/>
      <c r="B28" s="182" t="s">
        <v>168</v>
      </c>
      <c r="C28" s="183" t="n">
        <v>1</v>
      </c>
      <c r="D28" s="183" t="n">
        <v>1</v>
      </c>
      <c r="E28" s="163"/>
      <c r="F28" s="225" t="str">
        <f aca="false">IF(Lang="Français","Impact balistique",IF(Lang="English","Balistic Impact",""))</f>
        <v>Impact balistique</v>
      </c>
      <c r="G28" s="225"/>
      <c r="H28" s="226" t="n">
        <f aca="false">INDEX(t,MATCH("Impact balistique",Event,0))</f>
        <v>16.5</v>
      </c>
      <c r="I28" s="227" t="s">
        <v>169</v>
      </c>
      <c r="J28" s="216" t="n">
        <f aca="false">INDEX(pos_x,MATCH("Impact balistique",Event,0))</f>
        <v>211.791153319536</v>
      </c>
      <c r="K28" s="228" t="n">
        <f aca="false">K45</f>
        <v>71.6216606253006</v>
      </c>
      <c r="L28" s="219"/>
      <c r="M28" s="229" t="n">
        <f aca="false">0.5*m_vide*K28^2</f>
        <v>3806.97885421911</v>
      </c>
      <c r="N28" s="173"/>
      <c r="P28" s="224" t="str">
        <f aca="false">IF( OR( V_para&lt;5, V_para&gt;15, AND(Nb_sat="1 satellite", OR(V_satellite&lt;5, V_satellite&gt;15))), IF(Lang="Français","La Vitesse de descente sous parachute doit être comprise entre 5 &amp; 15 m/s.","Fall Velocity with parachute must be between 5 &amp; 15 m/s."), "")</f>
        <v/>
      </c>
    </row>
    <row r="29" customFormat="false" ht="12.75" hidden="false" customHeight="false" outlineLevel="0" collapsed="false">
      <c r="A29" s="176"/>
      <c r="B29" s="182" t="str">
        <f aca="false">IF(Lang="Français","Vitesse du vent",IF(Lang="English","Wind speed",""))</f>
        <v>Vitesse du vent</v>
      </c>
      <c r="C29" s="230" t="n">
        <v>5</v>
      </c>
      <c r="D29" s="230" t="n">
        <f aca="false">V_vent</f>
        <v>5</v>
      </c>
      <c r="E29" s="186" t="str">
        <f aca="false">IF(AND(T_satellite=0,m_satellite&lt;&gt;0),"Erreur !","")</f>
        <v/>
      </c>
      <c r="F29" s="163"/>
      <c r="G29" s="231"/>
      <c r="H29" s="232"/>
      <c r="I29" s="233"/>
      <c r="K29" s="163"/>
      <c r="L29" s="163"/>
      <c r="M29" s="163"/>
      <c r="N29" s="173"/>
      <c r="P29" s="224" t="str">
        <f aca="false">IF(AND(Portee_balistique&gt;200,LEFT(Type_propu,4)="Mini"),IF(Lang="Français","Fusée trop lègère !","Rocket too light"),"")</f>
        <v>Fusée trop lègère !</v>
      </c>
    </row>
    <row r="30" customFormat="false" ht="12.75" hidden="false" customHeight="false" outlineLevel="0" collapsed="false">
      <c r="A30" s="176"/>
      <c r="B30" s="234" t="str">
        <f aca="false">IF(Lang="Français","Vitesse descente",IF(Lang="English","Fall velocity",""))</f>
        <v>Vitesse descente</v>
      </c>
      <c r="C30" s="196" t="n">
        <f aca="false">SQRT(2*m_vide*g/Rho_moyen/S_para/Cx_para)</f>
        <v>9.55838417995523</v>
      </c>
      <c r="D30" s="196" t="n">
        <f aca="false">SQRT(2*m_satellite*g/Rho_moyen/S_satellite/Cx_satellite)</f>
        <v>10.9600387307524</v>
      </c>
      <c r="E30" s="163"/>
      <c r="F30" s="186"/>
      <c r="G30" s="163"/>
      <c r="H30" s="163"/>
      <c r="I30" s="163"/>
      <c r="J30" s="163"/>
      <c r="K30" s="67"/>
      <c r="L30" s="163"/>
      <c r="M30" s="163"/>
      <c r="N30" s="173"/>
      <c r="P30" s="224"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76"/>
      <c r="B31" s="234" t="str">
        <f aca="false">IF(Lang="Français","Durée descente",IF(Lang="English","Fall duration",""))</f>
        <v>Durée descente</v>
      </c>
      <c r="C31" s="235" t="n">
        <f aca="false">Alt_para/V_para</f>
        <v>25.3784970828171</v>
      </c>
      <c r="D31" s="235" t="n">
        <f aca="false">IF(V_satellite&lt;&gt;0,Alt_sat/V_satellite,0)</f>
        <v>19.0621189579563</v>
      </c>
      <c r="E31" s="163"/>
      <c r="F31" s="163"/>
      <c r="G31" s="163"/>
      <c r="H31" s="31" t="str">
        <f aca="false">IF(Lang="Français","Pour localiser la fusée","To locate the rocket")</f>
        <v>Pour localiser la fusée</v>
      </c>
      <c r="I31" s="31"/>
      <c r="J31" s="236"/>
      <c r="L31" s="163"/>
      <c r="M31" s="163"/>
      <c r="N31" s="237"/>
      <c r="P31" s="224" t="str">
        <f aca="false">IF(Temps_culmi-T_para&gt;2,IF(Lang="Français","Ouverture parachute fusée précoce.","Early rocket parachute opening."),IF(Temps_culmi-T_para&lt;-2,IF(Lang="Français","Ouverture parachute fusée tardive.","Late rocket parachute opening."),""))</f>
        <v>Ouverture parachute fusée tardive.</v>
      </c>
    </row>
    <row r="32" customFormat="false" ht="12.75" hidden="false" customHeight="false" outlineLevel="0" collapsed="false">
      <c r="A32" s="176"/>
      <c r="B32" s="234" t="str">
        <f aca="false">IF(Lang="Français","Durée du vol",IF(Lang="English","Fligth duration",""))</f>
        <v>Durée du vol</v>
      </c>
      <c r="C32" s="235" t="n">
        <f aca="false">T_para+Dt_para</f>
        <v>37.3784970828171</v>
      </c>
      <c r="D32" s="235" t="n">
        <f aca="false">T_satellite+Dt_satellite</f>
        <v>22.5621189579563</v>
      </c>
      <c r="E32" s="163"/>
      <c r="F32" s="31" t="str">
        <f aca="false">IF(Lang="Français","Couleur fuselage/coiffe","Body/Nose color")</f>
        <v>Couleur fuselage/coiffe</v>
      </c>
      <c r="G32" s="31"/>
      <c r="H32" s="238" t="s">
        <v>170</v>
      </c>
      <c r="I32" s="238"/>
      <c r="J32" s="163"/>
      <c r="L32" s="163"/>
      <c r="M32" s="163"/>
      <c r="N32" s="239"/>
      <c r="P32" s="224" t="str">
        <f aca="false">IF(ABS(Temps_culmi-T_para)&gt;2,IF(Lang="Français","Attention, aux efforts sur le parachute lors de l'ouverture !","Becarefull to the opening chute efforts!"),"")</f>
        <v>Attention, aux efforts sur le parachute lors de l'ouverture !</v>
      </c>
    </row>
    <row r="33" s="243" customFormat="true" ht="12.75" hidden="false" customHeight="false" outlineLevel="0" collapsed="false">
      <c r="A33" s="240"/>
      <c r="B33" s="234" t="str">
        <f aca="false">IF(Lang="Français","Déport latéral",IF(Lang="English","Lateral shift",""))</f>
        <v>Déport latéral</v>
      </c>
      <c r="C33" s="241" t="n">
        <f aca="false">Alt_para*V_vent/V_para</f>
        <v>126.892485414086</v>
      </c>
      <c r="D33" s="241" t="n">
        <f aca="false">IF(V_satellite&lt;&gt;0,Alt_sat*V_vent_sat/V_satellite,0)</f>
        <v>95.3105947897813</v>
      </c>
      <c r="E33" s="180"/>
      <c r="F33" s="31" t="str">
        <f aca="false">IF(Lang="Français","Couleur parachute fusée","Rocket parachute color")</f>
        <v>Couleur parachute fusée</v>
      </c>
      <c r="G33" s="31"/>
      <c r="H33" s="238" t="s">
        <v>171</v>
      </c>
      <c r="I33" s="238"/>
      <c r="J33" s="180"/>
      <c r="K33" s="180"/>
      <c r="L33" s="180"/>
      <c r="M33" s="180"/>
      <c r="N33" s="242" t="str">
        <f aca="false">IF(Lang="Français","fichier initial","Initial file")</f>
        <v>fichier initial</v>
      </c>
    </row>
    <row r="34" customFormat="false" ht="12.75" hidden="false" customHeight="false" outlineLevel="0" collapsed="false">
      <c r="A34" s="176"/>
      <c r="B34" s="163"/>
      <c r="C34" s="163"/>
      <c r="D34" s="163"/>
      <c r="E34" s="163"/>
      <c r="F34" s="31" t="str">
        <f aca="false">IF(Lang="Français","Couleur parachute satellite","Satellite parachute color")</f>
        <v>Couleur parachute satellite</v>
      </c>
      <c r="G34" s="31"/>
      <c r="H34" s="238" t="s">
        <v>172</v>
      </c>
      <c r="I34" s="238"/>
      <c r="J34" s="163"/>
      <c r="K34" s="163"/>
      <c r="L34" s="163"/>
      <c r="M34" s="163"/>
      <c r="N34" s="244" t="str">
        <f aca="false">IF(ROUND(SUM(Propu!5:1228),0)=395253,"propu OK","propu NOK")</f>
        <v>propu OK</v>
      </c>
    </row>
    <row r="35" customFormat="false" ht="12.75" hidden="false" customHeight="false" outlineLevel="0" collapsed="false">
      <c r="A35" s="245"/>
      <c r="B35" s="246" t="str">
        <f aca="false">IF(Lang="Français","Commentaire libre :",IF(Lang="English","Free comment:",""))</f>
        <v>Commentaire libre :</v>
      </c>
      <c r="C35" s="247"/>
      <c r="D35" s="247"/>
      <c r="E35" s="247"/>
      <c r="F35" s="247"/>
      <c r="G35" s="247"/>
      <c r="H35" s="247"/>
      <c r="I35" s="247"/>
      <c r="J35" s="247"/>
      <c r="K35" s="247"/>
      <c r="L35" s="247"/>
      <c r="M35" s="247"/>
      <c r="N35" s="248" t="s">
        <v>23</v>
      </c>
    </row>
    <row r="38" customFormat="false" ht="12.75" hidden="false" customHeight="false" outlineLevel="0" collapsed="false">
      <c r="A38" s="249" t="str">
        <f aca="false">IF(Lang="Français","Calcul de la surface d'un parachute","Parachute surface calculation")</f>
        <v>Calcul de la surface d'un parachute</v>
      </c>
      <c r="B38" s="249"/>
      <c r="C38" s="249"/>
      <c r="D38" s="249"/>
      <c r="F38" s="249" t="str">
        <f aca="false">IF(Lang="Français","Résultats détaillés","Detailled results")</f>
        <v>Résultats détaillés</v>
      </c>
      <c r="G38" s="249"/>
      <c r="H38" s="250" t="str">
        <f aca="false">IF(Lang="Français","Temps",IF(Lang="English","Time",""))</f>
        <v>Temps</v>
      </c>
      <c r="I38" s="251" t="s">
        <v>161</v>
      </c>
      <c r="J38" s="251" t="str">
        <f aca="false">IF(Lang="Français","Portée x",IF(Lang="English","Range x",""))</f>
        <v>Portée x</v>
      </c>
      <c r="K38" s="251" t="str">
        <f aca="false">IF(Lang="Français","Vitesse",IF(Lang="English","Velocity",""))</f>
        <v>Vitesse</v>
      </c>
      <c r="L38" s="252" t="s">
        <v>162</v>
      </c>
      <c r="M38" s="251" t="s">
        <v>173</v>
      </c>
    </row>
    <row r="39" customFormat="false" ht="12.75" hidden="false" customHeight="false" outlineLevel="0" collapsed="false">
      <c r="A39" s="253"/>
      <c r="B39" s="163"/>
      <c r="C39" s="163"/>
      <c r="D39" s="254"/>
      <c r="F39" s="255"/>
      <c r="G39" s="256"/>
      <c r="H39" s="257" t="s">
        <v>174</v>
      </c>
      <c r="I39" s="258" t="s">
        <v>175</v>
      </c>
      <c r="J39" s="258" t="s">
        <v>175</v>
      </c>
      <c r="K39" s="258" t="s">
        <v>176</v>
      </c>
      <c r="L39" s="258" t="s">
        <v>177</v>
      </c>
      <c r="M39" s="258" t="s">
        <v>178</v>
      </c>
    </row>
    <row r="40" customFormat="false" ht="12.75" hidden="false" customHeight="false" outlineLevel="0" collapsed="false">
      <c r="A40" s="253"/>
      <c r="B40" s="163"/>
      <c r="C40" s="163"/>
      <c r="D40" s="254"/>
      <c r="F40" s="259" t="str">
        <f aca="false">IF(Lang="Français","Décollage",IF(Lang="English","Lift-Off",""))</f>
        <v>Décollage</v>
      </c>
      <c r="G40" s="259"/>
      <c r="H40" s="260" t="n">
        <v>0</v>
      </c>
      <c r="I40" s="260" t="n">
        <v>0</v>
      </c>
      <c r="J40" s="260" t="n">
        <v>0</v>
      </c>
      <c r="K40" s="260" t="n">
        <v>0</v>
      </c>
      <c r="L40" s="261" t="s">
        <v>11</v>
      </c>
      <c r="M40" s="262" t="n">
        <f aca="false">Beta_rampe</f>
        <v>80</v>
      </c>
    </row>
    <row r="41" customFormat="false" ht="12.75" hidden="false" customHeight="false" outlineLevel="0" collapsed="false">
      <c r="A41" s="253"/>
      <c r="B41" s="163"/>
      <c r="C41" s="163"/>
      <c r="D41" s="254"/>
      <c r="F41" s="194" t="str">
        <f aca="false">IF(Lang="Français","Sortie de Rampe",IF(Lang="English","Launch-Pad Exit",""))</f>
        <v>Sortie de Rampe</v>
      </c>
      <c r="G41" s="194"/>
      <c r="H41" s="195" t="n">
        <f aca="false">INDEX(t,MATCH("Sortie de rampe",Event,0))</f>
        <v>0.2</v>
      </c>
      <c r="I41" s="195" t="n">
        <f aca="false">INDEX(pos_z,MATCH("Sortie de rampe",Event,0))</f>
        <v>2.27069515014293</v>
      </c>
      <c r="J41" s="195" t="n">
        <f aca="false">INDEX(pos_x,MATCH("Sortie de rampe",Event,0))</f>
        <v>0.400361867506773</v>
      </c>
      <c r="K41" s="219" t="n">
        <f aca="false">INDEX(vit_xz,MATCH("Sortie de rampe",Event,0))</f>
        <v>23.6096320586357</v>
      </c>
      <c r="L41" s="197" t="n">
        <f aca="false">INDEX(acc_xz,MATCH("Sortie de rampe",Event,0))</f>
        <v>117.765574678149</v>
      </c>
      <c r="M41" s="197" t="n">
        <f aca="false">INDEX(BetaD,MATCH("Sortie de rampe",Event,0))</f>
        <v>79.9999999999998</v>
      </c>
    </row>
    <row r="42" customFormat="false" ht="12.75" hidden="false" customHeight="false" outlineLevel="0" collapsed="false">
      <c r="A42" s="253"/>
      <c r="B42" s="263" t="str">
        <f aca="false">IF(Lang="Français","Longeur du bord","Side length")</f>
        <v>Longeur du bord</v>
      </c>
      <c r="C42" s="163"/>
      <c r="D42" s="254"/>
      <c r="F42" s="194" t="str">
        <f aca="false">IF(Lang="Français","Vit max &amp; Acc max",IF(Lang="English","Max Velocity &amp; Acc",""))</f>
        <v>Vit max &amp; Acc max</v>
      </c>
      <c r="G42" s="194"/>
      <c r="H42" s="195" t="s">
        <v>11</v>
      </c>
      <c r="I42" s="195" t="s">
        <v>11</v>
      </c>
      <c r="J42" s="195" t="s">
        <v>11</v>
      </c>
      <c r="K42" s="264" t="n">
        <f aca="false">MAX(vit_xz)</f>
        <v>81.6261368570002</v>
      </c>
      <c r="L42" s="265" t="n">
        <f aca="false">MAX(acc_xz)</f>
        <v>144.450610706871</v>
      </c>
      <c r="M42" s="219" t="s">
        <v>11</v>
      </c>
    </row>
    <row r="43" customFormat="false" ht="12.75" hidden="false" customHeight="false" outlineLevel="0" collapsed="false">
      <c r="A43" s="253"/>
      <c r="B43" s="266" t="n">
        <v>249</v>
      </c>
      <c r="C43" s="163"/>
      <c r="D43" s="254"/>
      <c r="F43" s="194" t="str">
        <f aca="false">IF(Lang="Français","Fin de Propulsion",IF(Lang="English","Motor Burn-Out",""))</f>
        <v>Fin de Propulsion</v>
      </c>
      <c r="G43" s="194"/>
      <c r="H43" s="197" t="n">
        <f aca="false">INDEX(t,MATCH("Fin de propulsion",Event,0))</f>
        <v>1.09</v>
      </c>
      <c r="I43" s="267" t="n">
        <f aca="false">INDEX(pos_z,MATCH("Fin de propulsion",Event,0))</f>
        <v>57.8808173678719</v>
      </c>
      <c r="J43" s="267" t="n">
        <f aca="false">INDEX(pos_x,MATCH("Fin de propulsion",Event,0))</f>
        <v>11.2584213855259</v>
      </c>
      <c r="K43" s="268" t="n">
        <f aca="false">INDEX(vit_xz,MATCH("Fin de propulsion",Event,0))</f>
        <v>80.3021397445625</v>
      </c>
      <c r="L43" s="197" t="n">
        <f aca="false">INDEX(acc_xz,MATCH("Fin de propulsion",Event,0))</f>
        <v>14.4264395951954</v>
      </c>
      <c r="M43" s="197" t="n">
        <f aca="false">INDEX(BetaD,MATCH("Fin de propulsion",Event,0))</f>
        <v>78.4005903944846</v>
      </c>
    </row>
    <row r="44" customFormat="false" ht="12.75" hidden="false" customHeight="false" outlineLevel="0" collapsed="false">
      <c r="A44" s="253"/>
      <c r="B44" s="263" t="str">
        <f aca="false">IF(Lang="Français","Largeur du coté","Side width")</f>
        <v>Largeur du coté</v>
      </c>
      <c r="C44" s="163"/>
      <c r="D44" s="254"/>
      <c r="F44" s="194" t="s">
        <v>166</v>
      </c>
      <c r="G44" s="194"/>
      <c r="H44" s="265" t="n">
        <f aca="false">INDEX(t,MATCH("Apogée",Event,0))</f>
        <v>7.99999999999999</v>
      </c>
      <c r="I44" s="264" t="n">
        <f aca="false">INDEX(pos_z,MATCH("Apogée",Event,0))</f>
        <v>315.77942584937</v>
      </c>
      <c r="J44" s="268" t="n">
        <f aca="false">INDEX(pos_x,MATCH("Apogée",Event,0))</f>
        <v>109.29191186161</v>
      </c>
      <c r="K44" s="268" t="n">
        <f aca="false">INDEX(vit_xz,MATCH("Apogée",Event,0))</f>
        <v>13.1952141491521</v>
      </c>
      <c r="L44" s="219" t="n">
        <f aca="false">INDEX(acc_xz,MATCH("Apogée",Event,0))</f>
        <v>9.82884758113163</v>
      </c>
      <c r="M44" s="219" t="n">
        <f aca="false">INDEX(BetaD,MATCH("Apogée",Event,0))</f>
        <v>4.09656096085755</v>
      </c>
    </row>
    <row r="45" customFormat="false" ht="12.75" hidden="false" customHeight="false" outlineLevel="0" collapsed="false">
      <c r="A45" s="253"/>
      <c r="B45" s="269" t="n">
        <v>199</v>
      </c>
      <c r="C45" s="163"/>
      <c r="D45" s="254"/>
      <c r="F45" s="225" t="str">
        <f aca="false">IF(Lang="Français","Impact balistique",IF(Lang="English","Balistic Impact",""))</f>
        <v>Impact balistique</v>
      </c>
      <c r="G45" s="225"/>
      <c r="H45" s="219" t="n">
        <f aca="false">INDEX(t,MATCH("Impact balistique",Event,0))</f>
        <v>16.5</v>
      </c>
      <c r="I45" s="261" t="s">
        <v>179</v>
      </c>
      <c r="J45" s="264" t="n">
        <f aca="false">INDEX(pos_x,MATCH("Impact balistique",Event,0))</f>
        <v>211.791153319536</v>
      </c>
      <c r="K45" s="268" t="n">
        <f aca="false">INDEX(vit_xz,MATCH("Impact balistique",Event,0))</f>
        <v>71.6216606253006</v>
      </c>
      <c r="L45" s="219" t="n">
        <f aca="false">INDEX(acc_xz,MATCH("Impact balistique",Event,0))</f>
        <v>6.20392358578739</v>
      </c>
      <c r="M45" s="219" t="n">
        <f aca="false">INDEX(BetaD,MATCH("Impact balistique",Event,0))</f>
        <v>-81.7418722534369</v>
      </c>
    </row>
    <row r="46" customFormat="false" ht="12.75" hidden="false" customHeight="false" outlineLevel="0" collapsed="false">
      <c r="A46" s="253"/>
      <c r="B46" s="189" t="s">
        <v>167</v>
      </c>
      <c r="C46" s="163"/>
      <c r="D46" s="254"/>
      <c r="F46" s="222" t="str">
        <f aca="false">IF(Lang="Français","Ouverture parachute fusée",IF(Lang="English","Rocket parachute opening",""))</f>
        <v>Ouverture parachute fusée</v>
      </c>
      <c r="G46" s="222"/>
      <c r="H46" s="270" t="n">
        <f aca="false">T_para</f>
        <v>12</v>
      </c>
      <c r="I46" s="271" t="n">
        <f aca="false">INDEX(pos_z,MATCH("Para",Event_para,0))</f>
        <v>242.577425027439</v>
      </c>
      <c r="J46" s="271" t="n">
        <f aca="false">INDEX(pos_x,MATCH("Para",Event_para,0))</f>
        <v>160.578787393525</v>
      </c>
      <c r="K46" s="271" t="n">
        <f aca="false">INDEX(vit_xz,MATCH("Para",Event_para,0))</f>
        <v>38.8853105907693</v>
      </c>
      <c r="L46" s="211" t="n">
        <f aca="false">INDEX(acc_xz,MATCH("Para",Event_para,0))</f>
        <v>8.8438704096329</v>
      </c>
      <c r="M46" s="270" t="n">
        <f aca="false">INDEX(BetaD,MATCH("Para",Event_para,0))</f>
        <v>-71.5215601563266</v>
      </c>
    </row>
    <row r="47" customFormat="false" ht="12.75" hidden="false" customHeight="false" outlineLevel="0" collapsed="false">
      <c r="A47" s="253"/>
      <c r="B47" s="272" t="n">
        <f aca="false">(4*B43*B45+B43^2)/10^6</f>
        <v>0.260205</v>
      </c>
      <c r="C47" s="163"/>
      <c r="D47" s="254"/>
      <c r="F47" s="273" t="str">
        <f aca="false">IF(Lang="Français","Impact fusée sous para.",IF(Lang="English","Impact of rocket with para. ",""))</f>
        <v>Impact fusée sous para.</v>
      </c>
      <c r="G47" s="273"/>
      <c r="H47" s="274" t="n">
        <f aca="false">T_para+Dt_para</f>
        <v>37.3784970828171</v>
      </c>
      <c r="I47" s="275" t="s">
        <v>179</v>
      </c>
      <c r="J47" s="276" t="str">
        <f aca="false">CONCATENATE(TEXT(X_para-Dx_para,"0")," | ",TEXT(X_para+Dx_para,"0"))</f>
        <v>34 | 287</v>
      </c>
      <c r="K47" s="277" t="n">
        <f aca="false">V_para</f>
        <v>9.55838417995523</v>
      </c>
      <c r="L47" s="278" t="n">
        <f aca="false">g</f>
        <v>9.81</v>
      </c>
      <c r="M47" s="278" t="s">
        <v>11</v>
      </c>
    </row>
    <row r="48" customFormat="false" ht="12.75" hidden="false" customHeight="false" outlineLevel="0" collapsed="false">
      <c r="A48" s="253"/>
      <c r="B48" s="163"/>
      <c r="C48" s="163"/>
      <c r="D48" s="254"/>
      <c r="F48" s="206" t="str">
        <f aca="false">IF(Lang="Français","Largage du satellite",IF(Lang="English","Satellite separation",""))</f>
        <v>Largage du satellite</v>
      </c>
      <c r="G48" s="206"/>
      <c r="H48" s="270" t="n">
        <f aca="false">IF(T_satellite&lt;&gt;0,T_satellite,"")</f>
        <v>3.5</v>
      </c>
      <c r="I48" s="271" t="n">
        <f aca="false">IF(T_satellite&lt;&gt;0,INDEX(pos_z,MATCH("Satellite",Event_sat,0)),"")</f>
        <v>208.92156206941</v>
      </c>
      <c r="J48" s="279" t="n">
        <f aca="false">IF(T_satellite&lt;&gt;0,INDEX(pos_x,MATCH("Satellite",Event_sat,0)),"")</f>
        <v>47.9015368210961</v>
      </c>
      <c r="K48" s="271" t="n">
        <f aca="false">IF(T_satellite&lt;&gt;0,INDEX(vit_xz,MATCH("Satellite",Event_sat,0)),"")</f>
        <v>49.9330401045551</v>
      </c>
      <c r="L48" s="211" t="n">
        <f aca="false">IF(T_satellite&lt;&gt;0,INDEX(acc_xz,MATCH("Satellite",Event_sat,0)),"")</f>
        <v>11.6039466501286</v>
      </c>
      <c r="M48" s="270" t="n">
        <f aca="false">IF(T_satellite&lt;&gt;0,INDEX(BetaD,MATCH("Satellite",Event_sat,0)),"")</f>
        <v>73.2042516549815</v>
      </c>
    </row>
    <row r="49" customFormat="false" ht="12.75" hidden="false" customHeight="false" outlineLevel="0" collapsed="false">
      <c r="A49" s="253"/>
      <c r="B49" s="163"/>
      <c r="C49" s="163"/>
      <c r="D49" s="254"/>
      <c r="F49" s="280" t="str">
        <f aca="false">IF(Lang="Français","Impact du satellite",IF(Lang="English","Satellite impact",""))</f>
        <v>Impact du satellite</v>
      </c>
      <c r="G49" s="280"/>
      <c r="H49" s="274" t="n">
        <f aca="false">IF(T_satellite&lt;&gt;0,T_satellite+Dt_satellite,"")</f>
        <v>22.5621189579563</v>
      </c>
      <c r="I49" s="276" t="str">
        <f aca="false">IF(T_satellite&lt;&gt;0,"~0","")</f>
        <v>~0</v>
      </c>
      <c r="J49" s="276" t="str">
        <f aca="false">IF(T_satellite&lt;&gt;0,CONCATENATE(TEXT(X_satellite-Dx_sat,"0")," | ",TEXT(X_satellite+Dx_sat,"0")),"")</f>
        <v>-47 | 143</v>
      </c>
      <c r="K49" s="276" t="n">
        <f aca="false">IF(T_satellite&lt;&gt;0,V_satellite,"")</f>
        <v>10.9600387307524</v>
      </c>
      <c r="L49" s="278" t="n">
        <f aca="false">IF(T_satellite&lt;&gt;0,g,"")</f>
        <v>9.81</v>
      </c>
      <c r="M49" s="281" t="str">
        <f aca="false">IF(T_satellite&lt;&gt;0,"-","")</f>
        <v>-</v>
      </c>
    </row>
    <row r="50" customFormat="false" ht="12.75" hidden="false" customHeight="false" outlineLevel="0" collapsed="false">
      <c r="A50" s="253"/>
      <c r="B50" s="263" t="str">
        <f aca="false">IF(Lang="Français","Rayon exterieur","Half-diameter ext")</f>
        <v>Rayon exterieur</v>
      </c>
      <c r="C50" s="163"/>
      <c r="D50" s="254"/>
    </row>
    <row r="51" customFormat="false" ht="12.75" hidden="false" customHeight="false" outlineLevel="0" collapsed="false">
      <c r="A51" s="253"/>
      <c r="B51" s="269" t="n">
        <v>299</v>
      </c>
      <c r="C51" s="163"/>
      <c r="D51" s="254"/>
    </row>
    <row r="52" customFormat="false" ht="12.75" hidden="false" customHeight="false" outlineLevel="0" collapsed="false">
      <c r="A52" s="253"/>
      <c r="B52" s="263" t="str">
        <f aca="false">IF(Lang="Français","Rayon intérieur","Half-diameter int")</f>
        <v>Rayon intérieur</v>
      </c>
      <c r="C52" s="163"/>
      <c r="D52" s="254"/>
    </row>
    <row r="53" customFormat="false" ht="12.75" hidden="false" customHeight="false" outlineLevel="0" collapsed="false">
      <c r="A53" s="253"/>
      <c r="B53" s="269" t="n">
        <v>29</v>
      </c>
      <c r="C53" s="163"/>
      <c r="D53" s="254"/>
    </row>
    <row r="54" customFormat="false" ht="12.75" hidden="false" customHeight="false" outlineLevel="0" collapsed="false">
      <c r="A54" s="253"/>
      <c r="B54" s="189" t="s">
        <v>167</v>
      </c>
      <c r="C54" s="163"/>
      <c r="D54" s="254"/>
    </row>
    <row r="55" customFormat="false" ht="12.75" hidden="false" customHeight="false" outlineLevel="0" collapsed="false">
      <c r="A55" s="253"/>
      <c r="B55" s="272" t="n">
        <f aca="false">PI()*(B51^2-B53^2)/10^6</f>
        <v>0.278219445401912</v>
      </c>
      <c r="C55" s="163"/>
      <c r="D55" s="254"/>
    </row>
    <row r="56" customFormat="false" ht="12" hidden="false" customHeight="false" outlineLevel="0" collapsed="false">
      <c r="A56" s="282"/>
      <c r="B56" s="283"/>
      <c r="C56" s="283"/>
      <c r="D56" s="284"/>
    </row>
    <row r="57" customFormat="false" ht="12" hidden="false" customHeight="false" outlineLevel="0" collapsed="false">
      <c r="B57" s="163"/>
      <c r="C57" s="163"/>
      <c r="D57" s="163"/>
    </row>
    <row r="58" customFormat="false" ht="12" hidden="false" customHeight="false" outlineLevel="0" collapsed="false">
      <c r="B58" s="163"/>
      <c r="C58" s="163"/>
      <c r="D58" s="163"/>
    </row>
    <row r="59" customFormat="false" ht="12" hidden="false" customHeight="false" outlineLevel="0" collapsed="false">
      <c r="A59" s="163"/>
      <c r="B59" s="163"/>
      <c r="C59" s="163"/>
      <c r="D59" s="163"/>
    </row>
    <row r="60" customFormat="false" ht="12" hidden="false" customHeight="false" outlineLevel="0" collapsed="false">
      <c r="B60" s="163"/>
      <c r="C60" s="163"/>
      <c r="D60" s="163"/>
    </row>
    <row r="61" customFormat="false" ht="12" hidden="false" customHeight="false" outlineLevel="0" collapsed="false">
      <c r="B61" s="163"/>
      <c r="C61" s="163"/>
      <c r="D61" s="163"/>
    </row>
    <row r="62" customFormat="false" ht="12" hidden="false" customHeight="false" outlineLevel="0" collapsed="false">
      <c r="B62" s="163"/>
    </row>
    <row r="63" customFormat="false" ht="12" hidden="false" customHeight="false" outlineLevel="0" collapsed="false">
      <c r="B63" s="163"/>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285" t="s">
        <v>165</v>
      </c>
      <c r="G102" s="154" t="s">
        <v>180</v>
      </c>
    </row>
    <row r="103" customFormat="false" ht="12" hidden="false" customHeight="false" outlineLevel="0" collapsed="false">
      <c r="F103" s="286" t="n">
        <f aca="false">Combustion+Depotage-9</f>
        <v>-8.03</v>
      </c>
      <c r="G103" s="287" t="s">
        <v>181</v>
      </c>
    </row>
    <row r="104" customFormat="false" ht="12" hidden="false" customHeight="false" outlineLevel="0" collapsed="false">
      <c r="B104" s="154" t="s">
        <v>164</v>
      </c>
      <c r="F104" s="286" t="n">
        <f aca="false">Combustion+Depotage-7</f>
        <v>-6.03</v>
      </c>
      <c r="G104" s="287" t="s">
        <v>182</v>
      </c>
    </row>
    <row r="105" customFormat="false" ht="12" hidden="false" customHeight="false" outlineLevel="0" collapsed="false">
      <c r="B105" s="154" t="s">
        <v>183</v>
      </c>
      <c r="F105" s="286" t="n">
        <f aca="false">Combustion+Depotage-5</f>
        <v>-4.03</v>
      </c>
      <c r="G105" s="287" t="s">
        <v>184</v>
      </c>
    </row>
    <row r="106" customFormat="false" ht="12" hidden="false" customHeight="false" outlineLevel="0" collapsed="false">
      <c r="B106" s="154" t="str">
        <f aca="false">IF(T_para&gt;0,IF(Lang="Français","Phase ascendante","Climbing phase"),"")</f>
        <v>Phase ascendante</v>
      </c>
      <c r="F106" s="286" t="n">
        <f aca="false">Combustion+Depotage-3</f>
        <v>-2.03</v>
      </c>
      <c r="G106" s="287" t="s">
        <v>185</v>
      </c>
    </row>
    <row r="107" customFormat="false" ht="12" hidden="false" customHeight="false" outlineLevel="0" collapsed="false">
      <c r="B107" s="154" t="str">
        <f aca="false">IF(Lang="Français","Descente balistique","Balistic fall")</f>
        <v>Descente balistique</v>
      </c>
      <c r="F107" s="286" t="n">
        <f aca="false">Combustion+Depotage</f>
        <v>0.97</v>
      </c>
      <c r="G107" s="287" t="s">
        <v>186</v>
      </c>
    </row>
    <row r="108" customFormat="false" ht="12" hidden="false" customHeight="false" outlineLevel="0" collapsed="false">
      <c r="B108" s="154" t="str">
        <f aca="false">IF(T_para&gt;0,IF(Lang="Français","Fusée sous parachute","Rocket under parachute"),"")</f>
        <v>Fusée sous parachute</v>
      </c>
      <c r="F108" s="288" t="str">
        <f aca="false">IF(Lang="Français","autre",IF(Lang="English","other",""))</f>
        <v>autre</v>
      </c>
    </row>
    <row r="109" customFormat="false" ht="12" hidden="false" customHeight="false" outlineLevel="0" collapsed="false">
      <c r="B109" s="154" t="str">
        <f aca="false">IF(AND(Nb_sat="1 satellite",T_satellite&gt;0),IF(Lang="Français","Satellite sous parachute","Satellite over parachute"),"")</f>
        <v/>
      </c>
    </row>
    <row r="110" customFormat="false" ht="12" hidden="false" customHeight="false" outlineLevel="0" collapsed="false">
      <c r="B110" s="154" t="str">
        <f aca="false">IF(Lang="Français","Trajectoire (x z)","Trajectory (x z)")</f>
        <v>Trajectoire (x z)</v>
      </c>
    </row>
    <row r="111" customFormat="false" ht="12" hidden="false" customHeight="false" outlineLevel="0" collapsed="false">
      <c r="B111" s="154" t="str">
        <f aca="false">IF(Lang="Français","Portée x [m]","Range x [m]")</f>
        <v>Portée x [m]</v>
      </c>
    </row>
    <row r="112" customFormat="false" ht="12" hidden="false" customHeight="false" outlineLevel="0" collapsed="false">
      <c r="B112" s="154" t="str">
        <f aca="false">IF(Lang="Français","Temps [s]","Time [s]")</f>
        <v>Temps [s]</v>
      </c>
    </row>
    <row r="113" customFormat="false" ht="12" hidden="false" customHeight="false" outlineLevel="0" collapsed="false">
      <c r="B113" s="154" t="str">
        <f aca="false">IF(Lang="Français","Altitude z  /  Temps","Altitude z  /  Time")</f>
        <v>Altitude z  /  Temps</v>
      </c>
      <c r="C113" s="289" t="n">
        <f aca="false">IF(OR(C25=F102,C25=F108),C26,C25)</f>
        <v>12</v>
      </c>
    </row>
    <row r="115" customFormat="false" ht="12" hidden="false" customHeight="false" outlineLevel="0" collapsed="false">
      <c r="B115" s="154" t="s">
        <v>187</v>
      </c>
    </row>
    <row r="117" customFormat="false" ht="12.75" hidden="false" customHeight="false" outlineLevel="0" collapsed="false">
      <c r="B117" s="1" t="str">
        <f aca="false">IF(Lang="Français","Données pour les graphiques :","Data for plots:")</f>
        <v>Données pour les graphiques :</v>
      </c>
      <c r="C117" s="290" t="s">
        <v>188</v>
      </c>
    </row>
    <row r="118" customFormat="false" ht="12" hidden="false" customHeight="false" outlineLevel="0" collapsed="false">
      <c r="C118" s="291" t="n">
        <f aca="false">MAX(Altitude_culmi,Portee_balistique)</f>
        <v>315.77942584937</v>
      </c>
    </row>
    <row r="119" customFormat="false" ht="12" hidden="false" customHeight="false" outlineLevel="0" collapsed="false">
      <c r="B119" s="292" t="s">
        <v>188</v>
      </c>
      <c r="C119" s="167"/>
    </row>
    <row r="120" customFormat="false" ht="12" hidden="false" customHeight="false" outlineLevel="0" collapsed="false">
      <c r="B120" s="293" t="n">
        <f aca="false">MAX(Altitude_culmi,Portee_balistique)</f>
        <v>315.77942584937</v>
      </c>
      <c r="C120" s="290" t="s">
        <v>189</v>
      </c>
    </row>
    <row r="121" customFormat="false" ht="12" hidden="false" customHeight="false" outlineLevel="0" collapsed="false">
      <c r="B121" s="167"/>
      <c r="C121" s="294" t="n">
        <f aca="false">Alt_para</f>
        <v>242.577425027439</v>
      </c>
    </row>
    <row r="122" customFormat="false" ht="12" hidden="false" customHeight="false" outlineLevel="0" collapsed="false">
      <c r="B122" s="292" t="s">
        <v>190</v>
      </c>
      <c r="C122" s="294" t="n">
        <f aca="false">Alt_para/2</f>
        <v>121.288712513719</v>
      </c>
    </row>
    <row r="123" customFormat="false" ht="12" hidden="false" customHeight="false" outlineLevel="0" collapsed="false">
      <c r="B123" s="295" t="n">
        <f aca="false">X_para</f>
        <v>160.578787393525</v>
      </c>
      <c r="C123" s="294" t="n">
        <v>0</v>
      </c>
    </row>
    <row r="124" customFormat="false" ht="12" hidden="false" customHeight="false" outlineLevel="0" collapsed="false">
      <c r="B124" s="295" t="n">
        <f aca="false">X_para</f>
        <v>160.578787393525</v>
      </c>
      <c r="C124" s="294" t="n">
        <f aca="false">Alt_para/20</f>
        <v>12.128871251372</v>
      </c>
    </row>
    <row r="125" customFormat="false" ht="12" hidden="false" customHeight="false" outlineLevel="0" collapsed="false">
      <c r="B125" s="295" t="n">
        <f aca="false">X_para</f>
        <v>160.578787393525</v>
      </c>
      <c r="C125" s="294" t="n">
        <v>0</v>
      </c>
    </row>
    <row r="126" customFormat="false" ht="12" hidden="false" customHeight="false" outlineLevel="0" collapsed="false">
      <c r="B126" s="295" t="n">
        <f aca="false">X_para+Alt_para/40</f>
        <v>166.643223019211</v>
      </c>
      <c r="C126" s="294" t="n">
        <f aca="false">Alt_para/20</f>
        <v>12.128871251372</v>
      </c>
    </row>
    <row r="127" customFormat="false" ht="12" hidden="false" customHeight="false" outlineLevel="0" collapsed="false">
      <c r="B127" s="295" t="n">
        <f aca="false">X_para</f>
        <v>160.578787393525</v>
      </c>
      <c r="C127" s="296" t="n">
        <v>0</v>
      </c>
    </row>
    <row r="128" customFormat="false" ht="12" hidden="false" customHeight="false" outlineLevel="0" collapsed="false">
      <c r="B128" s="295" t="n">
        <f aca="false">X_para-Alt_para/40</f>
        <v>154.514351767839</v>
      </c>
      <c r="C128" s="290" t="s">
        <v>189</v>
      </c>
    </row>
    <row r="129" customFormat="false" ht="12" hidden="false" customHeight="false" outlineLevel="0" collapsed="false">
      <c r="B129" s="293" t="n">
        <f aca="false">X_para</f>
        <v>160.578787393525</v>
      </c>
      <c r="C129" s="294" t="n">
        <f aca="false">Alt_para</f>
        <v>242.577425027439</v>
      </c>
      <c r="E129" s="297" t="n">
        <v>1</v>
      </c>
      <c r="F129" s="298" t="s">
        <v>191</v>
      </c>
    </row>
    <row r="130" customFormat="false" ht="12" hidden="false" customHeight="false" outlineLevel="0" collapsed="false">
      <c r="B130" s="292" t="s">
        <v>192</v>
      </c>
      <c r="C130" s="294" t="n">
        <f aca="false">(C129+C131)/2</f>
        <v>121.288712513719</v>
      </c>
      <c r="E130" s="253" t="n">
        <v>1</v>
      </c>
      <c r="F130" s="299" t="s">
        <v>193</v>
      </c>
    </row>
    <row r="131" customFormat="false" ht="12.75" hidden="false" customHeight="false" outlineLevel="0" collapsed="false">
      <c r="B131" s="300" t="n">
        <f aca="false">T_para</f>
        <v>12</v>
      </c>
      <c r="C131" s="294" t="n">
        <f aca="false">0</f>
        <v>0</v>
      </c>
      <c r="E131" s="253"/>
      <c r="F131" s="301" t="s">
        <v>194</v>
      </c>
    </row>
    <row r="132" customFormat="false" ht="12" hidden="false" customHeight="false" outlineLevel="0" collapsed="false">
      <c r="B132" s="300" t="n">
        <f aca="false">(B131+B133)/2</f>
        <v>24.6892485414086</v>
      </c>
      <c r="C132" s="294" t="n">
        <f aca="false">Alt_para-V_para*(H47-T_para)+E129*sS*Altitude_culmi/H47*zZ_fus+E130*sS/2*Altitude_culmi/H47*tT_fus</f>
        <v>18.6716260796786</v>
      </c>
      <c r="E132" s="302" t="s">
        <v>195</v>
      </c>
      <c r="F132" s="303" t="n">
        <f aca="false">T_balistique/10</f>
        <v>1.65</v>
      </c>
    </row>
    <row r="133" customFormat="false" ht="12" hidden="false" customHeight="false" outlineLevel="0" collapsed="false">
      <c r="B133" s="300" t="n">
        <f aca="false">H47</f>
        <v>37.3784970828171</v>
      </c>
      <c r="C133" s="294" t="n">
        <f aca="false">Alt_para-V_para*(H47-T_para)</f>
        <v>0</v>
      </c>
      <c r="E133" s="302" t="s">
        <v>196</v>
      </c>
      <c r="F133" s="303" t="n">
        <f aca="false">(H47-T_para)/H47</f>
        <v>0.678959804793318</v>
      </c>
    </row>
    <row r="134" customFormat="false" ht="12" hidden="false" customHeight="false" outlineLevel="0" collapsed="false">
      <c r="B134" s="300" t="n">
        <f aca="false">H47+E129*sS/2*zZ_fus-E130*sS*tT_fus</f>
        <v>37.0832134049081</v>
      </c>
      <c r="C134" s="294" t="n">
        <f aca="false">Alt_para-V_para*(H47-T_para)+E129*sS*Altitude_culmi/H47*zZ_fus-E130*sS/2*Altitude_culmi/H47*tT_fus</f>
        <v>9.2072932624787</v>
      </c>
      <c r="E134" s="304" t="s">
        <v>197</v>
      </c>
      <c r="F134" s="305" t="n">
        <f aca="false">V_para*(H47-T_para)/Alt_para</f>
        <v>1</v>
      </c>
    </row>
    <row r="135" customFormat="false" ht="12" hidden="false" customHeight="false" outlineLevel="0" collapsed="false">
      <c r="B135" s="300" t="n">
        <f aca="false">H47</f>
        <v>37.3784970828171</v>
      </c>
      <c r="C135" s="291" t="n">
        <f aca="false">Alt_para-V_para*(H47-T_para)</f>
        <v>0</v>
      </c>
    </row>
    <row r="136" customFormat="false" ht="12" hidden="false" customHeight="false" outlineLevel="0" collapsed="false">
      <c r="B136" s="300" t="n">
        <f aca="false">H47-E129*sS/2*zZ_fus-E130*sS*tT_fus</f>
        <v>35.4332134049082</v>
      </c>
      <c r="C136" s="163"/>
    </row>
    <row r="137" customFormat="false" ht="12" hidden="false" customHeight="false" outlineLevel="0" collapsed="false">
      <c r="B137" s="306" t="n">
        <f aca="false">H47</f>
        <v>37.3784970828171</v>
      </c>
      <c r="C137" s="290" t="s">
        <v>198</v>
      </c>
    </row>
    <row r="138" customFormat="false" ht="12" hidden="false" customHeight="false" outlineLevel="0" collapsed="false">
      <c r="B138" s="163"/>
      <c r="C138" s="294" t="n">
        <f aca="false">IF(Nb_sat="1 satellite",Alt_sat)</f>
        <v>0</v>
      </c>
    </row>
    <row r="139" customFormat="false" ht="12" hidden="false" customHeight="false" outlineLevel="0" collapsed="false">
      <c r="B139" s="292" t="s">
        <v>199</v>
      </c>
      <c r="C139" s="294" t="n">
        <f aca="false">IF(Nb_sat="1 satellite",Alt_sat*1/4)</f>
        <v>0</v>
      </c>
    </row>
    <row r="140" customFormat="false" ht="12" hidden="false" customHeight="false" outlineLevel="0" collapsed="false">
      <c r="B140" s="295" t="n">
        <f aca="false">IF(Nb_sat="1 satellite",X_satellite)</f>
        <v>0</v>
      </c>
      <c r="C140" s="294" t="n">
        <f aca="false">IF(Nb_sat="1 satellite",0)</f>
        <v>0</v>
      </c>
    </row>
    <row r="141" customFormat="false" ht="12" hidden="false" customHeight="false" outlineLevel="0" collapsed="false">
      <c r="B141" s="295" t="n">
        <f aca="false">IF(Nb_sat="1 satellite",X_satellite)</f>
        <v>0</v>
      </c>
      <c r="C141" s="294" t="n">
        <f aca="false">IF(Nb_sat="1 satellite",Alt_sat/20)</f>
        <v>0</v>
      </c>
    </row>
    <row r="142" customFormat="false" ht="12" hidden="false" customHeight="false" outlineLevel="0" collapsed="false">
      <c r="B142" s="295" t="n">
        <f aca="false">IF(Nb_sat="1 satellite",X_satellite)</f>
        <v>0</v>
      </c>
      <c r="C142" s="294" t="n">
        <f aca="false">IF(Nb_sat="1 satellite",0)</f>
        <v>0</v>
      </c>
    </row>
    <row r="143" customFormat="false" ht="12" hidden="false" customHeight="false" outlineLevel="0" collapsed="false">
      <c r="B143" s="295" t="n">
        <f aca="false">IF(Nb_sat="1 satellite",X_satellite+Alt_sat/40)</f>
        <v>0</v>
      </c>
      <c r="C143" s="294" t="n">
        <f aca="false">IF(Nb_sat="1 satellite",Alt_sat/20)</f>
        <v>0</v>
      </c>
    </row>
    <row r="144" customFormat="false" ht="12" hidden="false" customHeight="false" outlineLevel="0" collapsed="false">
      <c r="B144" s="295" t="n">
        <f aca="false">IF(Nb_sat="1 satellite",X_satellite)</f>
        <v>0</v>
      </c>
      <c r="C144" s="294" t="n">
        <f aca="false">IF(Nb_sat="1 satellite",0)</f>
        <v>0</v>
      </c>
    </row>
    <row r="145" customFormat="false" ht="12" hidden="false" customHeight="false" outlineLevel="0" collapsed="false">
      <c r="B145" s="295" t="n">
        <f aca="false">IF(Nb_sat="1 satellite",X_satellite-Alt_sat/40)</f>
        <v>0</v>
      </c>
      <c r="C145" s="290" t="s">
        <v>198</v>
      </c>
    </row>
    <row r="146" customFormat="false" ht="12" hidden="false" customHeight="false" outlineLevel="0" collapsed="false">
      <c r="B146" s="293" t="n">
        <f aca="false">IF(Nb_sat="1 satellite",X_satellite)</f>
        <v>0</v>
      </c>
      <c r="C146" s="294" t="n">
        <f aca="false">IF(Nb_sat="1 satellite",Alt_sat)</f>
        <v>0</v>
      </c>
      <c r="D146" s="285"/>
    </row>
    <row r="147" customFormat="false" ht="12" hidden="false" customHeight="false" outlineLevel="0" collapsed="false">
      <c r="B147" s="292" t="s">
        <v>200</v>
      </c>
      <c r="C147" s="294" t="n">
        <f aca="false">(C146+C148)/2</f>
        <v>0</v>
      </c>
      <c r="D147" s="285"/>
    </row>
    <row r="148" customFormat="false" ht="12" hidden="false" customHeight="false" outlineLevel="0" collapsed="false">
      <c r="B148" s="300" t="n">
        <f aca="false">IF(Nb_sat="1 satellite",T_satellite)</f>
        <v>0</v>
      </c>
      <c r="C148" s="294" t="n">
        <f aca="false">IF(Nb_sat="1 satellite",0)</f>
        <v>0</v>
      </c>
    </row>
    <row r="149" customFormat="false" ht="12" hidden="false" customHeight="false" outlineLevel="0" collapsed="false">
      <c r="B149" s="300" t="n">
        <f aca="false">(B148+B150)/2</f>
        <v>0</v>
      </c>
      <c r="C149" s="294" t="n">
        <f aca="false">IF(Nb_sat="1 satellite",Alt_sat-V_satellite*(H49-T_satellite)+E129*sS*Altitude_culmi/H49*zZ_sat+E130*sS/2*Altitude_culmi/H49*tT_sat)</f>
        <v>0</v>
      </c>
      <c r="D149" s="285"/>
    </row>
    <row r="150" customFormat="false" ht="12" hidden="false" customHeight="false" outlineLevel="0" collapsed="false">
      <c r="B150" s="300" t="n">
        <f aca="false">IF(Nb_sat="1 satellite",H49)</f>
        <v>0</v>
      </c>
      <c r="C150" s="294" t="n">
        <f aca="false">IF(Nb_sat="1 satellite",0)</f>
        <v>0</v>
      </c>
      <c r="E150" s="307" t="s">
        <v>196</v>
      </c>
      <c r="F150" s="308" t="n">
        <f aca="false">(T_balistique-T_satellite)/T_balistique</f>
        <v>0.787878787878788</v>
      </c>
    </row>
    <row r="151" customFormat="false" ht="12" hidden="false" customHeight="false" outlineLevel="0" collapsed="false">
      <c r="B151" s="300" t="n">
        <f aca="false">IF(Nb_sat="1 satellite",H49+E129*sS/2*zZ_sat-E130*sS*tT_sat)</f>
        <v>0</v>
      </c>
      <c r="C151" s="294" t="n">
        <f aca="false">IF(Nb_sat="1 satellite",Alt_sat-V_satellite*(H49-T_satellite)+E129*sS*Altitude_culmi/H49*zZ_sat-E130*sS/2*Altitude_culmi/H49*tT_sat)</f>
        <v>0</v>
      </c>
      <c r="E151" s="304" t="s">
        <v>197</v>
      </c>
      <c r="F151" s="305" t="n">
        <f aca="false">V_satellite*(T_balistique-T_satellite)/Alt_sat</f>
        <v>0.681980845291806</v>
      </c>
    </row>
    <row r="152" customFormat="false" ht="12" hidden="false" customHeight="false" outlineLevel="0" collapsed="false">
      <c r="B152" s="300" t="n">
        <f aca="false">IF(Nb_sat="1 satellite",H49)</f>
        <v>0</v>
      </c>
      <c r="C152" s="291" t="n">
        <f aca="false">IF(Nb_sat="1 satellite",0)</f>
        <v>0</v>
      </c>
    </row>
    <row r="153" customFormat="false" ht="12" hidden="false" customHeight="false" outlineLevel="0" collapsed="false">
      <c r="B153" s="300" t="n">
        <f aca="false">IF(Nb_sat="1 satellite",H49-sS/2*zZ_sat-E130*sS*tT_sat)</f>
        <v>0</v>
      </c>
    </row>
    <row r="154" customFormat="false" ht="12" hidden="false" customHeight="false" outlineLevel="0" collapsed="false">
      <c r="B154" s="306" t="n">
        <f aca="false">IF(Nb_sat="1 satellite",H49)</f>
        <v>0</v>
      </c>
      <c r="C154" s="309" t="s">
        <v>201</v>
      </c>
      <c r="D154" s="290" t="s">
        <v>202</v>
      </c>
    </row>
    <row r="155" customFormat="false" ht="12" hidden="false" customHeight="false" outlineLevel="0" collapsed="false">
      <c r="C155" s="310" t="n">
        <f aca="false">Alt_para/2</f>
        <v>121.288712513719</v>
      </c>
      <c r="D155" s="311" t="n">
        <f aca="false">X_para/4</f>
        <v>40.1446968483814</v>
      </c>
    </row>
    <row r="156" customFormat="false" ht="12" hidden="false" customHeight="false" outlineLevel="0" collapsed="false">
      <c r="B156" s="292" t="s">
        <v>203</v>
      </c>
      <c r="C156" s="312" t="n">
        <f aca="false">Altitude_culmi/2</f>
        <v>157.889712924685</v>
      </c>
      <c r="D156" s="313" t="n">
        <f aca="false">X_culmi+(Portee_balistique-X_culmi)*2/3</f>
        <v>177.624739500227</v>
      </c>
    </row>
    <row r="157" customFormat="false" ht="12" hidden="false" customHeight="false" outlineLevel="0" collapsed="false">
      <c r="B157" s="314" t="n">
        <f aca="false">T_para/4</f>
        <v>3</v>
      </c>
    </row>
    <row r="158" customFormat="false" ht="12" hidden="false" customHeight="false" outlineLevel="0" collapsed="false">
      <c r="B158" s="315" t="n">
        <f aca="false">Temps_culmi + (T_balistique-Temps_culmi)/2</f>
        <v>12.25</v>
      </c>
      <c r="C158" s="309" t="s">
        <v>204</v>
      </c>
      <c r="D158" s="316" t="s">
        <v>205</v>
      </c>
      <c r="E158" s="316"/>
      <c r="F158" s="317" t="s">
        <v>205</v>
      </c>
    </row>
    <row r="159" customFormat="false" ht="12" hidden="false" customHeight="false" outlineLevel="0" collapsed="false">
      <c r="C159" s="318" t="n">
        <v>0</v>
      </c>
      <c r="D159" s="310" t="n">
        <f aca="false">X_culmi+C159</f>
        <v>109.29191186161</v>
      </c>
      <c r="E159" s="310"/>
      <c r="F159" s="311" t="n">
        <f aca="false">X_culmi-C159</f>
        <v>109.29191186161</v>
      </c>
    </row>
    <row r="160" customFormat="false" ht="12" hidden="false" customHeight="false" outlineLevel="0" collapsed="false">
      <c r="B160" s="292" t="s">
        <v>206</v>
      </c>
      <c r="C160" s="318" t="n">
        <v>23</v>
      </c>
      <c r="D160" s="310" t="n">
        <f aca="false">X_culmi+C160</f>
        <v>132.29191186161</v>
      </c>
      <c r="E160" s="310"/>
      <c r="F160" s="311" t="n">
        <f aca="false">X_culmi-C160</f>
        <v>86.2919118616096</v>
      </c>
    </row>
    <row r="161" customFormat="false" ht="12" hidden="false" customHeight="false" outlineLevel="0" collapsed="false">
      <c r="B161" s="314" t="n">
        <f aca="false">IF(AND(Altitude_culmi&gt;80, Altitude_culmi&lt;=350), 49, NA())</f>
        <v>49</v>
      </c>
      <c r="C161" s="318" t="n">
        <v>23</v>
      </c>
      <c r="D161" s="310" t="n">
        <f aca="false">X_culmi+C161</f>
        <v>132.29191186161</v>
      </c>
      <c r="E161" s="310"/>
      <c r="F161" s="311" t="n">
        <f aca="false">X_culmi-C161</f>
        <v>86.2919118616096</v>
      </c>
    </row>
    <row r="162" customFormat="false" ht="12" hidden="false" customHeight="false" outlineLevel="0" collapsed="false">
      <c r="B162" s="314" t="n">
        <f aca="false">IF(AND(Altitude_culmi&gt;80, Altitude_culmi&lt;=350), 49, NA())</f>
        <v>49</v>
      </c>
      <c r="C162" s="318" t="n">
        <v>0</v>
      </c>
      <c r="D162" s="310" t="n">
        <f aca="false">X_culmi+C162</f>
        <v>109.29191186161</v>
      </c>
      <c r="E162" s="310"/>
      <c r="F162" s="311" t="n">
        <f aca="false">X_culmi-C162</f>
        <v>109.29191186161</v>
      </c>
    </row>
    <row r="163" customFormat="false" ht="12" hidden="false" customHeight="false" outlineLevel="0" collapsed="false">
      <c r="B163" s="314" t="n">
        <f aca="false">IF(AND(Altitude_culmi&gt;80, Altitude_culmi&lt;=350), 43, NA())</f>
        <v>43</v>
      </c>
      <c r="C163" s="318" t="n">
        <v>23</v>
      </c>
      <c r="D163" s="310" t="n">
        <f aca="false">X_culmi+C163</f>
        <v>132.29191186161</v>
      </c>
      <c r="E163" s="310"/>
      <c r="F163" s="311" t="n">
        <f aca="false">X_culmi-C163</f>
        <v>86.2919118616096</v>
      </c>
    </row>
    <row r="164" customFormat="false" ht="12" hidden="false" customHeight="false" outlineLevel="0" collapsed="false">
      <c r="B164" s="314" t="n">
        <f aca="false">IF(AND(Altitude_culmi&gt;80, Altitude_culmi&lt;=350), 43, NA())</f>
        <v>43</v>
      </c>
      <c r="C164" s="318" t="n">
        <v>23</v>
      </c>
      <c r="D164" s="310" t="n">
        <f aca="false">X_culmi+C164</f>
        <v>132.29191186161</v>
      </c>
      <c r="E164" s="310"/>
      <c r="F164" s="311" t="n">
        <f aca="false">X_culmi-C164</f>
        <v>86.2919118616096</v>
      </c>
    </row>
    <row r="165" customFormat="false" ht="12" hidden="false" customHeight="false" outlineLevel="0" collapsed="false">
      <c r="B165" s="314" t="n">
        <f aca="false">IF(AND(Altitude_culmi&gt;80, Altitude_culmi&lt;=350), 43, NA())</f>
        <v>43</v>
      </c>
      <c r="C165" s="318" t="n">
        <v>8</v>
      </c>
      <c r="D165" s="310" t="n">
        <f aca="false">X_culmi+C165</f>
        <v>117.29191186161</v>
      </c>
      <c r="E165" s="310"/>
      <c r="F165" s="311" t="n">
        <f aca="false">X_culmi-C165</f>
        <v>101.29191186161</v>
      </c>
    </row>
    <row r="166" customFormat="false" ht="12" hidden="false" customHeight="false" outlineLevel="0" collapsed="false">
      <c r="B166" s="314" t="n">
        <f aca="false">IF(AND(Altitude_culmi&gt;80, Altitude_culmi&lt;=350), 0.5, NA())</f>
        <v>0.5</v>
      </c>
      <c r="C166" s="318" t="n">
        <v>8</v>
      </c>
      <c r="D166" s="310" t="n">
        <f aca="false">X_culmi+C166</f>
        <v>117.29191186161</v>
      </c>
      <c r="E166" s="310"/>
      <c r="F166" s="311" t="n">
        <f aca="false">X_culmi-C166</f>
        <v>101.29191186161</v>
      </c>
    </row>
    <row r="167" customFormat="false" ht="12" hidden="false" customHeight="false" outlineLevel="0" collapsed="false">
      <c r="B167" s="314" t="n">
        <f aca="false">IF(AND(Altitude_culmi&gt;80, Altitude_culmi&lt;=350), 0.5, NA())</f>
        <v>0.5</v>
      </c>
      <c r="C167" s="318" t="n">
        <v>23</v>
      </c>
      <c r="D167" s="310" t="n">
        <f aca="false">X_culmi+C167</f>
        <v>132.29191186161</v>
      </c>
      <c r="E167" s="310"/>
      <c r="F167" s="311" t="n">
        <f aca="false">X_culmi-C167</f>
        <v>86.2919118616096</v>
      </c>
    </row>
    <row r="168" customFormat="false" ht="12" hidden="false" customHeight="false" outlineLevel="0" collapsed="false">
      <c r="B168" s="314" t="n">
        <f aca="false">IF(AND(Altitude_culmi&gt;80, Altitude_culmi&lt;=350), 27, NA())</f>
        <v>27</v>
      </c>
      <c r="C168" s="318" t="n">
        <v>8</v>
      </c>
      <c r="D168" s="310" t="n">
        <f aca="false">X_culmi+C168</f>
        <v>117.29191186161</v>
      </c>
      <c r="E168" s="310"/>
      <c r="F168" s="311" t="n">
        <f aca="false">X_culmi-C168</f>
        <v>101.29191186161</v>
      </c>
    </row>
    <row r="169" customFormat="false" ht="12" hidden="false" customHeight="false" outlineLevel="0" collapsed="false">
      <c r="B169" s="314" t="n">
        <f aca="false">IF(AND(Altitude_culmi&gt;80, Altitude_culmi&lt;=350), 27, NA())</f>
        <v>27</v>
      </c>
      <c r="C169" s="318" t="n">
        <v>7.6</v>
      </c>
      <c r="D169" s="310" t="n">
        <f aca="false">X_culmi+C169</f>
        <v>116.89191186161</v>
      </c>
      <c r="E169" s="310"/>
      <c r="F169" s="311" t="n">
        <f aca="false">X_culmi-C169</f>
        <v>101.69191186161</v>
      </c>
    </row>
    <row r="170" customFormat="false" ht="12" hidden="false" customHeight="false" outlineLevel="0" collapsed="false">
      <c r="B170" s="314" t="n">
        <f aca="false">IF(AND(Altitude_culmi&gt;80, Altitude_culmi&lt;=350), 27, NA())</f>
        <v>27</v>
      </c>
      <c r="C170" s="318" t="n">
        <v>6.8</v>
      </c>
      <c r="D170" s="310" t="n">
        <f aca="false">X_culmi+C170</f>
        <v>116.09191186161</v>
      </c>
      <c r="E170" s="310"/>
      <c r="F170" s="311" t="n">
        <f aca="false">X_culmi-C170</f>
        <v>102.49191186161</v>
      </c>
    </row>
    <row r="171" customFormat="false" ht="12" hidden="false" customHeight="false" outlineLevel="0" collapsed="false">
      <c r="B171" s="314" t="n">
        <f aca="false">IF(AND(Altitude_culmi&gt;80, Altitude_culmi&lt;=350), 29, NA())</f>
        <v>29</v>
      </c>
      <c r="C171" s="318" t="n">
        <v>6</v>
      </c>
      <c r="D171" s="310" t="n">
        <f aca="false">X_culmi+C171</f>
        <v>115.29191186161</v>
      </c>
      <c r="E171" s="310"/>
      <c r="F171" s="311" t="n">
        <f aca="false">X_culmi-C171</f>
        <v>103.29191186161</v>
      </c>
    </row>
    <row r="172" customFormat="false" ht="12" hidden="false" customHeight="false" outlineLevel="0" collapsed="false">
      <c r="B172" s="314" t="n">
        <f aca="false">IF(AND(Altitude_culmi&gt;80, Altitude_culmi&lt;=350), 31, NA())</f>
        <v>31</v>
      </c>
      <c r="C172" s="318" t="n">
        <v>5</v>
      </c>
      <c r="D172" s="310" t="n">
        <f aca="false">X_culmi+C172</f>
        <v>114.29191186161</v>
      </c>
      <c r="E172" s="310"/>
      <c r="F172" s="311" t="n">
        <f aca="false">X_culmi-C172</f>
        <v>104.29191186161</v>
      </c>
    </row>
    <row r="173" customFormat="false" ht="12" hidden="false" customHeight="false" outlineLevel="0" collapsed="false">
      <c r="B173" s="314" t="n">
        <f aca="false">IF(AND(Altitude_culmi&gt;80, Altitude_culmi&lt;=350), 32, NA())</f>
        <v>32</v>
      </c>
      <c r="C173" s="318" t="n">
        <v>3.8</v>
      </c>
      <c r="D173" s="310" t="n">
        <f aca="false">X_culmi+C173</f>
        <v>113.09191186161</v>
      </c>
      <c r="E173" s="310"/>
      <c r="F173" s="311" t="n">
        <f aca="false">X_culmi-C173</f>
        <v>105.49191186161</v>
      </c>
    </row>
    <row r="174" customFormat="false" ht="12" hidden="false" customHeight="false" outlineLevel="0" collapsed="false">
      <c r="B174" s="314" t="n">
        <f aca="false">IF(AND(Altitude_culmi&gt;80, Altitude_culmi&lt;=350), 33, NA())</f>
        <v>33</v>
      </c>
      <c r="C174" s="319" t="n">
        <v>0</v>
      </c>
      <c r="D174" s="320" t="n">
        <f aca="false">X_culmi+C174</f>
        <v>109.29191186161</v>
      </c>
      <c r="E174" s="320"/>
      <c r="F174" s="313" t="n">
        <f aca="false">X_culmi-C174</f>
        <v>109.29191186161</v>
      </c>
    </row>
    <row r="175" customFormat="false" ht="12" hidden="false" customHeight="false" outlineLevel="0" collapsed="false">
      <c r="B175" s="314" t="n">
        <f aca="false">IF(AND(Altitude_culmi&gt;80, Altitude_culmi&lt;=350), 34, NA())</f>
        <v>34</v>
      </c>
    </row>
    <row r="176" customFormat="false" ht="12" hidden="false" customHeight="false" outlineLevel="0" collapsed="false">
      <c r="B176" s="315" t="n">
        <f aca="false">IF(AND(Altitude_culmi&gt;80, Altitude_culmi&lt;=350), 35, NA())</f>
        <v>35</v>
      </c>
      <c r="C176" s="309" t="s">
        <v>207</v>
      </c>
      <c r="D176" s="309" t="s">
        <v>208</v>
      </c>
      <c r="E176" s="309"/>
      <c r="F176" s="290" t="s">
        <v>208</v>
      </c>
    </row>
    <row r="177" customFormat="false" ht="12" hidden="false" customHeight="false" outlineLevel="0" collapsed="false">
      <c r="C177" s="318" t="n">
        <v>0</v>
      </c>
      <c r="D177" s="310" t="n">
        <f aca="false">X_culmi+C177</f>
        <v>109.29191186161</v>
      </c>
      <c r="E177" s="310"/>
      <c r="F177" s="311" t="n">
        <f aca="false">X_culmi-C177</f>
        <v>109.29191186161</v>
      </c>
    </row>
    <row r="178" customFormat="false" ht="12" hidden="false" customHeight="false" outlineLevel="0" collapsed="false">
      <c r="B178" s="292" t="s">
        <v>209</v>
      </c>
      <c r="C178" s="318" t="n">
        <v>0</v>
      </c>
      <c r="D178" s="310" t="n">
        <f aca="false">X_culmi+C178</f>
        <v>109.29191186161</v>
      </c>
      <c r="E178" s="310"/>
      <c r="F178" s="311" t="n">
        <f aca="false">X_culmi-C178</f>
        <v>109.29191186161</v>
      </c>
    </row>
    <row r="179" customFormat="false" ht="12" hidden="false" customHeight="false" outlineLevel="0" collapsed="false">
      <c r="B179" s="314" t="e">
        <f aca="false">IF(Altitude_culmi&gt;350, 324, NA())</f>
        <v>#N/A</v>
      </c>
      <c r="C179" s="318" t="n">
        <v>10</v>
      </c>
      <c r="D179" s="310" t="n">
        <f aca="false">X_culmi+C179</f>
        <v>119.29191186161</v>
      </c>
      <c r="E179" s="310"/>
      <c r="F179" s="311" t="n">
        <f aca="false">X_culmi-C179</f>
        <v>99.2919118616096</v>
      </c>
    </row>
    <row r="180" customFormat="false" ht="12" hidden="false" customHeight="false" outlineLevel="0" collapsed="false">
      <c r="B180" s="314" t="e">
        <f aca="false">IF(Altitude_culmi&gt;350, 300, NA())</f>
        <v>#N/A</v>
      </c>
      <c r="C180" s="318" t="n">
        <v>0</v>
      </c>
      <c r="D180" s="310" t="n">
        <f aca="false">X_culmi+C180</f>
        <v>109.29191186161</v>
      </c>
      <c r="E180" s="310"/>
      <c r="F180" s="311" t="n">
        <f aca="false">X_culmi-C180</f>
        <v>109.29191186161</v>
      </c>
    </row>
    <row r="181" customFormat="false" ht="12" hidden="false" customHeight="false" outlineLevel="0" collapsed="false">
      <c r="B181" s="314" t="e">
        <f aca="false">IF(Altitude_culmi&gt;350, 280, NA())</f>
        <v>#N/A</v>
      </c>
      <c r="C181" s="318" t="n">
        <v>10</v>
      </c>
      <c r="D181" s="310" t="n">
        <f aca="false">X_culmi+C181</f>
        <v>119.29191186161</v>
      </c>
      <c r="E181" s="310"/>
      <c r="F181" s="311" t="n">
        <f aca="false">X_culmi-C181</f>
        <v>99.2919118616096</v>
      </c>
    </row>
    <row r="182" customFormat="false" ht="12" hidden="false" customHeight="false" outlineLevel="0" collapsed="false">
      <c r="B182" s="314" t="e">
        <f aca="false">IF(Altitude_culmi&gt;350, 280, NA())</f>
        <v>#N/A</v>
      </c>
      <c r="C182" s="318" t="n">
        <v>13</v>
      </c>
      <c r="D182" s="310" t="n">
        <f aca="false">X_culmi+C182</f>
        <v>122.29191186161</v>
      </c>
      <c r="E182" s="310"/>
      <c r="F182" s="311" t="n">
        <f aca="false">X_culmi-C182</f>
        <v>96.2919118616096</v>
      </c>
    </row>
    <row r="183" customFormat="false" ht="12" hidden="false" customHeight="false" outlineLevel="0" collapsed="false">
      <c r="B183" s="314" t="e">
        <f aca="false">IF(Altitude_culmi&gt;350, 280, NA())</f>
        <v>#N/A</v>
      </c>
      <c r="C183" s="318" t="n">
        <v>17</v>
      </c>
      <c r="D183" s="310" t="n">
        <f aca="false">X_culmi+C183</f>
        <v>126.29191186161</v>
      </c>
      <c r="E183" s="310"/>
      <c r="F183" s="311" t="n">
        <f aca="false">X_culmi-C183</f>
        <v>92.2919118616096</v>
      </c>
    </row>
    <row r="184" customFormat="false" ht="12" hidden="false" customHeight="false" outlineLevel="0" collapsed="false">
      <c r="B184" s="314" t="e">
        <f aca="false">IF(Altitude_culmi&gt;350, 200, NA())</f>
        <v>#N/A</v>
      </c>
      <c r="C184" s="318" t="n">
        <v>20</v>
      </c>
      <c r="D184" s="310" t="n">
        <f aca="false">X_culmi+C184</f>
        <v>129.29191186161</v>
      </c>
      <c r="E184" s="310"/>
      <c r="F184" s="311" t="n">
        <f aca="false">X_culmi-C184</f>
        <v>89.2919118616096</v>
      </c>
    </row>
    <row r="185" customFormat="false" ht="12" hidden="false" customHeight="false" outlineLevel="0" collapsed="false">
      <c r="B185" s="314" t="e">
        <f aca="false">IF(Altitude_culmi&gt;350, 160, NA())</f>
        <v>#N/A</v>
      </c>
      <c r="C185" s="318" t="n">
        <v>25</v>
      </c>
      <c r="D185" s="310" t="n">
        <f aca="false">X_culmi+C185</f>
        <v>134.29191186161</v>
      </c>
      <c r="E185" s="310"/>
      <c r="F185" s="311" t="n">
        <f aca="false">X_culmi-C185</f>
        <v>84.2919118616096</v>
      </c>
    </row>
    <row r="186" customFormat="false" ht="12" hidden="false" customHeight="false" outlineLevel="0" collapsed="false">
      <c r="B186" s="314" t="e">
        <f aca="false">IF(Altitude_culmi&gt;350, 115, NA())</f>
        <v>#N/A</v>
      </c>
      <c r="C186" s="318" t="n">
        <v>30</v>
      </c>
      <c r="D186" s="310" t="n">
        <f aca="false">X_culmi+C186</f>
        <v>139.29191186161</v>
      </c>
      <c r="E186" s="310"/>
      <c r="F186" s="311" t="n">
        <f aca="false">X_culmi-C186</f>
        <v>79.2919118616096</v>
      </c>
    </row>
    <row r="187" customFormat="false" ht="12" hidden="false" customHeight="false" outlineLevel="0" collapsed="false">
      <c r="B187" s="314" t="e">
        <f aca="false">IF(Altitude_culmi&gt;350, 90, NA())</f>
        <v>#N/A</v>
      </c>
      <c r="C187" s="318" t="n">
        <v>36</v>
      </c>
      <c r="D187" s="310" t="n">
        <f aca="false">X_culmi+C187</f>
        <v>145.29191186161</v>
      </c>
      <c r="E187" s="310"/>
      <c r="F187" s="311" t="n">
        <f aca="false">X_culmi-C187</f>
        <v>73.2919118616096</v>
      </c>
    </row>
    <row r="188" customFormat="false" ht="12" hidden="false" customHeight="false" outlineLevel="0" collapsed="false">
      <c r="B188" s="314" t="e">
        <f aca="false">IF(Altitude_culmi&gt;350, 57, NA())</f>
        <v>#N/A</v>
      </c>
      <c r="C188" s="318" t="n">
        <v>48</v>
      </c>
      <c r="D188" s="310" t="n">
        <f aca="false">X_culmi+C188</f>
        <v>157.29191186161</v>
      </c>
      <c r="E188" s="310"/>
      <c r="F188" s="311" t="n">
        <f aca="false">X_culmi-C188</f>
        <v>61.2919118616096</v>
      </c>
    </row>
    <row r="189" customFormat="false" ht="12" hidden="false" customHeight="false" outlineLevel="0" collapsed="false">
      <c r="B189" s="314" t="e">
        <f aca="false">IF(Altitude_culmi&gt;350, 40, NA())</f>
        <v>#N/A</v>
      </c>
      <c r="C189" s="318" t="n">
        <v>62</v>
      </c>
      <c r="D189" s="310" t="n">
        <f aca="false">X_culmi+C189</f>
        <v>171.29191186161</v>
      </c>
      <c r="E189" s="310"/>
      <c r="F189" s="311" t="n">
        <f aca="false">X_culmi-C189</f>
        <v>47.2919118616096</v>
      </c>
    </row>
    <row r="190" customFormat="false" ht="12" hidden="false" customHeight="false" outlineLevel="0" collapsed="false">
      <c r="B190" s="314" t="e">
        <f aca="false">IF(Altitude_culmi&gt;350, 20, NA())</f>
        <v>#N/A</v>
      </c>
      <c r="C190" s="318" t="n">
        <v>37</v>
      </c>
      <c r="D190" s="310" t="n">
        <f aca="false">X_culmi+C190</f>
        <v>146.29191186161</v>
      </c>
      <c r="E190" s="310"/>
      <c r="F190" s="311" t="n">
        <f aca="false">X_culmi-C190</f>
        <v>72.2919118616096</v>
      </c>
    </row>
    <row r="191" customFormat="false" ht="12" hidden="false" customHeight="false" outlineLevel="0" collapsed="false">
      <c r="B191" s="314" t="e">
        <f aca="false">IF(Altitude_culmi&gt;350, 0.5, NA())</f>
        <v>#N/A</v>
      </c>
      <c r="C191" s="318" t="n">
        <v>30</v>
      </c>
      <c r="D191" s="310" t="n">
        <f aca="false">X_culmi+C191</f>
        <v>139.29191186161</v>
      </c>
      <c r="E191" s="310"/>
      <c r="F191" s="311" t="n">
        <f aca="false">X_culmi-C191</f>
        <v>79.2919118616096</v>
      </c>
    </row>
    <row r="192" customFormat="false" ht="12" hidden="false" customHeight="false" outlineLevel="0" collapsed="false">
      <c r="B192" s="314" t="e">
        <f aca="false">IF(Altitude_culmi&gt;350, 0.5, NA())</f>
        <v>#N/A</v>
      </c>
      <c r="C192" s="318" t="n">
        <v>15</v>
      </c>
      <c r="D192" s="310" t="n">
        <f aca="false">X_culmi+C192</f>
        <v>124.29191186161</v>
      </c>
      <c r="E192" s="310"/>
      <c r="F192" s="311" t="n">
        <f aca="false">X_culmi-C192</f>
        <v>94.2919118616096</v>
      </c>
    </row>
    <row r="193" customFormat="false" ht="12" hidden="false" customHeight="false" outlineLevel="0" collapsed="false">
      <c r="B193" s="314" t="e">
        <f aca="false">IF(Altitude_culmi&gt;350, 15, NA())</f>
        <v>#N/A</v>
      </c>
      <c r="C193" s="318" t="n">
        <v>0</v>
      </c>
      <c r="D193" s="310" t="n">
        <f aca="false">X_culmi+C193</f>
        <v>109.29191186161</v>
      </c>
      <c r="E193" s="310"/>
      <c r="F193" s="311" t="n">
        <f aca="false">X_culmi-C193</f>
        <v>109.29191186161</v>
      </c>
    </row>
    <row r="194" customFormat="false" ht="12" hidden="false" customHeight="false" outlineLevel="0" collapsed="false">
      <c r="B194" s="314" t="e">
        <f aca="false">IF(Altitude_culmi&gt;350, 30, NA())</f>
        <v>#N/A</v>
      </c>
      <c r="C194" s="318" t="n">
        <v>0</v>
      </c>
      <c r="D194" s="310" t="n">
        <f aca="false">X_culmi+C194</f>
        <v>109.29191186161</v>
      </c>
      <c r="E194" s="310"/>
      <c r="F194" s="311" t="n">
        <f aca="false">X_culmi-C194</f>
        <v>109.29191186161</v>
      </c>
    </row>
    <row r="195" customFormat="false" ht="12" hidden="false" customHeight="false" outlineLevel="0" collapsed="false">
      <c r="B195" s="314" t="e">
        <f aca="false">IF(Altitude_culmi&gt;350, 37, NA())</f>
        <v>#N/A</v>
      </c>
      <c r="C195" s="318" t="n">
        <v>17</v>
      </c>
      <c r="D195" s="310" t="n">
        <f aca="false">X_culmi+C195</f>
        <v>126.29191186161</v>
      </c>
      <c r="E195" s="310"/>
      <c r="F195" s="311" t="n">
        <f aca="false">X_culmi-C195</f>
        <v>92.2919118616096</v>
      </c>
    </row>
    <row r="196" customFormat="false" ht="12" hidden="false" customHeight="false" outlineLevel="0" collapsed="false">
      <c r="B196" s="314" t="e">
        <f aca="false">IF(Altitude_culmi&gt;350, 67, NA())</f>
        <v>#N/A</v>
      </c>
      <c r="C196" s="318" t="n">
        <v>11</v>
      </c>
      <c r="D196" s="310" t="n">
        <f aca="false">X_culmi+C196</f>
        <v>120.29191186161</v>
      </c>
      <c r="E196" s="310"/>
      <c r="F196" s="311" t="n">
        <f aca="false">X_culmi-C196</f>
        <v>98.2919118616096</v>
      </c>
    </row>
    <row r="197" customFormat="false" ht="12" hidden="false" customHeight="false" outlineLevel="0" collapsed="false">
      <c r="B197" s="314" t="e">
        <f aca="false">IF(Altitude_culmi&gt;350, 67, NA())</f>
        <v>#N/A</v>
      </c>
      <c r="C197" s="319" t="n">
        <v>0</v>
      </c>
      <c r="D197" s="320" t="n">
        <f aca="false">X_culmi+C197</f>
        <v>109.29191186161</v>
      </c>
      <c r="E197" s="320"/>
      <c r="F197" s="313" t="n">
        <f aca="false">X_culmi-C197</f>
        <v>109.29191186161</v>
      </c>
    </row>
    <row r="198" customFormat="false" ht="12" hidden="false" customHeight="false" outlineLevel="0" collapsed="false">
      <c r="B198" s="314" t="e">
        <f aca="false">IF(Altitude_culmi&gt;350, 100, NA())</f>
        <v>#N/A</v>
      </c>
    </row>
    <row r="199" customFormat="false" ht="12" hidden="false" customHeight="false" outlineLevel="0" collapsed="false">
      <c r="B199" s="315" t="e">
        <f aca="false">IF(Altitude_culmi&gt;350, 100, NA())</f>
        <v>#N/A</v>
      </c>
    </row>
  </sheetData>
  <sheetProtection sheet="true" password="c6ac"/>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D25">
    <cfRule type="expression" priority="2" aboveAverage="0" equalAverage="0" bottom="0" percent="0" rank="0" text="" dxfId="27">
      <formula>Nb_sat="0 satellite"</formula>
    </cfRule>
  </conditionalFormatting>
  <conditionalFormatting sqref="H27 H46">
    <cfRule type="expression" priority="3" aboveAverage="0" equalAverage="0" bottom="0" percent="0" rank="0" text="" dxfId="28">
      <formula>ABS(Temps_culmi-T_para)&gt;2</formula>
    </cfRule>
  </conditionalFormatting>
  <conditionalFormatting sqref="J28 J45">
    <cfRule type="expression" priority="4" aboveAverage="0" equalAverage="0" bottom="0" percent="0" rank="0" text="" dxfId="29">
      <formula>AND(Portee_balistique&gt;200,LEFT(Type_propu,4)="Mini")</formula>
    </cfRule>
  </conditionalFormatting>
  <conditionalFormatting sqref="H33:I33">
    <cfRule type="cellIs" priority="5" operator="equal" aboveAverage="0" equalAverage="0" bottom="0" percent="0" rank="0" text="" dxfId="30">
      <formula>"Rouge…"</formula>
    </cfRule>
  </conditionalFormatting>
  <conditionalFormatting sqref="H32:I32">
    <cfRule type="cellIs" priority="6" operator="equal" aboveAverage="0" equalAverage="0" bottom="0" percent="0" rank="0" text="" dxfId="31">
      <formula>"Brun/Orange…"</formula>
    </cfRule>
  </conditionalFormatting>
  <conditionalFormatting sqref="N33">
    <cfRule type="expression" priority="7" aboveAverage="0" equalAverage="0" bottom="0" percent="0" rank="0" text="" dxfId="32">
      <formula>ROUND(SUM(C23:L34),0)=1914</formula>
    </cfRule>
  </conditionalFormatting>
  <conditionalFormatting sqref="N34">
    <cfRule type="expression" priority="8" aboveAverage="0" equalAverage="0" bottom="0" percent="0" rank="0" text="" dxfId="33">
      <formula>$N$34="propu NOK"</formula>
    </cfRule>
  </conditionalFormatting>
  <conditionalFormatting sqref="F49:M49">
    <cfRule type="expression" priority="9" aboveAverage="0" equalAverage="0" bottom="0" percent="0" rank="0" text="" dxfId="34">
      <formula>Nb_sat="0 satellite"</formula>
    </cfRule>
  </conditionalFormatting>
  <conditionalFormatting sqref="F34:I34 F48:M48">
    <cfRule type="expression" priority="10" aboveAverage="0" equalAverage="0" bottom="0" percent="0" rank="0" text="" dxfId="35">
      <formula>Nb_sat="0 satellite"</formula>
    </cfRule>
  </conditionalFormatting>
  <conditionalFormatting sqref="F25">
    <cfRule type="expression" priority="11" aboveAverage="0" equalAverage="0" bottom="0" percent="0" rank="0" text="" dxfId="36">
      <formula>Nb_sat="0 satellite"</formula>
    </cfRule>
  </conditionalFormatting>
  <conditionalFormatting sqref="K40">
    <cfRule type="expression" priority="12" aboveAverage="0" equalAverage="0" bottom="0" percent="0" rank="0" text="" dxfId="37">
      <formula>AND( $K$21=0, OR( $I$21&gt;0, $J$21&gt;0 ) )</formula>
    </cfRule>
  </conditionalFormatting>
  <conditionalFormatting sqref="D24">
    <cfRule type="expression" priority="13" aboveAverage="0" equalAverage="0" bottom="0" percent="0" rank="0" text="" dxfId="38">
      <formula>Nb_sat="0 satellite"</formula>
    </cfRule>
  </conditionalFormatting>
  <conditionalFormatting sqref="D30">
    <cfRule type="expression" priority="14" aboveAverage="0" equalAverage="0" bottom="0" percent="0" rank="0" text="" dxfId="39">
      <formula>Nb_sat="0 satellite"</formula>
    </cfRule>
    <cfRule type="cellIs" priority="15" operator="notBetween" aboveAverage="0" equalAverage="0" bottom="0" percent="0" rank="0" text="" dxfId="40">
      <formula>5</formula>
      <formula>15</formula>
    </cfRule>
  </conditionalFormatting>
  <conditionalFormatting sqref="H25:M25">
    <cfRule type="expression" priority="16" aboveAverage="0" equalAverage="0" bottom="0" percent="0" rank="0" text="" dxfId="41">
      <formula>Nb_sat="0 satellite"</formula>
    </cfRule>
  </conditionalFormatting>
  <conditionalFormatting sqref="C30">
    <cfRule type="cellIs" priority="17" operator="notBetween" aboveAverage="0" equalAverage="0" bottom="0" percent="0" rank="0" text="" dxfId="42">
      <formula>5</formula>
      <formula>15</formula>
    </cfRule>
  </conditionalFormatting>
  <conditionalFormatting sqref="K23 K41">
    <cfRule type="expression" priority="18" aboveAverage="0" equalAverage="0" bottom="0" percent="0" rank="0" text="" dxfId="43">
      <formula>AND(Vsortie_de_rampe&lt;18, OR(LEFT(Type_fusee,1)=",",LEFT(Type_fusee,4)="Mini",LEFT(Type_fusee,1)="R"))</formula>
    </cfRule>
    <cfRule type="expression" priority="19" aboveAverage="0" equalAverage="0" bottom="0" percent="0" rank="0" text="" dxfId="44">
      <formula>AND(Vsortie_de_rampe&lt;20, RIGHT(Type_fusee,1)=".")</formula>
    </cfRule>
  </conditionalFormatting>
  <conditionalFormatting sqref="D26:D29 D31:D33">
    <cfRule type="expression" priority="20" aboveAverage="0" equalAverage="0" bottom="0" percent="0" rank="0" text="" dxfId="45">
      <formula>Nb_sat="0 satellite"</formula>
    </cfRule>
  </conditionalFormatting>
  <conditionalFormatting sqref="B26">
    <cfRule type="expression" priority="21" aboveAverage="0" equalAverage="0" bottom="0" percent="0" rank="0" text="" dxfId="46">
      <formula>NOT(OR(C25=F108,C25=F102,Nb_sat="1 satellite"))</formula>
    </cfRule>
  </conditionalFormatting>
  <conditionalFormatting sqref="C26">
    <cfRule type="expression" priority="22" aboveAverage="0" equalAverage="0" bottom="0" percent="0" rank="0" text="" dxfId="47">
      <formula>NOT(OR(C25=F108,C25=F102))</formula>
    </cfRule>
  </conditionalFormatting>
  <dataValidations count="14">
    <dataValidation allowBlank="false" errorStyle="stop" operator="greaterThanOrEqual" showDropDown="false" showErrorMessage="false" showInputMessage="false" sqref="C10:D10" type="none">
      <formula1>0</formula1>
      <formula2>0</formula2>
    </dataValidation>
    <dataValidation allowBlank="false" errorStyle="stop" operator="between" showDropDown="false" showErrorMessage="false" showInputMessage="false" sqref="C11:D11" type="none">
      <formula1>0</formula1>
      <formula2>0</formula2>
    </dataValidation>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796875" defaultRowHeight="12" zeroHeight="false" outlineLevelRow="0" outlineLevelCol="0"/>
  <sheetData>
    <row r="75" customFormat="false" ht="12" hidden="false" customHeight="false" outlineLevel="0" collapsed="false">
      <c r="B75" s="243" t="s">
        <v>210</v>
      </c>
    </row>
    <row r="76" customFormat="false" ht="12" hidden="false" customHeight="false" outlineLevel="0" collapsed="false">
      <c r="B76" s="243"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 </v>
      </c>
    </row>
    <row r="77" customFormat="false" ht="12" hidden="false" customHeight="false" outlineLevel="0" collapsed="false">
      <c r="B77" s="243"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 hidden="false" customHeight="false" outlineLevel="0" collapsed="false">
      <c r="B78" s="243"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 hidden="false" customHeight="false" outlineLevel="0" collapsed="false">
      <c r="B79" s="243"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 hidden="false" customHeight="false" outlineLevel="0" collapsed="false">
      <c r="B133" s="243" t="str">
        <f aca="false">IF(Lang="Français","Traînée",IF(Lang="English","Drag",""))</f>
        <v>Traînée</v>
      </c>
    </row>
    <row r="134" customFormat="false" ht="12" hidden="false" customHeight="false" outlineLevel="0" collapsed="false">
      <c r="B134" s="243" t="str">
        <f aca="false">IF(Lang="Français","Poussée",IF(Lang="English","Thrust",""))</f>
        <v>Poussée</v>
      </c>
    </row>
    <row r="135" customFormat="false" ht="12" hidden="false" customHeight="false" outlineLevel="0" collapsed="false">
      <c r="B135" s="243" t="str">
        <f aca="false">IF(Lang="Français","Poids",IF(Lang="English","Weight",""))</f>
        <v>Poids</v>
      </c>
    </row>
    <row r="137" customFormat="false" ht="12" hidden="false" customHeight="false" outlineLevel="0" collapsed="false">
      <c r="B137" s="243" t="str">
        <f aca="false">IF(Lang="Français","Accélération longitudinale",IF(Lang="English","Longitudinal Acceleration",""))</f>
        <v>Accélération longitudinale</v>
      </c>
    </row>
    <row r="138" customFormat="false" ht="12" hidden="false" customHeight="false" outlineLevel="0" collapsed="false">
      <c r="B138" s="243" t="str">
        <f aca="false">IF(Lang="Français","Charge vue par un capteur",IF(Lang="English","Load seen by a sensor",""))</f>
        <v>Charge vue par un capteur</v>
      </c>
    </row>
    <row r="140" customFormat="false" ht="12" hidden="false" customHeight="false" outlineLevel="0" collapsed="false">
      <c r="B140" s="243" t="str">
        <f aca="false">IF(Lang="Français","Vitesse",IF(Lang="English","Velocity",""))</f>
        <v>Vitesse</v>
      </c>
    </row>
    <row r="141" customFormat="false" ht="12" hidden="false" customHeight="false" outlineLevel="0" collapsed="false">
      <c r="B141" s="243" t="str">
        <f aca="false">IF(Lang="Français","Vitesse [m/s]",IF(Lang="English","Velocity [m/s]",""))</f>
        <v>Vitesse [m/s]</v>
      </c>
    </row>
    <row r="143" customFormat="false" ht="12" hidden="false" customHeight="false" outlineLevel="0" collapsed="false">
      <c r="B143" s="243" t="s">
        <v>160</v>
      </c>
    </row>
    <row r="144" customFormat="false" ht="12" hidden="false" customHeight="false" outlineLevel="0" collapsed="false">
      <c r="B144" s="243" t="str">
        <f aca="false">IF(Lang="Français","Portée",IF(Lang="English","Range",""))</f>
        <v>Portée</v>
      </c>
    </row>
    <row r="146" customFormat="false" ht="12" hidden="false" customHeight="false" outlineLevel="0" collapsed="false">
      <c r="B146" s="243"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K6" activeCellId="0" sqref="K6"/>
    </sheetView>
  </sheetViews>
  <sheetFormatPr defaultColWidth="10.6796875" defaultRowHeight="12" zeroHeight="false" outlineLevelRow="0" outlineLevelCol="0"/>
  <cols>
    <col collapsed="false" customWidth="true" hidden="false" outlineLevel="0" max="1" min="1" style="243" width="22.63"/>
  </cols>
  <sheetData>
    <row r="1" customFormat="false" ht="12.75" hidden="false" customHeight="false" outlineLevel="0" collapsed="false">
      <c r="A1" s="321" t="str">
        <f aca="false">IF(Lang="Français","Moteur sélectionné","Selected motor")</f>
        <v>Moteur sélectionné</v>
      </c>
      <c r="B1" s="321" t="s">
        <v>211</v>
      </c>
    </row>
    <row r="2" customFormat="false" ht="12.75" hidden="false" customHeight="false" outlineLevel="0" collapsed="false">
      <c r="A2" s="322" t="str">
        <f aca="false">Propu</f>
        <v>Pandora (Pro24-6G BS)</v>
      </c>
      <c r="B2" s="322" t="n">
        <f aca="false">VLOOKUP(A2,A26:B314,2,FALSE())</f>
        <v>198</v>
      </c>
      <c r="C2" s="323" t="s">
        <v>212</v>
      </c>
      <c r="D2" s="324" t="n">
        <f aca="true">INDIRECT(ADDRESS(B2,4))</f>
        <v>142.44</v>
      </c>
      <c r="E2" s="323" t="s">
        <v>213</v>
      </c>
      <c r="F2" s="325" t="n">
        <f aca="true">INDIRECT(ADDRESS(B2,6))</f>
        <v>192.061874019061</v>
      </c>
      <c r="G2" s="323" t="s">
        <v>214</v>
      </c>
      <c r="H2" s="326" t="n">
        <f aca="true">INDIRECT(ADDRESS(B2,8))</f>
        <v>0.1599</v>
      </c>
      <c r="I2" s="323" t="s">
        <v>215</v>
      </c>
      <c r="J2" s="326" t="n">
        <f aca="true">INDIRECT(ADDRESS(B2,10))</f>
        <v>0.0756</v>
      </c>
      <c r="K2" s="323" t="s">
        <v>216</v>
      </c>
      <c r="L2" s="326" t="n">
        <f aca="true">INDIRECT(ADDRESS(B2,12))</f>
        <v>0.0843</v>
      </c>
      <c r="M2" s="323" t="s">
        <v>217</v>
      </c>
      <c r="N2" s="327" t="n">
        <f aca="true">INDIRECT(ADDRESS(B2,14))</f>
        <v>114</v>
      </c>
      <c r="O2" s="323" t="s">
        <v>218</v>
      </c>
      <c r="P2" s="327" t="n">
        <f aca="true">INDIRECT(ADDRESS(B2,16))</f>
        <v>114</v>
      </c>
      <c r="Q2" s="323" t="s">
        <v>219</v>
      </c>
      <c r="R2" s="327" t="n">
        <f aca="true">INDIRECT(ADDRESS(B2,18))</f>
        <v>228</v>
      </c>
      <c r="S2" s="323" t="s">
        <v>220</v>
      </c>
      <c r="T2" s="327" t="n">
        <f aca="true">INDIRECT(ADDRESS(B2,20))</f>
        <v>24</v>
      </c>
      <c r="U2" s="323" t="s">
        <v>8</v>
      </c>
      <c r="V2" s="328" t="str">
        <f aca="true">INDIRECT(ADDRESS(B2,22))</f>
        <v>MiniN</v>
      </c>
      <c r="W2" s="329" t="s">
        <v>221</v>
      </c>
      <c r="X2" s="330" t="n">
        <f aca="true">INDIRECT(ADDRESS(B2,24))</f>
        <v>0.97</v>
      </c>
      <c r="Y2" s="329" t="s">
        <v>222</v>
      </c>
      <c r="Z2" s="328" t="n">
        <f aca="true">INDIRECT(ADDRESS(B2,26))</f>
        <v>0</v>
      </c>
    </row>
    <row r="3" customFormat="false" ht="12" hidden="false" customHeight="false" outlineLevel="0" collapsed="false">
      <c r="A3" s="321" t="str">
        <f aca="false">IF(Lang="Français","Temps (en s)","Time (s)")</f>
        <v>Temps (en s)</v>
      </c>
      <c r="B3" s="331" t="n">
        <f aca="true">INDIRECT(ADDRESS($B2+1,COLUMN(B3)))</f>
        <v>0</v>
      </c>
      <c r="C3" s="332" t="n">
        <f aca="true">INDIRECT(ADDRESS($B2+1,COLUMN(C3)))</f>
        <v>0.02</v>
      </c>
      <c r="D3" s="332" t="n">
        <f aca="true">INDIRECT(ADDRESS($B2+1,COLUMN(D3)))</f>
        <v>0.04</v>
      </c>
      <c r="E3" s="332" t="n">
        <f aca="true">INDIRECT(ADDRESS($B2+1,COLUMN(E3)))</f>
        <v>0.62</v>
      </c>
      <c r="F3" s="332" t="n">
        <f aca="true">INDIRECT(ADDRESS($B2+1,COLUMN(F3)))</f>
        <v>0.66</v>
      </c>
      <c r="G3" s="332" t="n">
        <f aca="true">INDIRECT(ADDRESS($B2+1,COLUMN(G3)))</f>
        <v>0.68</v>
      </c>
      <c r="H3" s="332" t="n">
        <f aca="true">INDIRECT(ADDRESS($B2+1,COLUMN(H3)))</f>
        <v>0.8</v>
      </c>
      <c r="I3" s="332" t="n">
        <f aca="true">INDIRECT(ADDRESS($B2+1,COLUMN(I3)))</f>
        <v>0.84</v>
      </c>
      <c r="J3" s="332" t="n">
        <f aca="true">INDIRECT(ADDRESS($B2+1,COLUMN(J3)))</f>
        <v>0.88</v>
      </c>
      <c r="K3" s="332" t="n">
        <f aca="true">INDIRECT(ADDRESS($B2+1,COLUMN(K3)))</f>
        <v>0.92</v>
      </c>
      <c r="L3" s="332" t="n">
        <f aca="true">INDIRECT(ADDRESS($B2+1,COLUMN(L3)))</f>
        <v>0.96</v>
      </c>
      <c r="M3" s="332" t="n">
        <f aca="true">INDIRECT(ADDRESS($B2+1,COLUMN(M3)))</f>
        <v>1</v>
      </c>
      <c r="N3" s="332" t="n">
        <f aca="true">INDIRECT(ADDRESS($B2+1,COLUMN(N3)))</f>
        <v>1.08</v>
      </c>
      <c r="O3" s="332" t="n">
        <f aca="true">INDIRECT(ADDRESS($B2+1,COLUMN(O3)))</f>
        <v>2</v>
      </c>
      <c r="P3" s="332" t="n">
        <f aca="true">INDIRECT(ADDRESS($B2+1,COLUMN(P3)))</f>
        <v>2</v>
      </c>
      <c r="Q3" s="332" t="n">
        <f aca="true">INDIRECT(ADDRESS($B2+1,COLUMN(Q3)))</f>
        <v>2</v>
      </c>
      <c r="R3" s="332" t="n">
        <f aca="true">INDIRECT(ADDRESS($B2+1,COLUMN(R3)))</f>
        <v>2</v>
      </c>
      <c r="S3" s="332" t="n">
        <f aca="true">INDIRECT(ADDRESS($B2+1,COLUMN(S3)))</f>
        <v>2</v>
      </c>
      <c r="T3" s="332" t="n">
        <f aca="true">INDIRECT(ADDRESS($B2+1,COLUMN(T3)))</f>
        <v>2</v>
      </c>
      <c r="U3" s="332" t="n">
        <f aca="true">INDIRECT(ADDRESS($B2+1,COLUMN(U3)))</f>
        <v>2</v>
      </c>
      <c r="V3" s="332" t="n">
        <f aca="true">INDIRECT(ADDRESS($B2+1,COLUMN(V3)))</f>
        <v>2</v>
      </c>
      <c r="W3" s="332" t="n">
        <f aca="true">INDIRECT(ADDRESS($B2+1,COLUMN(W3)))</f>
        <v>2</v>
      </c>
      <c r="X3" s="332" t="n">
        <f aca="true">INDIRECT(ADDRESS($B2+1,COLUMN(X3)))</f>
        <v>2</v>
      </c>
      <c r="Y3" s="333" t="n">
        <f aca="true">INDIRECT(ADDRESS($B2+1,COLUMN(Y3)))</f>
        <v>1000</v>
      </c>
    </row>
    <row r="4" customFormat="false" ht="12.75" hidden="false" customHeight="false" outlineLevel="0" collapsed="false">
      <c r="A4" s="334" t="str">
        <f aca="false">IF(Lang="Français","Poussée (en N)","Thrust (N)")</f>
        <v>Poussée (en N)</v>
      </c>
      <c r="B4" s="335" t="n">
        <f aca="true">INDIRECT(ADDRESS($B2+2,COLUMN(B3)))</f>
        <v>0</v>
      </c>
      <c r="C4" s="336" t="n">
        <f aca="true">INDIRECT(ADDRESS($B2+2,COLUMN(C3)))</f>
        <v>250</v>
      </c>
      <c r="D4" s="336" t="n">
        <f aca="true">INDIRECT(ADDRESS($B2+2,COLUMN(D3)))</f>
        <v>210</v>
      </c>
      <c r="E4" s="336" t="n">
        <f aca="true">INDIRECT(ADDRESS($B2+2,COLUMN(E3)))</f>
        <v>160</v>
      </c>
      <c r="F4" s="336" t="n">
        <f aca="true">INDIRECT(ADDRESS($B2+2,COLUMN(F3)))</f>
        <v>150</v>
      </c>
      <c r="G4" s="336" t="n">
        <f aca="true">INDIRECT(ADDRESS($B2+2,COLUMN(G3)))</f>
        <v>142</v>
      </c>
      <c r="H4" s="336" t="n">
        <f aca="true">INDIRECT(ADDRESS($B2+2,COLUMN(H3)))</f>
        <v>62</v>
      </c>
      <c r="I4" s="336" t="n">
        <f aca="true">INDIRECT(ADDRESS($B2+2,COLUMN(I3)))</f>
        <v>48</v>
      </c>
      <c r="J4" s="336" t="n">
        <f aca="true">INDIRECT(ADDRESS($B2+2,COLUMN(J3)))</f>
        <v>34</v>
      </c>
      <c r="K4" s="336" t="n">
        <f aca="true">INDIRECT(ADDRESS($B2+2,COLUMN(K3)))</f>
        <v>24</v>
      </c>
      <c r="L4" s="336" t="n">
        <f aca="true">INDIRECT(ADDRESS($B2+2,COLUMN(L3)))</f>
        <v>15</v>
      </c>
      <c r="M4" s="336" t="n">
        <f aca="true">INDIRECT(ADDRESS($B2+2,COLUMN(M3)))</f>
        <v>10</v>
      </c>
      <c r="N4" s="336" t="n">
        <f aca="true">INDIRECT(ADDRESS($B2+2,COLUMN(N3)))</f>
        <v>0</v>
      </c>
      <c r="O4" s="336" t="n">
        <f aca="true">INDIRECT(ADDRESS($B2+2,COLUMN(O3)))</f>
        <v>0</v>
      </c>
      <c r="P4" s="336" t="n">
        <f aca="true">INDIRECT(ADDRESS($B2+2,COLUMN(P3)))</f>
        <v>0</v>
      </c>
      <c r="Q4" s="336" t="n">
        <f aca="true">INDIRECT(ADDRESS($B2+2,COLUMN(Q3)))</f>
        <v>0</v>
      </c>
      <c r="R4" s="336" t="n">
        <f aca="true">INDIRECT(ADDRESS($B2+2,COLUMN(R3)))</f>
        <v>0</v>
      </c>
      <c r="S4" s="336" t="n">
        <f aca="true">INDIRECT(ADDRESS($B2+2,COLUMN(S3)))</f>
        <v>0</v>
      </c>
      <c r="T4" s="336" t="n">
        <f aca="true">INDIRECT(ADDRESS($B2+2,COLUMN(T3)))</f>
        <v>0</v>
      </c>
      <c r="U4" s="336" t="n">
        <f aca="true">INDIRECT(ADDRESS($B2+2,COLUMN(U3)))</f>
        <v>0</v>
      </c>
      <c r="V4" s="336" t="n">
        <f aca="true">INDIRECT(ADDRESS($B2+2,COLUMN(V3)))</f>
        <v>0</v>
      </c>
      <c r="W4" s="336" t="n">
        <f aca="true">INDIRECT(ADDRESS($B2+2,COLUMN(W3)))</f>
        <v>0</v>
      </c>
      <c r="X4" s="336" t="n">
        <f aca="true">INDIRECT(ADDRESS($B2+2,COLUMN(X3)))</f>
        <v>0</v>
      </c>
      <c r="Y4" s="337" t="n">
        <f aca="true">INDIRECT(ADDRESS($B2+2,COLUMN(Y3)))</f>
        <v>0</v>
      </c>
    </row>
    <row r="5" customFormat="false" ht="12" hidden="false" customHeight="false" outlineLevel="0" collapsed="false">
      <c r="B5" s="338"/>
      <c r="C5" s="338"/>
      <c r="D5" s="338"/>
      <c r="E5" s="338"/>
      <c r="F5" s="338"/>
      <c r="G5" s="338"/>
      <c r="H5" s="338"/>
      <c r="I5" s="338"/>
      <c r="J5" s="338"/>
      <c r="K5" s="338"/>
      <c r="L5" s="338"/>
      <c r="M5" s="338"/>
      <c r="N5" s="338"/>
      <c r="O5" s="338"/>
      <c r="P5" s="338"/>
      <c r="Q5" s="338"/>
      <c r="R5" s="338"/>
      <c r="S5" s="338"/>
      <c r="T5" s="338"/>
      <c r="U5" s="338"/>
      <c r="V5" s="338"/>
      <c r="W5" s="338"/>
      <c r="X5" s="338"/>
      <c r="Y5" s="338"/>
    </row>
    <row r="6" customFormat="false" ht="12" hidden="false" customHeight="false" outlineLevel="0" collapsed="false">
      <c r="B6" s="338"/>
      <c r="C6" s="338"/>
      <c r="D6" s="338"/>
      <c r="E6" s="338"/>
      <c r="F6" s="338"/>
      <c r="G6" s="338"/>
      <c r="H6" s="338"/>
      <c r="I6" s="338"/>
      <c r="J6" s="338"/>
      <c r="K6" s="338"/>
      <c r="L6" s="338"/>
      <c r="M6" s="338"/>
      <c r="N6" s="338"/>
      <c r="O6" s="338"/>
      <c r="P6" s="338"/>
      <c r="Q6" s="338"/>
      <c r="R6" s="338"/>
      <c r="S6" s="338"/>
      <c r="T6" s="338"/>
      <c r="U6" s="338"/>
      <c r="V6" s="338"/>
      <c r="W6" s="338"/>
      <c r="X6" s="338"/>
      <c r="Y6" s="338"/>
    </row>
    <row r="7" customFormat="false" ht="12" hidden="false" customHeight="false" outlineLevel="0" collapsed="false">
      <c r="B7" s="338"/>
      <c r="C7" s="338"/>
      <c r="D7" s="338"/>
      <c r="E7" s="338"/>
      <c r="F7" s="338"/>
      <c r="G7" s="338"/>
      <c r="H7" s="338"/>
      <c r="I7" s="338"/>
      <c r="J7" s="338"/>
      <c r="K7" s="338"/>
      <c r="L7" s="338"/>
      <c r="M7" s="338"/>
    </row>
    <row r="8" customFormat="false" ht="12" hidden="false" customHeight="false" outlineLevel="0" collapsed="false">
      <c r="B8" s="338"/>
      <c r="C8" s="338"/>
      <c r="D8" s="338"/>
      <c r="E8" s="338"/>
      <c r="F8" s="338"/>
      <c r="G8" s="338"/>
      <c r="H8" s="338"/>
      <c r="I8" s="338"/>
      <c r="J8" s="338"/>
      <c r="K8" s="338"/>
      <c r="L8" s="338"/>
      <c r="M8" s="338"/>
    </row>
    <row r="9" customFormat="false" ht="12" hidden="false" customHeight="false" outlineLevel="0" collapsed="false">
      <c r="B9" s="338"/>
      <c r="C9" s="338"/>
      <c r="D9" s="338"/>
      <c r="E9" s="338"/>
      <c r="F9" s="338"/>
      <c r="G9" s="338"/>
      <c r="H9" s="338"/>
      <c r="I9" s="338"/>
      <c r="J9" s="338"/>
      <c r="K9" s="338"/>
      <c r="L9" s="338"/>
      <c r="M9" s="338"/>
    </row>
    <row r="10" customFormat="false" ht="12" hidden="false" customHeight="false" outlineLevel="0" collapsed="false">
      <c r="B10" s="338"/>
      <c r="C10" s="338"/>
      <c r="D10" s="338"/>
      <c r="E10" s="338"/>
      <c r="F10" s="338"/>
      <c r="G10" s="338"/>
      <c r="H10" s="338"/>
      <c r="I10" s="338"/>
      <c r="J10" s="338"/>
    </row>
    <row r="11" customFormat="false" ht="12" hidden="false" customHeight="false" outlineLevel="0" collapsed="false">
      <c r="B11" s="338"/>
      <c r="C11" s="338"/>
      <c r="D11" s="338"/>
      <c r="E11" s="338"/>
      <c r="F11" s="338"/>
      <c r="G11" s="338"/>
      <c r="H11" s="338"/>
      <c r="I11" s="338"/>
      <c r="J11" s="338"/>
    </row>
    <row r="12" customFormat="false" ht="12" hidden="false" customHeight="false" outlineLevel="0" collapsed="false">
      <c r="B12" s="338"/>
      <c r="C12" s="338"/>
      <c r="D12" s="338"/>
      <c r="E12" s="338"/>
      <c r="F12" s="338"/>
      <c r="G12" s="338"/>
      <c r="H12" s="338"/>
      <c r="I12" s="338"/>
      <c r="J12" s="338"/>
    </row>
    <row r="13" customFormat="false" ht="12" hidden="false" customHeight="false" outlineLevel="0" collapsed="false">
      <c r="B13" s="338"/>
      <c r="C13" s="338"/>
      <c r="D13" s="338"/>
      <c r="E13" s="338"/>
      <c r="F13" s="338"/>
      <c r="G13" s="338"/>
      <c r="H13" s="338"/>
      <c r="I13" s="338"/>
      <c r="J13" s="338"/>
    </row>
    <row r="14" customFormat="false" ht="12" hidden="false" customHeight="false" outlineLevel="0" collapsed="false">
      <c r="B14" s="338"/>
      <c r="C14" s="338"/>
      <c r="D14" s="338"/>
      <c r="E14" s="338"/>
      <c r="F14" s="338"/>
      <c r="G14" s="338"/>
      <c r="H14" s="338"/>
      <c r="I14" s="338"/>
      <c r="J14" s="338"/>
    </row>
    <row r="15" customFormat="false" ht="12" hidden="false" customHeight="false" outlineLevel="0" collapsed="false">
      <c r="B15" s="338"/>
      <c r="C15" s="338"/>
      <c r="D15" s="338"/>
      <c r="E15" s="338"/>
      <c r="F15" s="338"/>
      <c r="G15" s="338"/>
      <c r="H15" s="338"/>
      <c r="I15" s="338"/>
      <c r="J15" s="338"/>
      <c r="K15" s="338"/>
      <c r="L15" s="338"/>
      <c r="M15" s="338"/>
    </row>
    <row r="16" customFormat="false" ht="12" hidden="false" customHeight="false" outlineLevel="0" collapsed="false">
      <c r="B16" s="338"/>
      <c r="C16" s="338"/>
      <c r="D16" s="338"/>
      <c r="E16" s="338"/>
      <c r="F16" s="338"/>
      <c r="G16" s="338"/>
      <c r="H16" s="338"/>
      <c r="I16" s="338"/>
      <c r="J16" s="338"/>
      <c r="K16" s="338"/>
      <c r="L16" s="338"/>
      <c r="M16" s="338"/>
    </row>
    <row r="17" customFormat="false" ht="12" hidden="false" customHeight="false" outlineLevel="0" collapsed="false">
      <c r="B17" s="338"/>
      <c r="C17" s="338"/>
      <c r="D17" s="338"/>
      <c r="E17" s="338"/>
      <c r="F17" s="338"/>
      <c r="G17" s="338"/>
      <c r="H17" s="338"/>
      <c r="I17" s="338"/>
      <c r="J17" s="338"/>
      <c r="K17" s="338"/>
      <c r="L17" s="338"/>
      <c r="M17" s="338"/>
    </row>
    <row r="18" customFormat="false" ht="12" hidden="false" customHeight="false" outlineLevel="0" collapsed="false">
      <c r="B18" s="338"/>
      <c r="C18" s="338"/>
      <c r="D18" s="338"/>
      <c r="E18" s="338"/>
      <c r="F18" s="338"/>
      <c r="G18" s="338"/>
      <c r="H18" s="338"/>
      <c r="I18" s="338"/>
      <c r="J18" s="338"/>
      <c r="K18" s="338"/>
      <c r="L18" s="338"/>
      <c r="M18" s="338"/>
      <c r="N18" s="338"/>
      <c r="O18" s="338"/>
      <c r="P18" s="338"/>
      <c r="Q18" s="338"/>
      <c r="R18" s="338"/>
      <c r="S18" s="338"/>
      <c r="T18" s="338"/>
      <c r="U18" s="338"/>
      <c r="V18" s="338"/>
      <c r="W18" s="338"/>
      <c r="X18" s="338"/>
      <c r="Y18" s="338"/>
    </row>
    <row r="19" customFormat="false" ht="12" hidden="false" customHeight="false" outlineLevel="0" collapsed="false">
      <c r="B19" s="338"/>
      <c r="C19" s="338"/>
      <c r="D19" s="338"/>
      <c r="E19" s="338"/>
      <c r="F19" s="338"/>
      <c r="G19" s="338"/>
      <c r="H19" s="338"/>
      <c r="I19" s="338"/>
      <c r="J19" s="338"/>
      <c r="K19" s="338"/>
      <c r="L19" s="338"/>
      <c r="M19" s="338"/>
      <c r="N19" s="338"/>
      <c r="O19" s="338"/>
      <c r="P19" s="338"/>
      <c r="Q19" s="338"/>
      <c r="R19" s="338"/>
      <c r="S19" s="338"/>
      <c r="T19" s="338"/>
      <c r="U19" s="338"/>
      <c r="V19" s="338"/>
      <c r="W19" s="338"/>
      <c r="X19" s="338"/>
      <c r="Y19" s="338"/>
    </row>
    <row r="20" customFormat="false" ht="12" hidden="false" customHeight="false" outlineLevel="0" collapsed="false">
      <c r="B20" s="338"/>
      <c r="C20" s="338"/>
      <c r="D20" s="338"/>
      <c r="E20" s="338"/>
      <c r="F20" s="338"/>
      <c r="G20" s="338"/>
      <c r="H20" s="338"/>
      <c r="I20" s="338"/>
      <c r="J20" s="338"/>
      <c r="K20" s="338"/>
      <c r="L20" s="338"/>
      <c r="M20" s="338"/>
      <c r="N20" s="338"/>
      <c r="O20" s="338"/>
      <c r="P20" s="338"/>
      <c r="Q20" s="338"/>
      <c r="R20" s="338"/>
      <c r="S20" s="338"/>
      <c r="T20" s="338"/>
      <c r="U20" s="338"/>
      <c r="V20" s="338"/>
      <c r="W20" s="338"/>
      <c r="X20" s="338"/>
      <c r="Y20" s="338"/>
    </row>
    <row r="21" customFormat="false" ht="12" hidden="false" customHeight="false" outlineLevel="0" collapsed="false">
      <c r="B21" s="338"/>
      <c r="C21" s="338"/>
      <c r="D21" s="338"/>
      <c r="E21" s="338"/>
      <c r="F21" s="338"/>
      <c r="G21" s="338"/>
      <c r="H21" s="338"/>
      <c r="I21" s="338"/>
      <c r="J21" s="338"/>
      <c r="K21" s="338"/>
      <c r="L21" s="338"/>
      <c r="M21" s="338"/>
      <c r="N21" s="338"/>
      <c r="O21" s="338"/>
      <c r="P21" s="338"/>
      <c r="Q21" s="338"/>
      <c r="R21" s="338"/>
      <c r="S21" s="338"/>
      <c r="T21" s="338"/>
      <c r="U21" s="338"/>
      <c r="V21" s="338"/>
      <c r="W21" s="338"/>
      <c r="X21" s="338"/>
      <c r="Y21" s="338"/>
    </row>
    <row r="22" customFormat="false" ht="12" hidden="false" customHeight="false" outlineLevel="0" collapsed="false">
      <c r="B22" s="338"/>
      <c r="C22" s="338"/>
      <c r="D22" s="338"/>
      <c r="E22" s="338"/>
      <c r="F22" s="338"/>
      <c r="G22" s="338"/>
      <c r="H22" s="338"/>
      <c r="I22" s="338"/>
      <c r="J22" s="338"/>
      <c r="K22" s="338"/>
      <c r="L22" s="338"/>
      <c r="M22" s="338"/>
      <c r="N22" s="338"/>
      <c r="O22" s="338"/>
      <c r="P22" s="338"/>
      <c r="Q22" s="338"/>
      <c r="R22" s="338"/>
      <c r="S22" s="338"/>
      <c r="T22" s="338"/>
      <c r="U22" s="338"/>
      <c r="V22" s="338"/>
      <c r="W22" s="338"/>
      <c r="X22" s="338"/>
      <c r="Y22" s="338"/>
    </row>
    <row r="23" customFormat="false" ht="12" hidden="false" customHeight="false" outlineLevel="0" collapsed="false">
      <c r="B23" s="338"/>
      <c r="C23" s="338"/>
      <c r="D23" s="338"/>
      <c r="E23" s="338"/>
      <c r="F23" s="338"/>
      <c r="G23" s="338"/>
      <c r="H23" s="338"/>
      <c r="I23" s="338"/>
      <c r="J23" s="338"/>
      <c r="K23" s="338"/>
      <c r="L23" s="338"/>
      <c r="M23" s="338"/>
      <c r="N23" s="338"/>
      <c r="O23" s="338"/>
      <c r="P23" s="338"/>
      <c r="Q23" s="338"/>
      <c r="R23" s="338"/>
      <c r="S23" s="338"/>
      <c r="T23" s="338"/>
      <c r="U23" s="338"/>
      <c r="V23" s="338"/>
      <c r="W23" s="338"/>
      <c r="X23" s="338"/>
      <c r="Y23" s="338"/>
    </row>
    <row r="25" customFormat="false" ht="13.5" hidden="false" customHeight="false" outlineLevel="0" collapsed="false">
      <c r="A25" s="171" t="s">
        <v>223</v>
      </c>
    </row>
    <row r="26" customFormat="false" ht="13.5" hidden="false" customHeight="false" outlineLevel="0" collapsed="false">
      <c r="A26" s="339" t="s">
        <v>224</v>
      </c>
      <c r="B26" s="340" t="n">
        <f aca="false">ROW(A26)</f>
        <v>26</v>
      </c>
      <c r="C26" s="323" t="s">
        <v>212</v>
      </c>
      <c r="D26" s="324" t="n">
        <f aca="false">SUM(B29:Y29)</f>
        <v>9.845</v>
      </c>
      <c r="E26" s="323" t="s">
        <v>213</v>
      </c>
      <c r="F26" s="330" t="n">
        <f aca="false">D26/g/J26</f>
        <v>3.34522595990486</v>
      </c>
      <c r="G26" s="323" t="s">
        <v>214</v>
      </c>
      <c r="H26" s="341" t="n">
        <v>0.3</v>
      </c>
      <c r="I26" s="323" t="s">
        <v>225</v>
      </c>
      <c r="J26" s="326" t="n">
        <f aca="false">H26-L26</f>
        <v>0.3</v>
      </c>
      <c r="K26" s="323" t="s">
        <v>226</v>
      </c>
      <c r="L26" s="341" t="n">
        <v>0</v>
      </c>
      <c r="M26" s="323" t="s">
        <v>217</v>
      </c>
      <c r="N26" s="342" t="n">
        <f aca="false">0.2*R26</f>
        <v>60</v>
      </c>
      <c r="O26" s="323" t="s">
        <v>218</v>
      </c>
      <c r="P26" s="342" t="n">
        <v>150</v>
      </c>
      <c r="Q26" s="323" t="s">
        <v>219</v>
      </c>
      <c r="R26" s="342" t="n">
        <v>300</v>
      </c>
      <c r="S26" s="323" t="s">
        <v>220</v>
      </c>
      <c r="T26" s="342" t="n">
        <v>90</v>
      </c>
      <c r="U26" s="323" t="s">
        <v>8</v>
      </c>
      <c r="V26" s="343" t="s">
        <v>223</v>
      </c>
      <c r="W26" s="338"/>
      <c r="X26" s="338"/>
      <c r="Y26" s="338"/>
    </row>
    <row r="27" customFormat="false" ht="12" hidden="false" customHeight="false" outlineLevel="0" collapsed="false">
      <c r="A27" s="321" t="s">
        <v>227</v>
      </c>
      <c r="B27" s="344" t="n">
        <v>0</v>
      </c>
      <c r="C27" s="345" t="n">
        <v>0.001</v>
      </c>
      <c r="D27" s="345" t="n">
        <v>0.02</v>
      </c>
      <c r="E27" s="345" t="n">
        <v>0.038</v>
      </c>
      <c r="F27" s="345" t="n">
        <v>0.04</v>
      </c>
      <c r="G27" s="345" t="n">
        <v>0.04</v>
      </c>
      <c r="H27" s="345" t="n">
        <v>0.04</v>
      </c>
      <c r="I27" s="345" t="n">
        <v>0.04</v>
      </c>
      <c r="J27" s="345" t="n">
        <v>0.04</v>
      </c>
      <c r="K27" s="345" t="n">
        <v>0.04</v>
      </c>
      <c r="L27" s="345" t="n">
        <v>0.04</v>
      </c>
      <c r="M27" s="345" t="n">
        <v>0.04</v>
      </c>
      <c r="N27" s="345" t="n">
        <v>0.04</v>
      </c>
      <c r="O27" s="345" t="n">
        <v>0.04</v>
      </c>
      <c r="P27" s="345" t="n">
        <v>0.04</v>
      </c>
      <c r="Q27" s="345" t="n">
        <v>0.04</v>
      </c>
      <c r="R27" s="345" t="n">
        <v>0.04</v>
      </c>
      <c r="S27" s="345" t="n">
        <v>0.04</v>
      </c>
      <c r="T27" s="345" t="n">
        <v>0.04</v>
      </c>
      <c r="U27" s="345" t="n">
        <v>0.04</v>
      </c>
      <c r="V27" s="345" t="n">
        <v>0.04</v>
      </c>
      <c r="W27" s="345" t="n">
        <v>0.04</v>
      </c>
      <c r="X27" s="345" t="n">
        <v>0.04</v>
      </c>
      <c r="Y27" s="333" t="n">
        <v>1000</v>
      </c>
    </row>
    <row r="28" customFormat="false" ht="12" hidden="false" customHeight="false" outlineLevel="0" collapsed="false">
      <c r="A28" s="346" t="s">
        <v>228</v>
      </c>
      <c r="B28" s="347" t="n">
        <v>0</v>
      </c>
      <c r="C28" s="348" t="n">
        <v>310</v>
      </c>
      <c r="D28" s="348" t="n">
        <v>250</v>
      </c>
      <c r="E28" s="348" t="n">
        <v>212</v>
      </c>
      <c r="F28" s="348" t="n">
        <v>0</v>
      </c>
      <c r="G28" s="348" t="n">
        <v>0</v>
      </c>
      <c r="H28" s="348" t="n">
        <v>0</v>
      </c>
      <c r="I28" s="348" t="n">
        <v>0</v>
      </c>
      <c r="J28" s="348" t="n">
        <v>0</v>
      </c>
      <c r="K28" s="348" t="n">
        <v>0</v>
      </c>
      <c r="L28" s="348" t="n">
        <v>0</v>
      </c>
      <c r="M28" s="348" t="n">
        <v>0</v>
      </c>
      <c r="N28" s="348" t="n">
        <v>0</v>
      </c>
      <c r="O28" s="348" t="n">
        <v>0</v>
      </c>
      <c r="P28" s="348" t="n">
        <v>0</v>
      </c>
      <c r="Q28" s="348" t="n">
        <v>0</v>
      </c>
      <c r="R28" s="348" t="n">
        <v>0</v>
      </c>
      <c r="S28" s="348" t="n">
        <v>0</v>
      </c>
      <c r="T28" s="348" t="n">
        <v>0</v>
      </c>
      <c r="U28" s="348" t="n">
        <v>0</v>
      </c>
      <c r="V28" s="348" t="n">
        <v>0</v>
      </c>
      <c r="W28" s="348" t="n">
        <v>0</v>
      </c>
      <c r="X28" s="348" t="n">
        <v>0</v>
      </c>
      <c r="Y28" s="349" t="n">
        <v>0</v>
      </c>
    </row>
    <row r="29" customFormat="false" ht="12.75" hidden="false" customHeight="false" outlineLevel="0" collapsed="false">
      <c r="A29" s="334" t="s">
        <v>229</v>
      </c>
      <c r="B29" s="350" t="n">
        <f aca="false">(C28+B28)*(C27-B27)/2</f>
        <v>0.155</v>
      </c>
      <c r="C29" s="351" t="n">
        <f aca="false">(D28+C28)*(D27-C27)/2</f>
        <v>5.32</v>
      </c>
      <c r="D29" s="351" t="n">
        <f aca="false">(E28+D28)*(E27-D27)/2</f>
        <v>4.158</v>
      </c>
      <c r="E29" s="351" t="n">
        <f aca="false">(F28+E28)*(F27-E27)/2</f>
        <v>0.212</v>
      </c>
      <c r="F29" s="351" t="n">
        <f aca="false">(G28+F28)*(G27-F27)/2</f>
        <v>0</v>
      </c>
      <c r="G29" s="351" t="n">
        <f aca="false">(H28+G28)*(H27-G27)/2</f>
        <v>0</v>
      </c>
      <c r="H29" s="351" t="n">
        <f aca="false">(I28+H28)*(I27-H27)/2</f>
        <v>0</v>
      </c>
      <c r="I29" s="351" t="n">
        <f aca="false">(J28+I28)*(J27-I27)/2</f>
        <v>0</v>
      </c>
      <c r="J29" s="351" t="n">
        <f aca="false">(K28+J28)*(K27-J27)/2</f>
        <v>0</v>
      </c>
      <c r="K29" s="351" t="n">
        <f aca="false">(L28+K28)*(L27-K27)/2</f>
        <v>0</v>
      </c>
      <c r="L29" s="351" t="n">
        <f aca="false">(M28+L28)*(M27-L27)/2</f>
        <v>0</v>
      </c>
      <c r="M29" s="351" t="n">
        <f aca="false">(N28+M28)*(N27-M27)/2</f>
        <v>0</v>
      </c>
      <c r="N29" s="351" t="n">
        <f aca="false">(O28+N28)*(O27-N27)/2</f>
        <v>0</v>
      </c>
      <c r="O29" s="351" t="n">
        <f aca="false">(P28+O28)*(P27-O27)/2</f>
        <v>0</v>
      </c>
      <c r="P29" s="351" t="n">
        <f aca="false">(Q28+P28)*(Q27-P27)/2</f>
        <v>0</v>
      </c>
      <c r="Q29" s="351" t="n">
        <f aca="false">(R28+Q28)*(R27-Q27)/2</f>
        <v>0</v>
      </c>
      <c r="R29" s="351" t="n">
        <f aca="false">(S28+R28)*(S27-R27)/2</f>
        <v>0</v>
      </c>
      <c r="S29" s="351" t="n">
        <f aca="false">(T28+S28)*(T27-S27)/2</f>
        <v>0</v>
      </c>
      <c r="T29" s="351" t="n">
        <f aca="false">(U28+T28)*(U27-T27)/2</f>
        <v>0</v>
      </c>
      <c r="U29" s="351" t="n">
        <f aca="false">(V28+U28)*(V27-U27)/2</f>
        <v>0</v>
      </c>
      <c r="V29" s="351" t="n">
        <f aca="false">(W28+V28)*(W27-V27)/2</f>
        <v>0</v>
      </c>
      <c r="W29" s="351" t="n">
        <f aca="false">(X28+W28)*(X27-W27)/2</f>
        <v>0</v>
      </c>
      <c r="X29" s="351" t="n">
        <f aca="false">(Y28+X28)*(Y27-X27)/2</f>
        <v>0</v>
      </c>
      <c r="Y29" s="337"/>
    </row>
    <row r="30" customFormat="false" ht="12.75" hidden="false" customHeight="false" outlineLevel="0" collapsed="false">
      <c r="A30" s="338"/>
      <c r="L30" s="338"/>
      <c r="M30" s="338"/>
      <c r="N30" s="338"/>
      <c r="O30" s="338"/>
      <c r="P30" s="338"/>
      <c r="Q30" s="338"/>
      <c r="R30" s="338"/>
      <c r="S30" s="338"/>
      <c r="T30" s="338"/>
      <c r="U30" s="338"/>
      <c r="V30" s="338"/>
      <c r="W30" s="338"/>
      <c r="X30" s="338"/>
      <c r="Y30" s="338"/>
    </row>
    <row r="31" customFormat="false" ht="13.5" hidden="false" customHeight="false" outlineLevel="0" collapsed="false">
      <c r="A31" s="339" t="s">
        <v>230</v>
      </c>
      <c r="B31" s="340" t="n">
        <f aca="false">ROW(A31)</f>
        <v>31</v>
      </c>
      <c r="C31" s="323" t="s">
        <v>212</v>
      </c>
      <c r="D31" s="324" t="n">
        <f aca="false">SUM(B34:Y34)</f>
        <v>13.8145</v>
      </c>
      <c r="E31" s="323" t="s">
        <v>213</v>
      </c>
      <c r="F31" s="330" t="n">
        <f aca="false">D31/g/J31</f>
        <v>3.12934647185412</v>
      </c>
      <c r="G31" s="323" t="s">
        <v>214</v>
      </c>
      <c r="H31" s="341" t="n">
        <v>0.45</v>
      </c>
      <c r="I31" s="323" t="s">
        <v>225</v>
      </c>
      <c r="J31" s="326" t="n">
        <f aca="false">H31-L31</f>
        <v>0.45</v>
      </c>
      <c r="K31" s="323" t="s">
        <v>226</v>
      </c>
      <c r="L31" s="341" t="n">
        <v>0</v>
      </c>
      <c r="M31" s="323" t="s">
        <v>217</v>
      </c>
      <c r="N31" s="342" t="n">
        <f aca="false">0.3*R31</f>
        <v>90</v>
      </c>
      <c r="O31" s="323" t="s">
        <v>218</v>
      </c>
      <c r="P31" s="342" t="n">
        <v>150</v>
      </c>
      <c r="Q31" s="323" t="s">
        <v>219</v>
      </c>
      <c r="R31" s="342" t="n">
        <v>300</v>
      </c>
      <c r="S31" s="323" t="s">
        <v>220</v>
      </c>
      <c r="T31" s="342" t="n">
        <v>90</v>
      </c>
      <c r="U31" s="323" t="s">
        <v>8</v>
      </c>
      <c r="V31" s="343" t="s">
        <v>223</v>
      </c>
      <c r="W31" s="338"/>
      <c r="X31" s="338"/>
      <c r="Y31" s="338"/>
    </row>
    <row r="32" customFormat="false" ht="12" hidden="false" customHeight="false" outlineLevel="0" collapsed="false">
      <c r="A32" s="321" t="s">
        <v>227</v>
      </c>
      <c r="B32" s="344" t="n">
        <v>0</v>
      </c>
      <c r="C32" s="345" t="n">
        <v>0.001</v>
      </c>
      <c r="D32" s="345" t="n">
        <v>0.02</v>
      </c>
      <c r="E32" s="345" t="n">
        <v>0.04</v>
      </c>
      <c r="F32" s="345" t="n">
        <v>0.061</v>
      </c>
      <c r="G32" s="345" t="n">
        <v>0.062</v>
      </c>
      <c r="H32" s="345" t="n">
        <v>0.062</v>
      </c>
      <c r="I32" s="345" t="n">
        <v>0.062</v>
      </c>
      <c r="J32" s="345" t="n">
        <v>0.062</v>
      </c>
      <c r="K32" s="345" t="n">
        <v>0.062</v>
      </c>
      <c r="L32" s="345" t="n">
        <v>0.062</v>
      </c>
      <c r="M32" s="345" t="n">
        <v>0.062</v>
      </c>
      <c r="N32" s="345" t="n">
        <v>0.062</v>
      </c>
      <c r="O32" s="345" t="n">
        <v>0.062</v>
      </c>
      <c r="P32" s="345" t="n">
        <v>0.062</v>
      </c>
      <c r="Q32" s="345" t="n">
        <v>0.062</v>
      </c>
      <c r="R32" s="345" t="n">
        <v>0.062</v>
      </c>
      <c r="S32" s="345" t="n">
        <v>0.062</v>
      </c>
      <c r="T32" s="345" t="n">
        <v>0.062</v>
      </c>
      <c r="U32" s="345" t="n">
        <v>0.062</v>
      </c>
      <c r="V32" s="345" t="n">
        <v>0.062</v>
      </c>
      <c r="W32" s="345" t="n">
        <v>0.062</v>
      </c>
      <c r="X32" s="345" t="n">
        <v>0.062</v>
      </c>
      <c r="Y32" s="333" t="n">
        <v>1000</v>
      </c>
    </row>
    <row r="33" customFormat="false" ht="12" hidden="false" customHeight="false" outlineLevel="0" collapsed="false">
      <c r="A33" s="346" t="s">
        <v>228</v>
      </c>
      <c r="B33" s="347" t="n">
        <v>0</v>
      </c>
      <c r="C33" s="348" t="n">
        <v>310</v>
      </c>
      <c r="D33" s="348" t="n">
        <v>245</v>
      </c>
      <c r="E33" s="348" t="n">
        <v>200</v>
      </c>
      <c r="F33" s="348" t="n">
        <v>167</v>
      </c>
      <c r="G33" s="348" t="n">
        <v>0</v>
      </c>
      <c r="H33" s="348" t="n">
        <v>0</v>
      </c>
      <c r="I33" s="348" t="n">
        <v>0</v>
      </c>
      <c r="J33" s="348" t="n">
        <v>0</v>
      </c>
      <c r="K33" s="348" t="n">
        <v>0</v>
      </c>
      <c r="L33" s="348" t="n">
        <v>0</v>
      </c>
      <c r="M33" s="348" t="n">
        <v>0</v>
      </c>
      <c r="N33" s="348" t="n">
        <v>0</v>
      </c>
      <c r="O33" s="348" t="n">
        <v>0</v>
      </c>
      <c r="P33" s="348" t="n">
        <v>0</v>
      </c>
      <c r="Q33" s="348" t="n">
        <v>0</v>
      </c>
      <c r="R33" s="348" t="n">
        <v>0</v>
      </c>
      <c r="S33" s="348" t="n">
        <v>0</v>
      </c>
      <c r="T33" s="348" t="n">
        <v>0</v>
      </c>
      <c r="U33" s="348" t="n">
        <v>0</v>
      </c>
      <c r="V33" s="348" t="n">
        <v>0</v>
      </c>
      <c r="W33" s="348" t="n">
        <v>0</v>
      </c>
      <c r="X33" s="348" t="n">
        <v>0</v>
      </c>
      <c r="Y33" s="349" t="n">
        <v>0</v>
      </c>
    </row>
    <row r="34" customFormat="false" ht="12.75" hidden="false" customHeight="false" outlineLevel="0" collapsed="false">
      <c r="A34" s="334" t="s">
        <v>229</v>
      </c>
      <c r="B34" s="350" t="n">
        <f aca="false">(C33+B33)*(C32-B32)/2</f>
        <v>0.155</v>
      </c>
      <c r="C34" s="351" t="n">
        <f aca="false">(D33+C33)*(D32-C32)/2</f>
        <v>5.2725</v>
      </c>
      <c r="D34" s="351" t="n">
        <f aca="false">(E33+D33)*(E32-D32)/2</f>
        <v>4.45</v>
      </c>
      <c r="E34" s="351" t="n">
        <f aca="false">(F33+E33)*(F32-E32)/2</f>
        <v>3.8535</v>
      </c>
      <c r="F34" s="351" t="n">
        <f aca="false">(G33+F33)*(G32-F32)/2</f>
        <v>0.0835000000000001</v>
      </c>
      <c r="G34" s="351" t="n">
        <f aca="false">(H33+G33)*(H32-G32)/2</f>
        <v>0</v>
      </c>
      <c r="H34" s="351" t="n">
        <f aca="false">(I33+H33)*(I32-H32)/2</f>
        <v>0</v>
      </c>
      <c r="I34" s="351" t="n">
        <f aca="false">(J33+I33)*(J32-I32)/2</f>
        <v>0</v>
      </c>
      <c r="J34" s="351" t="n">
        <f aca="false">(K33+J33)*(K32-J32)/2</f>
        <v>0</v>
      </c>
      <c r="K34" s="351" t="n">
        <f aca="false">(L33+K33)*(L32-K32)/2</f>
        <v>0</v>
      </c>
      <c r="L34" s="351" t="n">
        <f aca="false">(M33+L33)*(M32-L32)/2</f>
        <v>0</v>
      </c>
      <c r="M34" s="351" t="n">
        <f aca="false">(N33+M33)*(N32-M32)/2</f>
        <v>0</v>
      </c>
      <c r="N34" s="351" t="n">
        <f aca="false">(O33+N33)*(O32-N32)/2</f>
        <v>0</v>
      </c>
      <c r="O34" s="351" t="n">
        <f aca="false">(P33+O33)*(P32-O32)/2</f>
        <v>0</v>
      </c>
      <c r="P34" s="351" t="n">
        <f aca="false">(Q33+P33)*(Q32-P32)/2</f>
        <v>0</v>
      </c>
      <c r="Q34" s="351" t="n">
        <f aca="false">(R33+Q33)*(R32-Q32)/2</f>
        <v>0</v>
      </c>
      <c r="R34" s="351" t="n">
        <f aca="false">(S33+R33)*(S32-R32)/2</f>
        <v>0</v>
      </c>
      <c r="S34" s="351" t="n">
        <f aca="false">(T33+S33)*(T32-S32)/2</f>
        <v>0</v>
      </c>
      <c r="T34" s="351" t="n">
        <f aca="false">(U33+T33)*(U32-T32)/2</f>
        <v>0</v>
      </c>
      <c r="U34" s="351" t="n">
        <f aca="false">(V33+U33)*(V32-U32)/2</f>
        <v>0</v>
      </c>
      <c r="V34" s="351" t="n">
        <f aca="false">(W33+V33)*(W32-V32)/2</f>
        <v>0</v>
      </c>
      <c r="W34" s="351" t="n">
        <f aca="false">(X33+W33)*(X32-W32)/2</f>
        <v>0</v>
      </c>
      <c r="X34" s="351" t="n">
        <f aca="false">(Y33+X33)*(Y32-X32)/2</f>
        <v>0</v>
      </c>
      <c r="Y34" s="337"/>
    </row>
    <row r="35" customFormat="false" ht="12.75" hidden="false" customHeight="false" outlineLevel="0" collapsed="false">
      <c r="B35" s="338"/>
      <c r="C35" s="338"/>
      <c r="D35" s="338"/>
      <c r="E35" s="338"/>
      <c r="F35" s="338"/>
      <c r="G35" s="338"/>
      <c r="H35" s="338"/>
      <c r="I35" s="338"/>
      <c r="J35" s="338"/>
      <c r="K35" s="338"/>
      <c r="L35" s="338"/>
      <c r="M35" s="338"/>
      <c r="N35" s="338"/>
      <c r="O35" s="338"/>
      <c r="P35" s="338"/>
      <c r="Q35" s="338"/>
      <c r="R35" s="338"/>
      <c r="S35" s="338"/>
      <c r="T35" s="338"/>
      <c r="U35" s="338"/>
      <c r="V35" s="338"/>
      <c r="W35" s="338"/>
      <c r="X35" s="338"/>
      <c r="Y35" s="338"/>
    </row>
    <row r="36" customFormat="false" ht="13.5" hidden="false" customHeight="false" outlineLevel="0" collapsed="false">
      <c r="A36" s="339" t="s">
        <v>231</v>
      </c>
      <c r="B36" s="340" t="n">
        <f aca="false">ROW(A36)</f>
        <v>36</v>
      </c>
      <c r="C36" s="323" t="s">
        <v>212</v>
      </c>
      <c r="D36" s="324" t="n">
        <f aca="false">SUM(B39:Y39)</f>
        <v>17.1445</v>
      </c>
      <c r="E36" s="323" t="s">
        <v>213</v>
      </c>
      <c r="F36" s="330" t="n">
        <f aca="false">D36/g/J36</f>
        <v>2.91275908936459</v>
      </c>
      <c r="G36" s="323" t="s">
        <v>214</v>
      </c>
      <c r="H36" s="341" t="n">
        <v>0.6</v>
      </c>
      <c r="I36" s="323" t="s">
        <v>225</v>
      </c>
      <c r="J36" s="326" t="n">
        <f aca="false">H36-L36</f>
        <v>0.6</v>
      </c>
      <c r="K36" s="323" t="s">
        <v>226</v>
      </c>
      <c r="L36" s="341" t="n">
        <v>0</v>
      </c>
      <c r="M36" s="323" t="s">
        <v>217</v>
      </c>
      <c r="N36" s="342" t="n">
        <f aca="false">0.4*R36</f>
        <v>120</v>
      </c>
      <c r="O36" s="323" t="s">
        <v>218</v>
      </c>
      <c r="P36" s="342" t="n">
        <v>150</v>
      </c>
      <c r="Q36" s="323" t="s">
        <v>219</v>
      </c>
      <c r="R36" s="342" t="n">
        <v>300</v>
      </c>
      <c r="S36" s="323" t="s">
        <v>220</v>
      </c>
      <c r="T36" s="342" t="n">
        <v>90</v>
      </c>
      <c r="U36" s="323" t="s">
        <v>8</v>
      </c>
      <c r="V36" s="343" t="s">
        <v>223</v>
      </c>
      <c r="W36" s="338"/>
      <c r="X36" s="338"/>
      <c r="Y36" s="338"/>
    </row>
    <row r="37" customFormat="false" ht="12" hidden="false" customHeight="false" outlineLevel="0" collapsed="false">
      <c r="A37" s="321" t="s">
        <v>227</v>
      </c>
      <c r="B37" s="344" t="n">
        <v>0</v>
      </c>
      <c r="C37" s="345" t="n">
        <v>0.001</v>
      </c>
      <c r="D37" s="345" t="n">
        <v>0.02</v>
      </c>
      <c r="E37" s="345" t="n">
        <v>0.04</v>
      </c>
      <c r="F37" s="345" t="n">
        <v>0.06</v>
      </c>
      <c r="G37" s="345" t="n">
        <v>0.08</v>
      </c>
      <c r="H37" s="345" t="n">
        <v>0.088</v>
      </c>
      <c r="I37" s="345" t="n">
        <v>0.089</v>
      </c>
      <c r="J37" s="345" t="n">
        <v>0.089</v>
      </c>
      <c r="K37" s="345" t="n">
        <v>0.089</v>
      </c>
      <c r="L37" s="345" t="n">
        <v>0.089</v>
      </c>
      <c r="M37" s="345" t="n">
        <v>0.089</v>
      </c>
      <c r="N37" s="345" t="n">
        <v>0.089</v>
      </c>
      <c r="O37" s="345" t="n">
        <v>0.089</v>
      </c>
      <c r="P37" s="345" t="n">
        <v>0.089</v>
      </c>
      <c r="Q37" s="345" t="n">
        <v>0.089</v>
      </c>
      <c r="R37" s="345" t="n">
        <v>0.089</v>
      </c>
      <c r="S37" s="345" t="n">
        <v>0.089</v>
      </c>
      <c r="T37" s="345" t="n">
        <v>0.089</v>
      </c>
      <c r="U37" s="345" t="n">
        <v>0.089</v>
      </c>
      <c r="V37" s="345" t="n">
        <v>0.089</v>
      </c>
      <c r="W37" s="345" t="n">
        <v>0.089</v>
      </c>
      <c r="X37" s="345" t="n">
        <v>0.089</v>
      </c>
      <c r="Y37" s="333" t="n">
        <v>1000</v>
      </c>
    </row>
    <row r="38" customFormat="false" ht="12" hidden="false" customHeight="false" outlineLevel="0" collapsed="false">
      <c r="A38" s="346" t="s">
        <v>228</v>
      </c>
      <c r="B38" s="347" t="n">
        <v>0</v>
      </c>
      <c r="C38" s="348" t="n">
        <v>310</v>
      </c>
      <c r="D38" s="348" t="n">
        <v>240</v>
      </c>
      <c r="E38" s="348" t="n">
        <v>190</v>
      </c>
      <c r="F38" s="348" t="n">
        <v>157</v>
      </c>
      <c r="G38" s="348" t="n">
        <v>133</v>
      </c>
      <c r="H38" s="348" t="n">
        <v>125</v>
      </c>
      <c r="I38" s="348" t="n">
        <v>0</v>
      </c>
      <c r="J38" s="348" t="n">
        <v>0</v>
      </c>
      <c r="K38" s="348" t="n">
        <v>0</v>
      </c>
      <c r="L38" s="348" t="n">
        <v>0</v>
      </c>
      <c r="M38" s="348" t="n">
        <v>0</v>
      </c>
      <c r="N38" s="348" t="n">
        <v>0</v>
      </c>
      <c r="O38" s="348" t="n">
        <v>0</v>
      </c>
      <c r="P38" s="348" t="n">
        <v>0</v>
      </c>
      <c r="Q38" s="348" t="n">
        <v>0</v>
      </c>
      <c r="R38" s="348" t="n">
        <v>0</v>
      </c>
      <c r="S38" s="348" t="n">
        <v>0</v>
      </c>
      <c r="T38" s="348" t="n">
        <v>0</v>
      </c>
      <c r="U38" s="348" t="n">
        <v>0</v>
      </c>
      <c r="V38" s="348" t="n">
        <v>0</v>
      </c>
      <c r="W38" s="348" t="n">
        <v>0</v>
      </c>
      <c r="X38" s="348" t="n">
        <v>0</v>
      </c>
      <c r="Y38" s="349" t="n">
        <v>0</v>
      </c>
    </row>
    <row r="39" customFormat="false" ht="12.75" hidden="false" customHeight="false" outlineLevel="0" collapsed="false">
      <c r="A39" s="334" t="s">
        <v>229</v>
      </c>
      <c r="B39" s="350" t="n">
        <f aca="false">(C38+B38)*(C37-B37)/2</f>
        <v>0.155</v>
      </c>
      <c r="C39" s="351" t="n">
        <f aca="false">(D38+C38)*(D37-C37)/2</f>
        <v>5.225</v>
      </c>
      <c r="D39" s="351" t="n">
        <f aca="false">(E38+D38)*(E37-D37)/2</f>
        <v>4.3</v>
      </c>
      <c r="E39" s="351" t="n">
        <f aca="false">(F38+E38)*(F37-E37)/2</f>
        <v>3.47</v>
      </c>
      <c r="F39" s="351" t="n">
        <f aca="false">(G38+F38)*(G37-F37)/2</f>
        <v>2.9</v>
      </c>
      <c r="G39" s="351" t="n">
        <f aca="false">(H38+G38)*(H37-G37)/2</f>
        <v>1.032</v>
      </c>
      <c r="H39" s="351" t="n">
        <f aca="false">(I38+H38)*(I37-H37)/2</f>
        <v>0.0625000000000001</v>
      </c>
      <c r="I39" s="351" t="n">
        <f aca="false">(J38+I38)*(J37-I37)/2</f>
        <v>0</v>
      </c>
      <c r="J39" s="351" t="n">
        <f aca="false">(K38+J38)*(K37-J37)/2</f>
        <v>0</v>
      </c>
      <c r="K39" s="351" t="n">
        <f aca="false">(L38+K38)*(L37-K37)/2</f>
        <v>0</v>
      </c>
      <c r="L39" s="351" t="n">
        <f aca="false">(M38+L38)*(M37-L37)/2</f>
        <v>0</v>
      </c>
      <c r="M39" s="351" t="n">
        <f aca="false">(N38+M38)*(N37-M37)/2</f>
        <v>0</v>
      </c>
      <c r="N39" s="351" t="n">
        <f aca="false">(O38+N38)*(O37-N37)/2</f>
        <v>0</v>
      </c>
      <c r="O39" s="351" t="n">
        <f aca="false">(P38+O38)*(P37-O37)/2</f>
        <v>0</v>
      </c>
      <c r="P39" s="351" t="n">
        <f aca="false">(Q38+P38)*(Q37-P37)/2</f>
        <v>0</v>
      </c>
      <c r="Q39" s="351" t="n">
        <f aca="false">(R38+Q38)*(R37-Q37)/2</f>
        <v>0</v>
      </c>
      <c r="R39" s="351" t="n">
        <f aca="false">(S38+R38)*(S37-R37)/2</f>
        <v>0</v>
      </c>
      <c r="S39" s="351" t="n">
        <f aca="false">(T38+S38)*(T37-S37)/2</f>
        <v>0</v>
      </c>
      <c r="T39" s="351" t="n">
        <f aca="false">(U38+T38)*(U37-T37)/2</f>
        <v>0</v>
      </c>
      <c r="U39" s="351" t="n">
        <f aca="false">(V38+U38)*(V37-U37)/2</f>
        <v>0</v>
      </c>
      <c r="V39" s="351" t="n">
        <f aca="false">(W38+V38)*(W37-V37)/2</f>
        <v>0</v>
      </c>
      <c r="W39" s="351" t="n">
        <f aca="false">(X38+W38)*(X37-W37)/2</f>
        <v>0</v>
      </c>
      <c r="X39" s="351" t="n">
        <f aca="false">(Y38+X38)*(Y37-X37)/2</f>
        <v>0</v>
      </c>
      <c r="Y39" s="337"/>
    </row>
    <row r="40" customFormat="false" ht="12.75" hidden="false" customHeight="false" outlineLevel="0" collapsed="false">
      <c r="A40" s="338"/>
      <c r="L40" s="338"/>
      <c r="M40" s="338"/>
      <c r="N40" s="338"/>
      <c r="O40" s="338"/>
      <c r="P40" s="338"/>
      <c r="Q40" s="338"/>
      <c r="R40" s="338"/>
      <c r="S40" s="338"/>
      <c r="T40" s="338"/>
      <c r="U40" s="338"/>
      <c r="V40" s="338"/>
      <c r="W40" s="338"/>
      <c r="X40" s="338"/>
      <c r="Y40" s="338"/>
    </row>
    <row r="41" customFormat="false" ht="13.5" hidden="false" customHeight="false" outlineLevel="0" collapsed="false">
      <c r="A41" s="339" t="s">
        <v>232</v>
      </c>
      <c r="B41" s="340" t="n">
        <f aca="false">ROW(A41)</f>
        <v>41</v>
      </c>
      <c r="C41" s="323" t="s">
        <v>212</v>
      </c>
      <c r="D41" s="324" t="n">
        <f aca="false">SUM(B44:Y44)</f>
        <v>19.415</v>
      </c>
      <c r="E41" s="323" t="s">
        <v>213</v>
      </c>
      <c r="F41" s="330" t="n">
        <f aca="false">D41/g/J41</f>
        <v>2.63880394155624</v>
      </c>
      <c r="G41" s="323" t="s">
        <v>214</v>
      </c>
      <c r="H41" s="341" t="n">
        <v>0.75</v>
      </c>
      <c r="I41" s="323" t="s">
        <v>225</v>
      </c>
      <c r="J41" s="326" t="n">
        <f aca="false">H41-L41</f>
        <v>0.75</v>
      </c>
      <c r="K41" s="323" t="s">
        <v>226</v>
      </c>
      <c r="L41" s="341" t="n">
        <v>0</v>
      </c>
      <c r="M41" s="323" t="s">
        <v>217</v>
      </c>
      <c r="N41" s="342" t="n">
        <f aca="false">0.5*R41</f>
        <v>150</v>
      </c>
      <c r="O41" s="323" t="s">
        <v>218</v>
      </c>
      <c r="P41" s="342" t="n">
        <v>150</v>
      </c>
      <c r="Q41" s="323" t="s">
        <v>219</v>
      </c>
      <c r="R41" s="342" t="n">
        <v>300</v>
      </c>
      <c r="S41" s="323" t="s">
        <v>220</v>
      </c>
      <c r="T41" s="342" t="n">
        <v>90</v>
      </c>
      <c r="U41" s="323" t="s">
        <v>8</v>
      </c>
      <c r="V41" s="343" t="s">
        <v>223</v>
      </c>
      <c r="W41" s="338"/>
      <c r="X41" s="338"/>
      <c r="Y41" s="338"/>
    </row>
    <row r="42" customFormat="false" ht="12" hidden="false" customHeight="false" outlineLevel="0" collapsed="false">
      <c r="A42" s="321" t="s">
        <v>227</v>
      </c>
      <c r="B42" s="344" t="n">
        <v>0</v>
      </c>
      <c r="C42" s="345" t="n">
        <v>0.001</v>
      </c>
      <c r="D42" s="345" t="n">
        <v>0.02</v>
      </c>
      <c r="E42" s="345" t="n">
        <v>0.04</v>
      </c>
      <c r="F42" s="345" t="n">
        <v>0.06</v>
      </c>
      <c r="G42" s="345" t="n">
        <v>0.08</v>
      </c>
      <c r="H42" s="345" t="n">
        <v>0.1</v>
      </c>
      <c r="I42" s="345" t="n">
        <v>0.123</v>
      </c>
      <c r="J42" s="345" t="n">
        <v>0.124</v>
      </c>
      <c r="K42" s="345" t="n">
        <v>0.124</v>
      </c>
      <c r="L42" s="345" t="n">
        <v>0.124</v>
      </c>
      <c r="M42" s="345" t="n">
        <v>0.124</v>
      </c>
      <c r="N42" s="345" t="n">
        <v>0.124</v>
      </c>
      <c r="O42" s="345" t="n">
        <v>0.124</v>
      </c>
      <c r="P42" s="345" t="n">
        <v>0.124</v>
      </c>
      <c r="Q42" s="345" t="n">
        <v>0.124</v>
      </c>
      <c r="R42" s="345" t="n">
        <v>0.124</v>
      </c>
      <c r="S42" s="345" t="n">
        <v>0.124</v>
      </c>
      <c r="T42" s="345" t="n">
        <v>0.124</v>
      </c>
      <c r="U42" s="345" t="n">
        <v>0.124</v>
      </c>
      <c r="V42" s="345" t="n">
        <v>0.124</v>
      </c>
      <c r="W42" s="345" t="n">
        <v>0.124</v>
      </c>
      <c r="X42" s="345" t="n">
        <v>0.124</v>
      </c>
      <c r="Y42" s="333" t="n">
        <v>1000</v>
      </c>
    </row>
    <row r="43" customFormat="false" ht="12" hidden="false" customHeight="false" outlineLevel="0" collapsed="false">
      <c r="A43" s="346" t="s">
        <v>228</v>
      </c>
      <c r="B43" s="347" t="n">
        <v>0</v>
      </c>
      <c r="C43" s="348" t="n">
        <v>310</v>
      </c>
      <c r="D43" s="348" t="n">
        <v>230</v>
      </c>
      <c r="E43" s="348" t="n">
        <v>175</v>
      </c>
      <c r="F43" s="348" t="n">
        <v>140</v>
      </c>
      <c r="G43" s="348" t="n">
        <v>118</v>
      </c>
      <c r="H43" s="348" t="n">
        <v>100</v>
      </c>
      <c r="I43" s="348" t="n">
        <v>85</v>
      </c>
      <c r="J43" s="348" t="n">
        <v>0</v>
      </c>
      <c r="K43" s="348" t="n">
        <v>0</v>
      </c>
      <c r="L43" s="348" t="n">
        <v>0</v>
      </c>
      <c r="M43" s="348" t="n">
        <v>0</v>
      </c>
      <c r="N43" s="348" t="n">
        <v>0</v>
      </c>
      <c r="O43" s="348" t="n">
        <v>0</v>
      </c>
      <c r="P43" s="348" t="n">
        <v>0</v>
      </c>
      <c r="Q43" s="348" t="n">
        <v>0</v>
      </c>
      <c r="R43" s="348" t="n">
        <v>0</v>
      </c>
      <c r="S43" s="348" t="n">
        <v>0</v>
      </c>
      <c r="T43" s="348" t="n">
        <v>0</v>
      </c>
      <c r="U43" s="348" t="n">
        <v>0</v>
      </c>
      <c r="V43" s="348" t="n">
        <v>0</v>
      </c>
      <c r="W43" s="348" t="n">
        <v>0</v>
      </c>
      <c r="X43" s="348" t="n">
        <v>0</v>
      </c>
      <c r="Y43" s="349" t="n">
        <v>0</v>
      </c>
    </row>
    <row r="44" customFormat="false" ht="12.75" hidden="false" customHeight="false" outlineLevel="0" collapsed="false">
      <c r="A44" s="334" t="s">
        <v>229</v>
      </c>
      <c r="B44" s="350" t="n">
        <f aca="false">(C43+B43)*(C42-B42)/2</f>
        <v>0.155</v>
      </c>
      <c r="C44" s="351" t="n">
        <f aca="false">(D43+C43)*(D42-C42)/2</f>
        <v>5.13</v>
      </c>
      <c r="D44" s="351" t="n">
        <f aca="false">(E43+D43)*(E42-D42)/2</f>
        <v>4.05</v>
      </c>
      <c r="E44" s="351" t="n">
        <f aca="false">(F43+E43)*(F42-E42)/2</f>
        <v>3.15</v>
      </c>
      <c r="F44" s="351" t="n">
        <f aca="false">(G43+F43)*(G42-F42)/2</f>
        <v>2.58</v>
      </c>
      <c r="G44" s="351" t="n">
        <f aca="false">(H43+G43)*(H42-G42)/2</f>
        <v>2.18</v>
      </c>
      <c r="H44" s="351" t="n">
        <f aca="false">(I43+H43)*(I42-H42)/2</f>
        <v>2.1275</v>
      </c>
      <c r="I44" s="351" t="n">
        <f aca="false">(J43+I43)*(J42-I42)/2</f>
        <v>0.0425</v>
      </c>
      <c r="J44" s="351" t="n">
        <f aca="false">(K43+J43)*(K42-J42)/2</f>
        <v>0</v>
      </c>
      <c r="K44" s="351" t="n">
        <f aca="false">(L43+K43)*(L42-K42)/2</f>
        <v>0</v>
      </c>
      <c r="L44" s="351" t="n">
        <f aca="false">(M43+L43)*(M42-L42)/2</f>
        <v>0</v>
      </c>
      <c r="M44" s="351" t="n">
        <f aca="false">(N43+M43)*(N42-M42)/2</f>
        <v>0</v>
      </c>
      <c r="N44" s="351" t="n">
        <f aca="false">(O43+N43)*(O42-N42)/2</f>
        <v>0</v>
      </c>
      <c r="O44" s="351" t="n">
        <f aca="false">(P43+O43)*(P42-O42)/2</f>
        <v>0</v>
      </c>
      <c r="P44" s="351" t="n">
        <f aca="false">(Q43+P43)*(Q42-P42)/2</f>
        <v>0</v>
      </c>
      <c r="Q44" s="351" t="n">
        <f aca="false">(R43+Q43)*(R42-Q42)/2</f>
        <v>0</v>
      </c>
      <c r="R44" s="351" t="n">
        <f aca="false">(S43+R43)*(S42-R42)/2</f>
        <v>0</v>
      </c>
      <c r="S44" s="351" t="n">
        <f aca="false">(T43+S43)*(T42-S42)/2</f>
        <v>0</v>
      </c>
      <c r="T44" s="351" t="n">
        <f aca="false">(U43+T43)*(U42-T42)/2</f>
        <v>0</v>
      </c>
      <c r="U44" s="351" t="n">
        <f aca="false">(V43+U43)*(V42-U42)/2</f>
        <v>0</v>
      </c>
      <c r="V44" s="351" t="n">
        <f aca="false">(W43+V43)*(W42-V42)/2</f>
        <v>0</v>
      </c>
      <c r="W44" s="351" t="n">
        <f aca="false">(X43+W43)*(X42-W42)/2</f>
        <v>0</v>
      </c>
      <c r="X44" s="351" t="n">
        <f aca="false">(Y43+X43)*(Y42-X42)/2</f>
        <v>0</v>
      </c>
      <c r="Y44" s="337"/>
    </row>
    <row r="45" customFormat="false" ht="12.75" hidden="false" customHeight="false" outlineLevel="0" collapsed="false"/>
    <row r="46" customFormat="false" ht="13.5" hidden="false" customHeight="false" outlineLevel="0" collapsed="false">
      <c r="A46" s="339" t="s">
        <v>233</v>
      </c>
      <c r="B46" s="340" t="n">
        <f aca="false">ROW(A46)</f>
        <v>46</v>
      </c>
      <c r="C46" s="323" t="s">
        <v>212</v>
      </c>
      <c r="D46" s="324" t="n">
        <f aca="false">SUM(B49:Y49)</f>
        <v>12.8695</v>
      </c>
      <c r="E46" s="323" t="s">
        <v>213</v>
      </c>
      <c r="F46" s="330" t="n">
        <f aca="false">D46/g/J46</f>
        <v>3.27968909276249</v>
      </c>
      <c r="G46" s="323" t="s">
        <v>214</v>
      </c>
      <c r="H46" s="341" t="n">
        <v>0.5</v>
      </c>
      <c r="I46" s="323" t="s">
        <v>225</v>
      </c>
      <c r="J46" s="326" t="n">
        <f aca="false">H46-L46</f>
        <v>0.4</v>
      </c>
      <c r="K46" s="323" t="s">
        <v>226</v>
      </c>
      <c r="L46" s="341" t="n">
        <v>0.1</v>
      </c>
      <c r="M46" s="323" t="s">
        <v>217</v>
      </c>
      <c r="N46" s="342" t="n">
        <f aca="false">0.2*R46</f>
        <v>60</v>
      </c>
      <c r="O46" s="323" t="s">
        <v>218</v>
      </c>
      <c r="P46" s="342" t="n">
        <v>150</v>
      </c>
      <c r="Q46" s="323" t="s">
        <v>219</v>
      </c>
      <c r="R46" s="342" t="n">
        <v>300</v>
      </c>
      <c r="S46" s="323" t="s">
        <v>220</v>
      </c>
      <c r="T46" s="342" t="n">
        <v>98</v>
      </c>
      <c r="U46" s="323" t="s">
        <v>8</v>
      </c>
      <c r="V46" s="343" t="s">
        <v>223</v>
      </c>
      <c r="W46" s="338"/>
      <c r="X46" s="338"/>
      <c r="Y46" s="338"/>
    </row>
    <row r="47" customFormat="false" ht="12" hidden="false" customHeight="false" outlineLevel="0" collapsed="false">
      <c r="A47" s="321" t="s">
        <v>227</v>
      </c>
      <c r="B47" s="344" t="n">
        <v>0</v>
      </c>
      <c r="C47" s="345" t="n">
        <v>0.001</v>
      </c>
      <c r="D47" s="345" t="n">
        <v>0.02</v>
      </c>
      <c r="E47" s="345" t="n">
        <v>0.04</v>
      </c>
      <c r="F47" s="345" t="n">
        <v>0.05</v>
      </c>
      <c r="G47" s="345" t="n">
        <v>0.051</v>
      </c>
      <c r="H47" s="345" t="n">
        <v>0.051</v>
      </c>
      <c r="I47" s="345" t="n">
        <v>0.051</v>
      </c>
      <c r="J47" s="345" t="n">
        <v>0.051</v>
      </c>
      <c r="K47" s="345" t="n">
        <v>0.051</v>
      </c>
      <c r="L47" s="345" t="n">
        <v>0.051</v>
      </c>
      <c r="M47" s="345" t="n">
        <v>0.051</v>
      </c>
      <c r="N47" s="345" t="n">
        <v>0.051</v>
      </c>
      <c r="O47" s="345" t="n">
        <v>0.051</v>
      </c>
      <c r="P47" s="345" t="n">
        <v>0.051</v>
      </c>
      <c r="Q47" s="345" t="n">
        <v>0.051</v>
      </c>
      <c r="R47" s="345" t="n">
        <v>0.051</v>
      </c>
      <c r="S47" s="345" t="n">
        <v>0.051</v>
      </c>
      <c r="T47" s="345" t="n">
        <v>0.051</v>
      </c>
      <c r="U47" s="345" t="n">
        <v>0.051</v>
      </c>
      <c r="V47" s="345" t="n">
        <v>0.051</v>
      </c>
      <c r="W47" s="345" t="n">
        <v>0.051</v>
      </c>
      <c r="X47" s="345" t="n">
        <v>0.051</v>
      </c>
      <c r="Y47" s="333" t="n">
        <v>1000</v>
      </c>
    </row>
    <row r="48" customFormat="false" ht="12" hidden="false" customHeight="false" outlineLevel="0" collapsed="false">
      <c r="A48" s="346" t="s">
        <v>228</v>
      </c>
      <c r="B48" s="347" t="n">
        <v>0</v>
      </c>
      <c r="C48" s="348" t="n">
        <v>310</v>
      </c>
      <c r="D48" s="348" t="n">
        <v>264</v>
      </c>
      <c r="E48" s="348" t="n">
        <v>230</v>
      </c>
      <c r="F48" s="348" t="n">
        <v>213</v>
      </c>
      <c r="G48" s="348" t="n">
        <v>0</v>
      </c>
      <c r="H48" s="348" t="n">
        <v>0</v>
      </c>
      <c r="I48" s="348" t="n">
        <v>0</v>
      </c>
      <c r="J48" s="348" t="n">
        <v>0</v>
      </c>
      <c r="K48" s="348" t="n">
        <v>0</v>
      </c>
      <c r="L48" s="348" t="n">
        <v>0</v>
      </c>
      <c r="M48" s="348" t="n">
        <v>0</v>
      </c>
      <c r="N48" s="348" t="n">
        <v>0</v>
      </c>
      <c r="O48" s="348" t="n">
        <v>0</v>
      </c>
      <c r="P48" s="348" t="n">
        <v>0</v>
      </c>
      <c r="Q48" s="348" t="n">
        <v>0</v>
      </c>
      <c r="R48" s="348" t="n">
        <v>0</v>
      </c>
      <c r="S48" s="348" t="n">
        <v>0</v>
      </c>
      <c r="T48" s="348" t="n">
        <v>0</v>
      </c>
      <c r="U48" s="348" t="n">
        <v>0</v>
      </c>
      <c r="V48" s="348" t="n">
        <v>0</v>
      </c>
      <c r="W48" s="348" t="n">
        <v>0</v>
      </c>
      <c r="X48" s="348" t="n">
        <v>0</v>
      </c>
      <c r="Y48" s="349" t="n">
        <v>0</v>
      </c>
    </row>
    <row r="49" customFormat="false" ht="12.75" hidden="false" customHeight="false" outlineLevel="0" collapsed="false">
      <c r="A49" s="334" t="s">
        <v>229</v>
      </c>
      <c r="B49" s="350" t="n">
        <f aca="false">(C48+B48)*(C47-B47)/2</f>
        <v>0.155</v>
      </c>
      <c r="C49" s="351" t="n">
        <f aca="false">(D48+C48)*(D47-C47)/2</f>
        <v>5.453</v>
      </c>
      <c r="D49" s="351" t="n">
        <f aca="false">(E48+D48)*(E47-D47)/2</f>
        <v>4.94</v>
      </c>
      <c r="E49" s="351" t="n">
        <f aca="false">(F48+E48)*(F47-E47)/2</f>
        <v>2.215</v>
      </c>
      <c r="F49" s="351" t="n">
        <f aca="false">(G48+F48)*(G47-F47)/2</f>
        <v>0.106499999999999</v>
      </c>
      <c r="G49" s="351" t="n">
        <f aca="false">(H48+G48)*(H47-G47)/2</f>
        <v>0</v>
      </c>
      <c r="H49" s="351" t="n">
        <f aca="false">(I48+H48)*(I47-H47)/2</f>
        <v>0</v>
      </c>
      <c r="I49" s="351" t="n">
        <f aca="false">(J48+I48)*(J47-I47)/2</f>
        <v>0</v>
      </c>
      <c r="J49" s="351" t="n">
        <f aca="false">(K48+J48)*(K47-J47)/2</f>
        <v>0</v>
      </c>
      <c r="K49" s="351" t="n">
        <f aca="false">(L48+K48)*(L47-K47)/2</f>
        <v>0</v>
      </c>
      <c r="L49" s="351" t="n">
        <f aca="false">(M48+L48)*(M47-L47)/2</f>
        <v>0</v>
      </c>
      <c r="M49" s="351" t="n">
        <f aca="false">(N48+M48)*(N47-M47)/2</f>
        <v>0</v>
      </c>
      <c r="N49" s="351" t="n">
        <f aca="false">(O48+N48)*(O47-N47)/2</f>
        <v>0</v>
      </c>
      <c r="O49" s="351" t="n">
        <f aca="false">(P48+O48)*(P47-O47)/2</f>
        <v>0</v>
      </c>
      <c r="P49" s="351" t="n">
        <f aca="false">(Q48+P48)*(Q47-P47)/2</f>
        <v>0</v>
      </c>
      <c r="Q49" s="351" t="n">
        <f aca="false">(R48+Q48)*(R47-Q47)/2</f>
        <v>0</v>
      </c>
      <c r="R49" s="351" t="n">
        <f aca="false">(S48+R48)*(S47-R47)/2</f>
        <v>0</v>
      </c>
      <c r="S49" s="351" t="n">
        <f aca="false">(T48+S48)*(T47-S47)/2</f>
        <v>0</v>
      </c>
      <c r="T49" s="351" t="n">
        <f aca="false">(U48+T48)*(U47-T47)/2</f>
        <v>0</v>
      </c>
      <c r="U49" s="351" t="n">
        <f aca="false">(V48+U48)*(V47-U47)/2</f>
        <v>0</v>
      </c>
      <c r="V49" s="351" t="n">
        <f aca="false">(W48+V48)*(W47-V47)/2</f>
        <v>0</v>
      </c>
      <c r="W49" s="351" t="n">
        <f aca="false">(X48+W48)*(X47-W47)/2</f>
        <v>0</v>
      </c>
      <c r="X49" s="351" t="n">
        <f aca="false">(Y48+X48)*(Y47-X47)/2</f>
        <v>0</v>
      </c>
      <c r="Y49" s="337"/>
    </row>
    <row r="50" customFormat="false" ht="12.75" hidden="false" customHeight="false" outlineLevel="0" collapsed="false">
      <c r="A50" s="338"/>
      <c r="L50" s="338"/>
      <c r="M50" s="338"/>
      <c r="N50" s="338"/>
      <c r="O50" s="338"/>
      <c r="P50" s="338"/>
      <c r="Q50" s="338"/>
      <c r="R50" s="338"/>
      <c r="S50" s="338"/>
      <c r="T50" s="338"/>
      <c r="U50" s="338"/>
      <c r="V50" s="338"/>
      <c r="W50" s="338"/>
      <c r="X50" s="338"/>
      <c r="Y50" s="338"/>
    </row>
    <row r="51" customFormat="false" ht="13.5" hidden="false" customHeight="false" outlineLevel="0" collapsed="false">
      <c r="A51" s="339" t="s">
        <v>234</v>
      </c>
      <c r="B51" s="340" t="n">
        <f aca="false">ROW(A51)</f>
        <v>51</v>
      </c>
      <c r="C51" s="323" t="s">
        <v>212</v>
      </c>
      <c r="D51" s="324" t="n">
        <f aca="false">SUM(B54:Y54)</f>
        <v>18.1235</v>
      </c>
      <c r="E51" s="323" t="s">
        <v>213</v>
      </c>
      <c r="F51" s="330" t="n">
        <f aca="false">D51/g/J51</f>
        <v>3.07908596670065</v>
      </c>
      <c r="G51" s="323" t="s">
        <v>214</v>
      </c>
      <c r="H51" s="341" t="n">
        <v>0.7</v>
      </c>
      <c r="I51" s="323" t="s">
        <v>225</v>
      </c>
      <c r="J51" s="326" t="n">
        <f aca="false">H51-L51</f>
        <v>0.6</v>
      </c>
      <c r="K51" s="323" t="s">
        <v>226</v>
      </c>
      <c r="L51" s="341" t="n">
        <v>0.1</v>
      </c>
      <c r="M51" s="323" t="s">
        <v>217</v>
      </c>
      <c r="N51" s="342" t="n">
        <f aca="false">0.3*R51</f>
        <v>90</v>
      </c>
      <c r="O51" s="323" t="s">
        <v>218</v>
      </c>
      <c r="P51" s="342" t="n">
        <v>150</v>
      </c>
      <c r="Q51" s="323" t="s">
        <v>219</v>
      </c>
      <c r="R51" s="342" t="n">
        <v>300</v>
      </c>
      <c r="S51" s="323" t="s">
        <v>220</v>
      </c>
      <c r="T51" s="342" t="n">
        <v>98</v>
      </c>
      <c r="U51" s="323" t="s">
        <v>8</v>
      </c>
      <c r="V51" s="343" t="s">
        <v>223</v>
      </c>
      <c r="W51" s="338"/>
      <c r="X51" s="338"/>
      <c r="Y51" s="338"/>
    </row>
    <row r="52" customFormat="false" ht="12" hidden="false" customHeight="false" outlineLevel="0" collapsed="false">
      <c r="A52" s="321" t="s">
        <v>227</v>
      </c>
      <c r="B52" s="344" t="n">
        <v>0</v>
      </c>
      <c r="C52" s="345" t="n">
        <v>0.001</v>
      </c>
      <c r="D52" s="345" t="n">
        <v>0.02</v>
      </c>
      <c r="E52" s="345" t="n">
        <v>0.04</v>
      </c>
      <c r="F52" s="345" t="n">
        <v>0.06</v>
      </c>
      <c r="G52" s="345" t="n">
        <v>0.08</v>
      </c>
      <c r="H52" s="345" t="n">
        <v>0.081</v>
      </c>
      <c r="I52" s="345" t="n">
        <v>0.081</v>
      </c>
      <c r="J52" s="345" t="n">
        <v>0.081</v>
      </c>
      <c r="K52" s="345" t="n">
        <v>0.081</v>
      </c>
      <c r="L52" s="345" t="n">
        <v>0.081</v>
      </c>
      <c r="M52" s="345" t="n">
        <v>0.081</v>
      </c>
      <c r="N52" s="345" t="n">
        <v>0.081</v>
      </c>
      <c r="O52" s="345" t="n">
        <v>0.081</v>
      </c>
      <c r="P52" s="345" t="n">
        <v>0.081</v>
      </c>
      <c r="Q52" s="345" t="n">
        <v>0.081</v>
      </c>
      <c r="R52" s="345" t="n">
        <v>0.081</v>
      </c>
      <c r="S52" s="345" t="n">
        <v>0.081</v>
      </c>
      <c r="T52" s="345" t="n">
        <v>0.081</v>
      </c>
      <c r="U52" s="345" t="n">
        <v>0.081</v>
      </c>
      <c r="V52" s="345" t="n">
        <v>0.081</v>
      </c>
      <c r="W52" s="345" t="n">
        <v>0.081</v>
      </c>
      <c r="X52" s="345" t="n">
        <v>0.081</v>
      </c>
      <c r="Y52" s="333" t="n">
        <v>1000</v>
      </c>
    </row>
    <row r="53" customFormat="false" ht="12" hidden="false" customHeight="false" outlineLevel="0" collapsed="false">
      <c r="A53" s="346" t="s">
        <v>228</v>
      </c>
      <c r="B53" s="347" t="n">
        <v>0</v>
      </c>
      <c r="C53" s="348" t="n">
        <v>310</v>
      </c>
      <c r="D53" s="348" t="n">
        <v>260</v>
      </c>
      <c r="E53" s="348" t="n">
        <v>220</v>
      </c>
      <c r="F53" s="348" t="n">
        <v>190</v>
      </c>
      <c r="G53" s="348" t="n">
        <v>167</v>
      </c>
      <c r="H53" s="348" t="n">
        <v>0</v>
      </c>
      <c r="I53" s="348" t="n">
        <v>0</v>
      </c>
      <c r="J53" s="348" t="n">
        <v>0</v>
      </c>
      <c r="K53" s="348" t="n">
        <v>0</v>
      </c>
      <c r="L53" s="348" t="n">
        <v>0</v>
      </c>
      <c r="M53" s="348" t="n">
        <v>0</v>
      </c>
      <c r="N53" s="348" t="n">
        <v>0</v>
      </c>
      <c r="O53" s="348" t="n">
        <v>0</v>
      </c>
      <c r="P53" s="348" t="n">
        <v>0</v>
      </c>
      <c r="Q53" s="348" t="n">
        <v>0</v>
      </c>
      <c r="R53" s="348" t="n">
        <v>0</v>
      </c>
      <c r="S53" s="348" t="n">
        <v>0</v>
      </c>
      <c r="T53" s="348" t="n">
        <v>0</v>
      </c>
      <c r="U53" s="348" t="n">
        <v>0</v>
      </c>
      <c r="V53" s="348" t="n">
        <v>0</v>
      </c>
      <c r="W53" s="348" t="n">
        <v>0</v>
      </c>
      <c r="X53" s="348" t="n">
        <v>0</v>
      </c>
      <c r="Y53" s="349" t="n">
        <v>0</v>
      </c>
    </row>
    <row r="54" customFormat="false" ht="12.75" hidden="false" customHeight="false" outlineLevel="0" collapsed="false">
      <c r="A54" s="334" t="s">
        <v>229</v>
      </c>
      <c r="B54" s="350" t="n">
        <f aca="false">(C53+B53)*(C52-B52)/2</f>
        <v>0.155</v>
      </c>
      <c r="C54" s="351" t="n">
        <f aca="false">(D53+C53)*(D52-C52)/2</f>
        <v>5.415</v>
      </c>
      <c r="D54" s="351" t="n">
        <f aca="false">(E53+D53)*(E52-D52)/2</f>
        <v>4.8</v>
      </c>
      <c r="E54" s="351" t="n">
        <f aca="false">(F53+E53)*(F52-E52)/2</f>
        <v>4.1</v>
      </c>
      <c r="F54" s="351" t="n">
        <f aca="false">(G53+F53)*(G52-F52)/2</f>
        <v>3.57</v>
      </c>
      <c r="G54" s="351" t="n">
        <f aca="false">(H53+G53)*(H52-G52)/2</f>
        <v>0.0835000000000001</v>
      </c>
      <c r="H54" s="351" t="n">
        <f aca="false">(I53+H53)*(I52-H52)/2</f>
        <v>0</v>
      </c>
      <c r="I54" s="351" t="n">
        <f aca="false">(J53+I53)*(J52-I52)/2</f>
        <v>0</v>
      </c>
      <c r="J54" s="351" t="n">
        <f aca="false">(K53+J53)*(K52-J52)/2</f>
        <v>0</v>
      </c>
      <c r="K54" s="351" t="n">
        <f aca="false">(L53+K53)*(L52-K52)/2</f>
        <v>0</v>
      </c>
      <c r="L54" s="351" t="n">
        <f aca="false">(M53+L53)*(M52-L52)/2</f>
        <v>0</v>
      </c>
      <c r="M54" s="351" t="n">
        <f aca="false">(N53+M53)*(N52-M52)/2</f>
        <v>0</v>
      </c>
      <c r="N54" s="351" t="n">
        <f aca="false">(O53+N53)*(O52-N52)/2</f>
        <v>0</v>
      </c>
      <c r="O54" s="351" t="n">
        <f aca="false">(P53+O53)*(P52-O52)/2</f>
        <v>0</v>
      </c>
      <c r="P54" s="351" t="n">
        <f aca="false">(Q53+P53)*(Q52-P52)/2</f>
        <v>0</v>
      </c>
      <c r="Q54" s="351" t="n">
        <f aca="false">(R53+Q53)*(R52-Q52)/2</f>
        <v>0</v>
      </c>
      <c r="R54" s="351" t="n">
        <f aca="false">(S53+R53)*(S52-R52)/2</f>
        <v>0</v>
      </c>
      <c r="S54" s="351" t="n">
        <f aca="false">(T53+S53)*(T52-S52)/2</f>
        <v>0</v>
      </c>
      <c r="T54" s="351" t="n">
        <f aca="false">(U53+T53)*(U52-T52)/2</f>
        <v>0</v>
      </c>
      <c r="U54" s="351" t="n">
        <f aca="false">(V53+U53)*(V52-U52)/2</f>
        <v>0</v>
      </c>
      <c r="V54" s="351" t="n">
        <f aca="false">(W53+V53)*(W52-V52)/2</f>
        <v>0</v>
      </c>
      <c r="W54" s="351" t="n">
        <f aca="false">(X53+W53)*(X52-W52)/2</f>
        <v>0</v>
      </c>
      <c r="X54" s="351" t="n">
        <f aca="false">(Y53+X53)*(Y52-X52)/2</f>
        <v>0</v>
      </c>
      <c r="Y54" s="337"/>
    </row>
    <row r="55" customFormat="false" ht="12.75" hidden="false" customHeight="false" outlineLevel="0" collapsed="false">
      <c r="B55" s="338"/>
      <c r="C55" s="338"/>
      <c r="D55" s="338"/>
      <c r="E55" s="338"/>
      <c r="F55" s="338"/>
      <c r="G55" s="338"/>
      <c r="H55" s="338"/>
      <c r="I55" s="338"/>
      <c r="J55" s="338"/>
      <c r="K55" s="338"/>
      <c r="L55" s="338"/>
      <c r="M55" s="338"/>
      <c r="N55" s="338"/>
      <c r="O55" s="338"/>
      <c r="P55" s="338"/>
      <c r="Q55" s="338"/>
      <c r="R55" s="338"/>
      <c r="S55" s="338"/>
      <c r="T55" s="338"/>
      <c r="U55" s="338"/>
      <c r="V55" s="338"/>
      <c r="W55" s="338"/>
      <c r="X55" s="338"/>
      <c r="Y55" s="338"/>
    </row>
    <row r="56" customFormat="false" ht="13.5" hidden="false" customHeight="false" outlineLevel="0" collapsed="false">
      <c r="A56" s="339" t="s">
        <v>235</v>
      </c>
      <c r="B56" s="340" t="n">
        <f aca="false">ROW(A56)</f>
        <v>56</v>
      </c>
      <c r="C56" s="323" t="s">
        <v>212</v>
      </c>
      <c r="D56" s="324" t="n">
        <f aca="false">SUM(B59:Y59)</f>
        <v>22.61</v>
      </c>
      <c r="E56" s="323" t="s">
        <v>213</v>
      </c>
      <c r="F56" s="330" t="n">
        <f aca="false">D56/g/J56</f>
        <v>2.88098878695209</v>
      </c>
      <c r="G56" s="323" t="s">
        <v>214</v>
      </c>
      <c r="H56" s="341" t="n">
        <v>0.9</v>
      </c>
      <c r="I56" s="323" t="s">
        <v>225</v>
      </c>
      <c r="J56" s="326" t="n">
        <f aca="false">H56-L56</f>
        <v>0.8</v>
      </c>
      <c r="K56" s="323" t="s">
        <v>226</v>
      </c>
      <c r="L56" s="341" t="n">
        <v>0.1</v>
      </c>
      <c r="M56" s="323" t="s">
        <v>217</v>
      </c>
      <c r="N56" s="342" t="n">
        <f aca="false">0.4*R56</f>
        <v>120</v>
      </c>
      <c r="O56" s="323" t="s">
        <v>218</v>
      </c>
      <c r="P56" s="342" t="n">
        <v>150</v>
      </c>
      <c r="Q56" s="323" t="s">
        <v>219</v>
      </c>
      <c r="R56" s="342" t="n">
        <v>300</v>
      </c>
      <c r="S56" s="323" t="s">
        <v>220</v>
      </c>
      <c r="T56" s="342" t="n">
        <v>98</v>
      </c>
      <c r="U56" s="323" t="s">
        <v>8</v>
      </c>
      <c r="V56" s="343" t="s">
        <v>223</v>
      </c>
      <c r="W56" s="338"/>
      <c r="X56" s="338"/>
      <c r="Y56" s="338"/>
    </row>
    <row r="57" customFormat="false" ht="12" hidden="false" customHeight="false" outlineLevel="0" collapsed="false">
      <c r="A57" s="321" t="s">
        <v>227</v>
      </c>
      <c r="B57" s="344" t="n">
        <v>0</v>
      </c>
      <c r="C57" s="345" t="n">
        <v>0.001</v>
      </c>
      <c r="D57" s="345" t="n">
        <v>0.02</v>
      </c>
      <c r="E57" s="345" t="n">
        <v>0.04</v>
      </c>
      <c r="F57" s="345" t="n">
        <v>0.06</v>
      </c>
      <c r="G57" s="345" t="n">
        <v>0.08</v>
      </c>
      <c r="H57" s="345" t="n">
        <v>0.1</v>
      </c>
      <c r="I57" s="345" t="n">
        <v>0.117</v>
      </c>
      <c r="J57" s="345" t="n">
        <v>0.118</v>
      </c>
      <c r="K57" s="345" t="n">
        <v>0.118</v>
      </c>
      <c r="L57" s="345" t="n">
        <v>0.118</v>
      </c>
      <c r="M57" s="345" t="n">
        <v>0.118</v>
      </c>
      <c r="N57" s="345" t="n">
        <v>0.118</v>
      </c>
      <c r="O57" s="345" t="n">
        <v>0.118</v>
      </c>
      <c r="P57" s="345" t="n">
        <v>0.118</v>
      </c>
      <c r="Q57" s="345" t="n">
        <v>0.118</v>
      </c>
      <c r="R57" s="345" t="n">
        <v>0.118</v>
      </c>
      <c r="S57" s="345" t="n">
        <v>0.118</v>
      </c>
      <c r="T57" s="345" t="n">
        <v>0.118</v>
      </c>
      <c r="U57" s="345" t="n">
        <v>0.118</v>
      </c>
      <c r="V57" s="345" t="n">
        <v>0.118</v>
      </c>
      <c r="W57" s="345" t="n">
        <v>0.118</v>
      </c>
      <c r="X57" s="345" t="n">
        <v>0.118</v>
      </c>
      <c r="Y57" s="333" t="n">
        <v>1000</v>
      </c>
    </row>
    <row r="58" customFormat="false" ht="12" hidden="false" customHeight="false" outlineLevel="0" collapsed="false">
      <c r="A58" s="346" t="s">
        <v>228</v>
      </c>
      <c r="B58" s="347" t="n">
        <v>0</v>
      </c>
      <c r="C58" s="348" t="n">
        <v>310</v>
      </c>
      <c r="D58" s="348" t="n">
        <v>250</v>
      </c>
      <c r="E58" s="348" t="n">
        <v>210</v>
      </c>
      <c r="F58" s="348" t="n">
        <v>180</v>
      </c>
      <c r="G58" s="348" t="n">
        <v>156</v>
      </c>
      <c r="H58" s="348" t="n">
        <v>140</v>
      </c>
      <c r="I58" s="348" t="n">
        <v>125</v>
      </c>
      <c r="J58" s="348" t="n">
        <v>0</v>
      </c>
      <c r="K58" s="348" t="n">
        <v>0</v>
      </c>
      <c r="L58" s="348" t="n">
        <v>0</v>
      </c>
      <c r="M58" s="348" t="n">
        <v>0</v>
      </c>
      <c r="N58" s="348" t="n">
        <v>0</v>
      </c>
      <c r="O58" s="348" t="n">
        <v>0</v>
      </c>
      <c r="P58" s="348" t="n">
        <v>0</v>
      </c>
      <c r="Q58" s="348" t="n">
        <v>0</v>
      </c>
      <c r="R58" s="348" t="n">
        <v>0</v>
      </c>
      <c r="S58" s="348" t="n">
        <v>0</v>
      </c>
      <c r="T58" s="348" t="n">
        <v>0</v>
      </c>
      <c r="U58" s="348" t="n">
        <v>0</v>
      </c>
      <c r="V58" s="348" t="n">
        <v>0</v>
      </c>
      <c r="W58" s="348" t="n">
        <v>0</v>
      </c>
      <c r="X58" s="348" t="n">
        <v>0</v>
      </c>
      <c r="Y58" s="349" t="n">
        <v>0</v>
      </c>
    </row>
    <row r="59" customFormat="false" ht="12.75" hidden="false" customHeight="false" outlineLevel="0" collapsed="false">
      <c r="A59" s="334" t="s">
        <v>229</v>
      </c>
      <c r="B59" s="350" t="n">
        <f aca="false">(C58+B58)*(C57-B57)/2</f>
        <v>0.155</v>
      </c>
      <c r="C59" s="351" t="n">
        <f aca="false">(D58+C58)*(D57-C57)/2</f>
        <v>5.32</v>
      </c>
      <c r="D59" s="351" t="n">
        <f aca="false">(E58+D58)*(E57-D57)/2</f>
        <v>4.6</v>
      </c>
      <c r="E59" s="351" t="n">
        <f aca="false">(F58+E58)*(F57-E57)/2</f>
        <v>3.9</v>
      </c>
      <c r="F59" s="351" t="n">
        <f aca="false">(G58+F58)*(G57-F57)/2</f>
        <v>3.36</v>
      </c>
      <c r="G59" s="351" t="n">
        <f aca="false">(H58+G58)*(H57-G57)/2</f>
        <v>2.96</v>
      </c>
      <c r="H59" s="351" t="n">
        <f aca="false">(I58+H58)*(I57-H57)/2</f>
        <v>2.2525</v>
      </c>
      <c r="I59" s="351" t="n">
        <f aca="false">(J58+I58)*(J57-I57)/2</f>
        <v>0.0624999999999992</v>
      </c>
      <c r="J59" s="351" t="n">
        <f aca="false">(K58+J58)*(K57-J57)/2</f>
        <v>0</v>
      </c>
      <c r="K59" s="351" t="n">
        <f aca="false">(L58+K58)*(L57-K57)/2</f>
        <v>0</v>
      </c>
      <c r="L59" s="351" t="n">
        <f aca="false">(M58+L58)*(M57-L57)/2</f>
        <v>0</v>
      </c>
      <c r="M59" s="351" t="n">
        <f aca="false">(N58+M58)*(N57-M57)/2</f>
        <v>0</v>
      </c>
      <c r="N59" s="351" t="n">
        <f aca="false">(O58+N58)*(O57-N57)/2</f>
        <v>0</v>
      </c>
      <c r="O59" s="351" t="n">
        <f aca="false">(P58+O58)*(P57-O57)/2</f>
        <v>0</v>
      </c>
      <c r="P59" s="351" t="n">
        <f aca="false">(Q58+P58)*(Q57-P57)/2</f>
        <v>0</v>
      </c>
      <c r="Q59" s="351" t="n">
        <f aca="false">(R58+Q58)*(R57-Q57)/2</f>
        <v>0</v>
      </c>
      <c r="R59" s="351" t="n">
        <f aca="false">(S58+R58)*(S57-R57)/2</f>
        <v>0</v>
      </c>
      <c r="S59" s="351" t="n">
        <f aca="false">(T58+S58)*(T57-S57)/2</f>
        <v>0</v>
      </c>
      <c r="T59" s="351" t="n">
        <f aca="false">(U58+T58)*(U57-T57)/2</f>
        <v>0</v>
      </c>
      <c r="U59" s="351" t="n">
        <f aca="false">(V58+U58)*(V57-U57)/2</f>
        <v>0</v>
      </c>
      <c r="V59" s="351" t="n">
        <f aca="false">(W58+V58)*(W57-V57)/2</f>
        <v>0</v>
      </c>
      <c r="W59" s="351" t="n">
        <f aca="false">(X58+W58)*(X57-W57)/2</f>
        <v>0</v>
      </c>
      <c r="X59" s="351" t="n">
        <f aca="false">(Y58+X58)*(Y57-X57)/2</f>
        <v>0</v>
      </c>
      <c r="Y59" s="337"/>
    </row>
    <row r="60" customFormat="false" ht="12.75" hidden="false" customHeight="false" outlineLevel="0" collapsed="false">
      <c r="A60" s="338"/>
      <c r="L60" s="338"/>
      <c r="M60" s="338"/>
      <c r="N60" s="338"/>
      <c r="O60" s="338"/>
      <c r="P60" s="338"/>
      <c r="Q60" s="338"/>
      <c r="R60" s="338"/>
      <c r="S60" s="338"/>
      <c r="T60" s="338"/>
      <c r="U60" s="338"/>
      <c r="V60" s="338"/>
      <c r="W60" s="338"/>
      <c r="X60" s="338"/>
      <c r="Y60" s="338"/>
    </row>
    <row r="61" customFormat="false" ht="13.5" hidden="false" customHeight="false" outlineLevel="0" collapsed="false">
      <c r="A61" s="339" t="s">
        <v>236</v>
      </c>
      <c r="B61" s="340" t="n">
        <f aca="false">ROW(A61)</f>
        <v>61</v>
      </c>
      <c r="C61" s="323" t="s">
        <v>212</v>
      </c>
      <c r="D61" s="324" t="n">
        <f aca="false">SUM(B64:Y64)</f>
        <v>25.874</v>
      </c>
      <c r="E61" s="323" t="s">
        <v>213</v>
      </c>
      <c r="F61" s="330" t="n">
        <f aca="false">D61/g/J61</f>
        <v>2.6375127420999</v>
      </c>
      <c r="G61" s="323" t="s">
        <v>214</v>
      </c>
      <c r="H61" s="341" t="n">
        <v>1.1</v>
      </c>
      <c r="I61" s="323" t="s">
        <v>225</v>
      </c>
      <c r="J61" s="326" t="n">
        <f aca="false">H61-L61</f>
        <v>1</v>
      </c>
      <c r="K61" s="323" t="s">
        <v>226</v>
      </c>
      <c r="L61" s="341" t="n">
        <v>0.1</v>
      </c>
      <c r="M61" s="323" t="s">
        <v>217</v>
      </c>
      <c r="N61" s="342" t="n">
        <f aca="false">0.5*R61</f>
        <v>150</v>
      </c>
      <c r="O61" s="323" t="s">
        <v>218</v>
      </c>
      <c r="P61" s="342" t="n">
        <v>150</v>
      </c>
      <c r="Q61" s="323" t="s">
        <v>219</v>
      </c>
      <c r="R61" s="342" t="n">
        <v>300</v>
      </c>
      <c r="S61" s="323" t="s">
        <v>220</v>
      </c>
      <c r="T61" s="342" t="n">
        <v>98</v>
      </c>
      <c r="U61" s="323" t="s">
        <v>8</v>
      </c>
      <c r="V61" s="343" t="s">
        <v>223</v>
      </c>
      <c r="W61" s="338"/>
      <c r="X61" s="338"/>
      <c r="Y61" s="338"/>
    </row>
    <row r="62" customFormat="false" ht="12" hidden="false" customHeight="false" outlineLevel="0" collapsed="false">
      <c r="A62" s="321" t="s">
        <v>227</v>
      </c>
      <c r="B62" s="344" t="n">
        <v>0</v>
      </c>
      <c r="C62" s="345" t="n">
        <v>0.001</v>
      </c>
      <c r="D62" s="345" t="n">
        <v>0.02</v>
      </c>
      <c r="E62" s="345" t="n">
        <v>0.04</v>
      </c>
      <c r="F62" s="345" t="n">
        <v>0.06</v>
      </c>
      <c r="G62" s="345" t="n">
        <v>0.08</v>
      </c>
      <c r="H62" s="345" t="n">
        <v>0.1</v>
      </c>
      <c r="I62" s="345" t="n">
        <v>0.12</v>
      </c>
      <c r="J62" s="345" t="n">
        <v>0.14</v>
      </c>
      <c r="K62" s="345" t="n">
        <v>0.164</v>
      </c>
      <c r="L62" s="345" t="n">
        <v>0.165</v>
      </c>
      <c r="M62" s="345" t="n">
        <v>0.165</v>
      </c>
      <c r="N62" s="345" t="n">
        <v>0.165</v>
      </c>
      <c r="O62" s="345" t="n">
        <v>0.165</v>
      </c>
      <c r="P62" s="345" t="n">
        <v>0.165</v>
      </c>
      <c r="Q62" s="345" t="n">
        <v>0.165</v>
      </c>
      <c r="R62" s="345" t="n">
        <v>0.165</v>
      </c>
      <c r="S62" s="345" t="n">
        <v>0.165</v>
      </c>
      <c r="T62" s="345" t="n">
        <v>0.165</v>
      </c>
      <c r="U62" s="345" t="n">
        <v>0.165</v>
      </c>
      <c r="V62" s="345" t="n">
        <v>0.165</v>
      </c>
      <c r="W62" s="345" t="n">
        <v>0.165</v>
      </c>
      <c r="X62" s="345" t="n">
        <v>0.165</v>
      </c>
      <c r="Y62" s="333" t="n">
        <v>1000</v>
      </c>
    </row>
    <row r="63" customFormat="false" ht="12" hidden="false" customHeight="false" outlineLevel="0" collapsed="false">
      <c r="A63" s="346" t="s">
        <v>228</v>
      </c>
      <c r="B63" s="347" t="n">
        <v>0</v>
      </c>
      <c r="C63" s="348" t="n">
        <v>310</v>
      </c>
      <c r="D63" s="348" t="n">
        <v>245</v>
      </c>
      <c r="E63" s="348" t="n">
        <v>200</v>
      </c>
      <c r="F63" s="348" t="n">
        <v>165</v>
      </c>
      <c r="G63" s="348" t="n">
        <v>143</v>
      </c>
      <c r="H63" s="348" t="n">
        <v>124</v>
      </c>
      <c r="I63" s="348" t="n">
        <v>108</v>
      </c>
      <c r="J63" s="348" t="n">
        <v>97</v>
      </c>
      <c r="K63" s="348" t="n">
        <v>85</v>
      </c>
      <c r="L63" s="348" t="n">
        <v>0</v>
      </c>
      <c r="M63" s="348" t="n">
        <v>0</v>
      </c>
      <c r="N63" s="348" t="n">
        <v>0</v>
      </c>
      <c r="O63" s="348" t="n">
        <v>0</v>
      </c>
      <c r="P63" s="348" t="n">
        <v>0</v>
      </c>
      <c r="Q63" s="348" t="n">
        <v>0</v>
      </c>
      <c r="R63" s="348" t="n">
        <v>0</v>
      </c>
      <c r="S63" s="348" t="n">
        <v>0</v>
      </c>
      <c r="T63" s="348" t="n">
        <v>0</v>
      </c>
      <c r="U63" s="348" t="n">
        <v>0</v>
      </c>
      <c r="V63" s="348" t="n">
        <v>0</v>
      </c>
      <c r="W63" s="348" t="n">
        <v>0</v>
      </c>
      <c r="X63" s="348" t="n">
        <v>0</v>
      </c>
      <c r="Y63" s="349" t="n">
        <v>0</v>
      </c>
    </row>
    <row r="64" customFormat="false" ht="12.75" hidden="false" customHeight="false" outlineLevel="0" collapsed="false">
      <c r="A64" s="334" t="s">
        <v>229</v>
      </c>
      <c r="B64" s="350" t="n">
        <f aca="false">(C63+B63)*(C62-B62)/2</f>
        <v>0.155</v>
      </c>
      <c r="C64" s="351" t="n">
        <f aca="false">(D63+C63)*(D62-C62)/2</f>
        <v>5.2725</v>
      </c>
      <c r="D64" s="351" t="n">
        <f aca="false">(E63+D63)*(E62-D62)/2</f>
        <v>4.45</v>
      </c>
      <c r="E64" s="351" t="n">
        <f aca="false">(F63+E63)*(F62-E62)/2</f>
        <v>3.65</v>
      </c>
      <c r="F64" s="351" t="n">
        <f aca="false">(G63+F63)*(G62-F62)/2</f>
        <v>3.08</v>
      </c>
      <c r="G64" s="351" t="n">
        <f aca="false">(H63+G63)*(H62-G62)/2</f>
        <v>2.67</v>
      </c>
      <c r="H64" s="351" t="n">
        <f aca="false">(I63+H63)*(I62-H62)/2</f>
        <v>2.32</v>
      </c>
      <c r="I64" s="351" t="n">
        <f aca="false">(J63+I63)*(J62-I62)/2</f>
        <v>2.05</v>
      </c>
      <c r="J64" s="351" t="n">
        <f aca="false">(K63+J63)*(K62-J62)/2</f>
        <v>2.184</v>
      </c>
      <c r="K64" s="351" t="n">
        <f aca="false">(L63+K63)*(L62-K62)/2</f>
        <v>0.0425</v>
      </c>
      <c r="L64" s="351" t="n">
        <f aca="false">(M63+L63)*(M62-L62)/2</f>
        <v>0</v>
      </c>
      <c r="M64" s="351" t="n">
        <f aca="false">(N63+M63)*(N62-M62)/2</f>
        <v>0</v>
      </c>
      <c r="N64" s="351" t="n">
        <f aca="false">(O63+N63)*(O62-N62)/2</f>
        <v>0</v>
      </c>
      <c r="O64" s="351" t="n">
        <f aca="false">(P63+O63)*(P62-O62)/2</f>
        <v>0</v>
      </c>
      <c r="P64" s="351" t="n">
        <f aca="false">(Q63+P63)*(Q62-P62)/2</f>
        <v>0</v>
      </c>
      <c r="Q64" s="351" t="n">
        <f aca="false">(R63+Q63)*(R62-Q62)/2</f>
        <v>0</v>
      </c>
      <c r="R64" s="351" t="n">
        <f aca="false">(S63+R63)*(S62-R62)/2</f>
        <v>0</v>
      </c>
      <c r="S64" s="351" t="n">
        <f aca="false">(T63+S63)*(T62-S62)/2</f>
        <v>0</v>
      </c>
      <c r="T64" s="351" t="n">
        <f aca="false">(U63+T63)*(U62-T62)/2</f>
        <v>0</v>
      </c>
      <c r="U64" s="351" t="n">
        <f aca="false">(V63+U63)*(V62-U62)/2</f>
        <v>0</v>
      </c>
      <c r="V64" s="351" t="n">
        <f aca="false">(W63+V63)*(W62-V62)/2</f>
        <v>0</v>
      </c>
      <c r="W64" s="351" t="n">
        <f aca="false">(X63+W63)*(X62-W62)/2</f>
        <v>0</v>
      </c>
      <c r="X64" s="351" t="n">
        <f aca="false">(Y63+X63)*(Y62-X62)/2</f>
        <v>0</v>
      </c>
      <c r="Y64" s="337"/>
    </row>
    <row r="66" customFormat="false" ht="13.5" hidden="false" customHeight="false" outlineLevel="0" collapsed="false">
      <c r="A66" s="171" t="s">
        <v>237</v>
      </c>
    </row>
    <row r="67" customFormat="false" ht="13.5" hidden="false" customHeight="false" outlineLevel="0" collapsed="false">
      <c r="A67" s="339" t="s">
        <v>238</v>
      </c>
      <c r="B67" s="340" t="n">
        <f aca="false">ROW(A67)</f>
        <v>67</v>
      </c>
      <c r="C67" s="323" t="s">
        <v>212</v>
      </c>
      <c r="D67" s="324" t="n">
        <f aca="false">SUM(B70:Y70)</f>
        <v>2.65</v>
      </c>
      <c r="E67" s="323" t="s">
        <v>213</v>
      </c>
      <c r="F67" s="325" t="n">
        <f aca="false">D67/g/J67</f>
        <v>54.026503567788</v>
      </c>
      <c r="G67" s="323" t="s">
        <v>214</v>
      </c>
      <c r="H67" s="341" t="n">
        <v>0.015</v>
      </c>
      <c r="I67" s="323" t="s">
        <v>225</v>
      </c>
      <c r="J67" s="326" t="n">
        <f aca="false">H67-L67</f>
        <v>0.005</v>
      </c>
      <c r="K67" s="323" t="s">
        <v>226</v>
      </c>
      <c r="L67" s="341" t="n">
        <v>0.01</v>
      </c>
      <c r="M67" s="323" t="s">
        <v>217</v>
      </c>
      <c r="N67" s="342" t="n">
        <v>30</v>
      </c>
      <c r="O67" s="323" t="s">
        <v>218</v>
      </c>
      <c r="P67" s="342" t="n">
        <v>30</v>
      </c>
      <c r="Q67" s="323" t="s">
        <v>219</v>
      </c>
      <c r="R67" s="342" t="n">
        <v>70</v>
      </c>
      <c r="S67" s="323" t="s">
        <v>220</v>
      </c>
      <c r="T67" s="342" t="n">
        <v>15</v>
      </c>
      <c r="U67" s="323" t="s">
        <v>8</v>
      </c>
      <c r="V67" s="343" t="s">
        <v>239</v>
      </c>
      <c r="W67" s="329" t="s">
        <v>221</v>
      </c>
      <c r="X67" s="352" t="n">
        <v>0.32</v>
      </c>
      <c r="Y67" s="329" t="s">
        <v>222</v>
      </c>
      <c r="Z67" s="328" t="n">
        <v>3</v>
      </c>
    </row>
    <row r="68" customFormat="false" ht="12" hidden="false" customHeight="false" outlineLevel="0" collapsed="false">
      <c r="A68" s="321" t="s">
        <v>227</v>
      </c>
      <c r="B68" s="344" t="n">
        <v>0</v>
      </c>
      <c r="C68" s="345" t="n">
        <v>0.2</v>
      </c>
      <c r="D68" s="345" t="n">
        <v>0.3</v>
      </c>
      <c r="E68" s="345" t="n">
        <v>0.4</v>
      </c>
      <c r="F68" s="345" t="n">
        <v>0.5</v>
      </c>
      <c r="G68" s="345" t="n">
        <v>0.55</v>
      </c>
      <c r="H68" s="345" t="n">
        <v>0.6</v>
      </c>
      <c r="I68" s="345" t="n">
        <v>0.6</v>
      </c>
      <c r="J68" s="345" t="n">
        <v>0.6</v>
      </c>
      <c r="K68" s="345" t="n">
        <v>0.6</v>
      </c>
      <c r="L68" s="345" t="n">
        <v>0.6</v>
      </c>
      <c r="M68" s="345" t="n">
        <v>0.6</v>
      </c>
      <c r="N68" s="345" t="n">
        <v>0.6</v>
      </c>
      <c r="O68" s="345" t="n">
        <v>0.6</v>
      </c>
      <c r="P68" s="345" t="n">
        <v>0.6</v>
      </c>
      <c r="Q68" s="345" t="n">
        <v>0.6</v>
      </c>
      <c r="R68" s="345" t="n">
        <v>0.6</v>
      </c>
      <c r="S68" s="345" t="n">
        <v>0.6</v>
      </c>
      <c r="T68" s="345" t="n">
        <v>0.6</v>
      </c>
      <c r="U68" s="345" t="n">
        <v>0.6</v>
      </c>
      <c r="V68" s="345" t="n">
        <v>0.6</v>
      </c>
      <c r="W68" s="345" t="n">
        <v>0.6</v>
      </c>
      <c r="X68" s="345" t="n">
        <v>0.6</v>
      </c>
      <c r="Y68" s="333" t="n">
        <v>1000</v>
      </c>
    </row>
    <row r="69" customFormat="false" ht="12" hidden="false" customHeight="false" outlineLevel="0" collapsed="false">
      <c r="A69" s="346" t="s">
        <v>228</v>
      </c>
      <c r="B69" s="347" t="n">
        <v>0</v>
      </c>
      <c r="C69" s="348" t="n">
        <v>9</v>
      </c>
      <c r="D69" s="348" t="n">
        <v>4.5</v>
      </c>
      <c r="E69" s="348" t="n">
        <v>4</v>
      </c>
      <c r="F69" s="348" t="n">
        <v>4</v>
      </c>
      <c r="G69" s="348" t="n">
        <v>3</v>
      </c>
      <c r="H69" s="348" t="n">
        <v>0</v>
      </c>
      <c r="I69" s="348" t="n">
        <v>0</v>
      </c>
      <c r="J69" s="348" t="n">
        <v>0</v>
      </c>
      <c r="K69" s="348" t="n">
        <v>0</v>
      </c>
      <c r="L69" s="348" t="n">
        <v>0</v>
      </c>
      <c r="M69" s="348" t="n">
        <v>0</v>
      </c>
      <c r="N69" s="348" t="n">
        <v>0</v>
      </c>
      <c r="O69" s="348" t="n">
        <v>0</v>
      </c>
      <c r="P69" s="348" t="n">
        <v>0</v>
      </c>
      <c r="Q69" s="348" t="n">
        <v>0</v>
      </c>
      <c r="R69" s="348" t="n">
        <v>0</v>
      </c>
      <c r="S69" s="348" t="n">
        <v>0</v>
      </c>
      <c r="T69" s="348" t="n">
        <v>0</v>
      </c>
      <c r="U69" s="348" t="n">
        <v>0</v>
      </c>
      <c r="V69" s="348" t="n">
        <v>0</v>
      </c>
      <c r="W69" s="348" t="n">
        <v>0</v>
      </c>
      <c r="X69" s="348" t="n">
        <v>0</v>
      </c>
      <c r="Y69" s="349" t="n">
        <v>0</v>
      </c>
    </row>
    <row r="70" customFormat="false" ht="12.75" hidden="false" customHeight="false" outlineLevel="0" collapsed="false">
      <c r="A70" s="334" t="s">
        <v>229</v>
      </c>
      <c r="B70" s="350" t="n">
        <f aca="false">(C69+B69)*(C68-B68)/2</f>
        <v>0.9</v>
      </c>
      <c r="C70" s="351" t="n">
        <f aca="false">(D69+C69)*(D68-C68)/2</f>
        <v>0.675</v>
      </c>
      <c r="D70" s="351" t="n">
        <f aca="false">(E69+D69)*(E68-D68)/2</f>
        <v>0.425</v>
      </c>
      <c r="E70" s="351" t="n">
        <f aca="false">(F69+E69)*(F68-E68)/2</f>
        <v>0.4</v>
      </c>
      <c r="F70" s="351" t="n">
        <f aca="false">(G69+F69)*(G68-F68)/2</f>
        <v>0.175</v>
      </c>
      <c r="G70" s="351" t="n">
        <f aca="false">(H69+G69)*(H68-G68)/2</f>
        <v>0.0749999999999999</v>
      </c>
      <c r="H70" s="351" t="n">
        <f aca="false">(I69+H69)*(I68-H68)/2</f>
        <v>0</v>
      </c>
      <c r="I70" s="351" t="n">
        <f aca="false">(J69+I69)*(J68-I68)/2</f>
        <v>0</v>
      </c>
      <c r="J70" s="351" t="n">
        <f aca="false">(K69+J69)*(K68-J68)/2</f>
        <v>0</v>
      </c>
      <c r="K70" s="351" t="n">
        <f aca="false">(L69+K69)*(L68-K68)/2</f>
        <v>0</v>
      </c>
      <c r="L70" s="351" t="n">
        <f aca="false">(M69+L69)*(M68-L68)/2</f>
        <v>0</v>
      </c>
      <c r="M70" s="351" t="n">
        <f aca="false">(N69+M69)*(N68-M68)/2</f>
        <v>0</v>
      </c>
      <c r="N70" s="351" t="n">
        <f aca="false">(O69+N69)*(O68-N68)/2</f>
        <v>0</v>
      </c>
      <c r="O70" s="351" t="n">
        <f aca="false">(P69+O69)*(P68-O68)/2</f>
        <v>0</v>
      </c>
      <c r="P70" s="351" t="n">
        <f aca="false">(Q69+P69)*(Q68-P68)/2</f>
        <v>0</v>
      </c>
      <c r="Q70" s="351" t="n">
        <f aca="false">(R69+Q69)*(R68-Q68)/2</f>
        <v>0</v>
      </c>
      <c r="R70" s="351" t="n">
        <f aca="false">(S69+R69)*(S68-R68)/2</f>
        <v>0</v>
      </c>
      <c r="S70" s="351" t="n">
        <f aca="false">(T69+S69)*(T68-S68)/2</f>
        <v>0</v>
      </c>
      <c r="T70" s="351" t="n">
        <f aca="false">(U69+T69)*(U68-T68)/2</f>
        <v>0</v>
      </c>
      <c r="U70" s="351" t="n">
        <f aca="false">(V69+U69)*(V68-U68)/2</f>
        <v>0</v>
      </c>
      <c r="V70" s="351" t="n">
        <f aca="false">(W69+V69)*(W68-V68)/2</f>
        <v>0</v>
      </c>
      <c r="W70" s="351" t="n">
        <f aca="false">(X69+W69)*(X68-W68)/2</f>
        <v>0</v>
      </c>
      <c r="X70" s="351" t="n">
        <f aca="false">(Y69+X69)*(Y68-X68)/2</f>
        <v>0</v>
      </c>
      <c r="Y70" s="337"/>
    </row>
    <row r="71" customFormat="false" ht="12.75" hidden="false" customHeight="false" outlineLevel="0" collapsed="false">
      <c r="A71" s="338"/>
      <c r="L71" s="338"/>
      <c r="M71" s="338"/>
      <c r="N71" s="338"/>
      <c r="O71" s="338"/>
      <c r="P71" s="338"/>
      <c r="Q71" s="338"/>
      <c r="R71" s="338"/>
      <c r="S71" s="338"/>
      <c r="T71" s="338"/>
      <c r="U71" s="338"/>
      <c r="V71" s="338"/>
      <c r="W71" s="338"/>
      <c r="X71" s="338"/>
      <c r="Y71" s="338"/>
    </row>
    <row r="72" customFormat="false" ht="13.5" hidden="false" customHeight="false" outlineLevel="0" collapsed="false">
      <c r="A72" s="339" t="s">
        <v>240</v>
      </c>
      <c r="B72" s="340" t="n">
        <f aca="false">ROW(A72)</f>
        <v>72</v>
      </c>
      <c r="C72" s="323" t="s">
        <v>212</v>
      </c>
      <c r="D72" s="324" t="n">
        <f aca="false">SUM(B75:Y75)</f>
        <v>5.25</v>
      </c>
      <c r="E72" s="323" t="s">
        <v>213</v>
      </c>
      <c r="F72" s="325" t="n">
        <f aca="false">D72/g/J72</f>
        <v>89.1946992864424</v>
      </c>
      <c r="G72" s="323" t="s">
        <v>214</v>
      </c>
      <c r="H72" s="341" t="n">
        <v>0.02</v>
      </c>
      <c r="I72" s="323" t="s">
        <v>225</v>
      </c>
      <c r="J72" s="326" t="n">
        <f aca="false">H72-L72</f>
        <v>0.006</v>
      </c>
      <c r="K72" s="323" t="s">
        <v>226</v>
      </c>
      <c r="L72" s="341" t="n">
        <v>0.014</v>
      </c>
      <c r="M72" s="323" t="s">
        <v>217</v>
      </c>
      <c r="N72" s="342" t="n">
        <v>30</v>
      </c>
      <c r="O72" s="323" t="s">
        <v>218</v>
      </c>
      <c r="P72" s="342" t="n">
        <v>30</v>
      </c>
      <c r="Q72" s="323" t="s">
        <v>219</v>
      </c>
      <c r="R72" s="342" t="n">
        <v>70</v>
      </c>
      <c r="S72" s="323" t="s">
        <v>220</v>
      </c>
      <c r="T72" s="342" t="n">
        <v>15</v>
      </c>
      <c r="U72" s="323" t="s">
        <v>8</v>
      </c>
      <c r="V72" s="343" t="s">
        <v>239</v>
      </c>
      <c r="W72" s="329" t="s">
        <v>221</v>
      </c>
      <c r="X72" s="352" t="n">
        <v>1.2</v>
      </c>
      <c r="Y72" s="329" t="s">
        <v>222</v>
      </c>
      <c r="Z72" s="328" t="n">
        <v>4</v>
      </c>
    </row>
    <row r="73" customFormat="false" ht="12" hidden="false" customHeight="false" outlineLevel="0" collapsed="false">
      <c r="A73" s="321" t="s">
        <v>227</v>
      </c>
      <c r="B73" s="344" t="n">
        <v>0</v>
      </c>
      <c r="C73" s="345" t="n">
        <v>0.2</v>
      </c>
      <c r="D73" s="345" t="n">
        <v>0.3</v>
      </c>
      <c r="E73" s="345" t="n">
        <v>0.55</v>
      </c>
      <c r="F73" s="345" t="n">
        <v>1.05</v>
      </c>
      <c r="G73" s="345" t="n">
        <v>1.15</v>
      </c>
      <c r="H73" s="345" t="n">
        <v>1.15</v>
      </c>
      <c r="I73" s="345" t="n">
        <v>1.15</v>
      </c>
      <c r="J73" s="345" t="n">
        <v>1.15</v>
      </c>
      <c r="K73" s="345" t="n">
        <v>1.15</v>
      </c>
      <c r="L73" s="345" t="n">
        <v>1.15</v>
      </c>
      <c r="M73" s="345" t="n">
        <v>1.15</v>
      </c>
      <c r="N73" s="345" t="n">
        <v>1.15</v>
      </c>
      <c r="O73" s="345" t="n">
        <v>1.15</v>
      </c>
      <c r="P73" s="345" t="n">
        <v>1.15</v>
      </c>
      <c r="Q73" s="345" t="n">
        <v>1.15</v>
      </c>
      <c r="R73" s="345" t="n">
        <v>1.15</v>
      </c>
      <c r="S73" s="345" t="n">
        <v>1.15</v>
      </c>
      <c r="T73" s="345" t="n">
        <v>1.15</v>
      </c>
      <c r="U73" s="345" t="n">
        <v>1.15</v>
      </c>
      <c r="V73" s="345" t="n">
        <v>1.15</v>
      </c>
      <c r="W73" s="345" t="n">
        <v>1.15</v>
      </c>
      <c r="X73" s="345" t="n">
        <v>1.15</v>
      </c>
      <c r="Y73" s="333" t="n">
        <v>1000</v>
      </c>
    </row>
    <row r="74" customFormat="false" ht="12" hidden="false" customHeight="false" outlineLevel="0" collapsed="false">
      <c r="A74" s="346" t="s">
        <v>228</v>
      </c>
      <c r="B74" s="347" t="n">
        <v>0</v>
      </c>
      <c r="C74" s="348" t="n">
        <v>10</v>
      </c>
      <c r="D74" s="348" t="n">
        <v>6</v>
      </c>
      <c r="E74" s="348" t="n">
        <v>4</v>
      </c>
      <c r="F74" s="348" t="n">
        <v>4</v>
      </c>
      <c r="G74" s="348" t="n">
        <v>0</v>
      </c>
      <c r="H74" s="348" t="n">
        <v>0</v>
      </c>
      <c r="I74" s="348" t="n">
        <v>0</v>
      </c>
      <c r="J74" s="348" t="n">
        <v>0</v>
      </c>
      <c r="K74" s="348" t="n">
        <v>0</v>
      </c>
      <c r="L74" s="348" t="n">
        <v>0</v>
      </c>
      <c r="M74" s="348" t="n">
        <v>0</v>
      </c>
      <c r="N74" s="348" t="n">
        <v>0</v>
      </c>
      <c r="O74" s="348" t="n">
        <v>0</v>
      </c>
      <c r="P74" s="348" t="n">
        <v>0</v>
      </c>
      <c r="Q74" s="348" t="n">
        <v>0</v>
      </c>
      <c r="R74" s="348" t="n">
        <v>0</v>
      </c>
      <c r="S74" s="348" t="n">
        <v>0</v>
      </c>
      <c r="T74" s="348" t="n">
        <v>0</v>
      </c>
      <c r="U74" s="348" t="n">
        <v>0</v>
      </c>
      <c r="V74" s="348" t="n">
        <v>0</v>
      </c>
      <c r="W74" s="348" t="n">
        <v>0</v>
      </c>
      <c r="X74" s="348" t="n">
        <v>0</v>
      </c>
      <c r="Y74" s="349" t="n">
        <v>0</v>
      </c>
    </row>
    <row r="75" customFormat="false" ht="12.75" hidden="false" customHeight="false" outlineLevel="0" collapsed="false">
      <c r="A75" s="334" t="s">
        <v>229</v>
      </c>
      <c r="B75" s="350" t="n">
        <f aca="false">(C74+B74)*(C73-B73)/2</f>
        <v>1</v>
      </c>
      <c r="C75" s="351" t="n">
        <f aca="false">(D74+C74)*(D73-C73)/2</f>
        <v>0.8</v>
      </c>
      <c r="D75" s="351" t="n">
        <f aca="false">(E74+D74)*(E73-D73)/2</f>
        <v>1.25</v>
      </c>
      <c r="E75" s="351" t="n">
        <f aca="false">(F74+E74)*(F73-E73)/2</f>
        <v>2</v>
      </c>
      <c r="F75" s="351" t="n">
        <f aca="false">(G74+F74)*(G73-F73)/2</f>
        <v>0.2</v>
      </c>
      <c r="G75" s="351" t="n">
        <f aca="false">(H74+G74)*(H73-G73)/2</f>
        <v>0</v>
      </c>
      <c r="H75" s="351" t="n">
        <f aca="false">(I74+H74)*(I73-H73)/2</f>
        <v>0</v>
      </c>
      <c r="I75" s="351" t="n">
        <f aca="false">(J74+I74)*(J73-I73)/2</f>
        <v>0</v>
      </c>
      <c r="J75" s="351" t="n">
        <f aca="false">(K74+J74)*(K73-J73)/2</f>
        <v>0</v>
      </c>
      <c r="K75" s="351" t="n">
        <f aca="false">(L74+K74)*(L73-K73)/2</f>
        <v>0</v>
      </c>
      <c r="L75" s="351" t="n">
        <f aca="false">(M74+L74)*(M73-L73)/2</f>
        <v>0</v>
      </c>
      <c r="M75" s="351" t="n">
        <f aca="false">(N74+M74)*(N73-M73)/2</f>
        <v>0</v>
      </c>
      <c r="N75" s="351" t="n">
        <f aca="false">(O74+N74)*(O73-N73)/2</f>
        <v>0</v>
      </c>
      <c r="O75" s="351" t="n">
        <f aca="false">(P74+O74)*(P73-O73)/2</f>
        <v>0</v>
      </c>
      <c r="P75" s="351" t="n">
        <f aca="false">(Q74+P74)*(Q73-P73)/2</f>
        <v>0</v>
      </c>
      <c r="Q75" s="351" t="n">
        <f aca="false">(R74+Q74)*(R73-Q73)/2</f>
        <v>0</v>
      </c>
      <c r="R75" s="351" t="n">
        <f aca="false">(S74+R74)*(S73-R73)/2</f>
        <v>0</v>
      </c>
      <c r="S75" s="351" t="n">
        <f aca="false">(T74+S74)*(T73-S73)/2</f>
        <v>0</v>
      </c>
      <c r="T75" s="351" t="n">
        <f aca="false">(U74+T74)*(U73-T73)/2</f>
        <v>0</v>
      </c>
      <c r="U75" s="351" t="n">
        <f aca="false">(V74+U74)*(V73-U73)/2</f>
        <v>0</v>
      </c>
      <c r="V75" s="351" t="n">
        <f aca="false">(W74+V74)*(W73-V73)/2</f>
        <v>0</v>
      </c>
      <c r="W75" s="351" t="n">
        <f aca="false">(X74+W74)*(X73-W73)/2</f>
        <v>0</v>
      </c>
      <c r="X75" s="351" t="n">
        <f aca="false">(Y74+X74)*(Y73-X73)/2</f>
        <v>0</v>
      </c>
      <c r="Y75" s="337"/>
    </row>
    <row r="76" customFormat="false" ht="12.75" hidden="false" customHeight="false" outlineLevel="0" collapsed="false">
      <c r="B76" s="338"/>
      <c r="C76" s="338"/>
      <c r="D76" s="338"/>
      <c r="E76" s="338"/>
      <c r="F76" s="338"/>
      <c r="G76" s="338"/>
      <c r="H76" s="338"/>
      <c r="I76" s="338"/>
      <c r="J76" s="338"/>
      <c r="K76" s="338"/>
      <c r="L76" s="338"/>
      <c r="M76" s="338"/>
      <c r="N76" s="338"/>
      <c r="O76" s="338"/>
      <c r="P76" s="338"/>
      <c r="Q76" s="338"/>
      <c r="R76" s="338"/>
      <c r="S76" s="338"/>
      <c r="T76" s="338"/>
      <c r="U76" s="338"/>
      <c r="V76" s="338"/>
      <c r="W76" s="338"/>
      <c r="X76" s="338"/>
      <c r="Y76" s="338"/>
    </row>
    <row r="77" customFormat="false" ht="13.5" hidden="false" customHeight="false" outlineLevel="0" collapsed="false">
      <c r="A77" s="339" t="s">
        <v>241</v>
      </c>
      <c r="B77" s="340" t="n">
        <f aca="false">ROW(A77)</f>
        <v>77</v>
      </c>
      <c r="C77" s="323" t="s">
        <v>212</v>
      </c>
      <c r="D77" s="324" t="n">
        <f aca="false">SUM(B80:Y80)</f>
        <v>10.26</v>
      </c>
      <c r="E77" s="323" t="s">
        <v>213</v>
      </c>
      <c r="F77" s="325" t="n">
        <f aca="false">D77/g/J77</f>
        <v>80.4516584333098</v>
      </c>
      <c r="G77" s="323" t="s">
        <v>214</v>
      </c>
      <c r="H77" s="341" t="n">
        <v>0.024</v>
      </c>
      <c r="I77" s="323" t="s">
        <v>225</v>
      </c>
      <c r="J77" s="326" t="n">
        <f aca="false">H77-L77</f>
        <v>0.013</v>
      </c>
      <c r="K77" s="323" t="s">
        <v>226</v>
      </c>
      <c r="L77" s="341" t="n">
        <v>0.011</v>
      </c>
      <c r="M77" s="323" t="s">
        <v>217</v>
      </c>
      <c r="N77" s="342" t="n">
        <v>30</v>
      </c>
      <c r="O77" s="323" t="s">
        <v>218</v>
      </c>
      <c r="P77" s="342" t="n">
        <v>30</v>
      </c>
      <c r="Q77" s="323" t="s">
        <v>219</v>
      </c>
      <c r="R77" s="342" t="n">
        <v>70</v>
      </c>
      <c r="S77" s="323" t="s">
        <v>220</v>
      </c>
      <c r="T77" s="342" t="n">
        <v>15</v>
      </c>
      <c r="U77" s="323" t="s">
        <v>8</v>
      </c>
      <c r="V77" s="343" t="s">
        <v>239</v>
      </c>
      <c r="W77" s="329" t="s">
        <v>221</v>
      </c>
      <c r="X77" s="352" t="n">
        <v>1.7</v>
      </c>
      <c r="Y77" s="329" t="s">
        <v>222</v>
      </c>
      <c r="Z77" s="328" t="n">
        <v>3</v>
      </c>
    </row>
    <row r="78" customFormat="false" ht="12" hidden="false" customHeight="false" outlineLevel="0" collapsed="false">
      <c r="A78" s="321" t="s">
        <v>227</v>
      </c>
      <c r="B78" s="344" t="n">
        <v>0</v>
      </c>
      <c r="C78" s="345" t="n">
        <v>0.2</v>
      </c>
      <c r="D78" s="345" t="n">
        <v>0.3</v>
      </c>
      <c r="E78" s="345" t="n">
        <v>0.6</v>
      </c>
      <c r="F78" s="345" t="n">
        <v>0.8</v>
      </c>
      <c r="G78" s="345" t="n">
        <v>2</v>
      </c>
      <c r="H78" s="345" t="n">
        <v>2.1</v>
      </c>
      <c r="I78" s="345" t="n">
        <v>2.1</v>
      </c>
      <c r="J78" s="345" t="n">
        <v>2.1</v>
      </c>
      <c r="K78" s="345" t="n">
        <v>2.1</v>
      </c>
      <c r="L78" s="345" t="n">
        <v>2.1</v>
      </c>
      <c r="M78" s="345" t="n">
        <v>2.1</v>
      </c>
      <c r="N78" s="345" t="n">
        <v>2.1</v>
      </c>
      <c r="O78" s="345" t="n">
        <v>2.1</v>
      </c>
      <c r="P78" s="345" t="n">
        <v>2.1</v>
      </c>
      <c r="Q78" s="345" t="n">
        <v>2.1</v>
      </c>
      <c r="R78" s="345" t="n">
        <v>2.1</v>
      </c>
      <c r="S78" s="345" t="n">
        <v>2.1</v>
      </c>
      <c r="T78" s="345" t="n">
        <v>2.1</v>
      </c>
      <c r="U78" s="345" t="n">
        <v>2.1</v>
      </c>
      <c r="V78" s="345" t="n">
        <v>2.1</v>
      </c>
      <c r="W78" s="345" t="n">
        <v>2.1</v>
      </c>
      <c r="X78" s="345" t="n">
        <v>2.1</v>
      </c>
      <c r="Y78" s="333" t="n">
        <v>1000</v>
      </c>
    </row>
    <row r="79" customFormat="false" ht="12" hidden="false" customHeight="false" outlineLevel="0" collapsed="false">
      <c r="A79" s="346" t="s">
        <v>228</v>
      </c>
      <c r="B79" s="347" t="n">
        <v>0</v>
      </c>
      <c r="C79" s="348" t="n">
        <v>11</v>
      </c>
      <c r="D79" s="348" t="n">
        <v>7</v>
      </c>
      <c r="E79" s="348" t="n">
        <v>4</v>
      </c>
      <c r="F79" s="348" t="n">
        <v>4.6</v>
      </c>
      <c r="G79" s="348" t="n">
        <v>4.6</v>
      </c>
      <c r="H79" s="348" t="n">
        <v>0</v>
      </c>
      <c r="I79" s="348" t="n">
        <v>0</v>
      </c>
      <c r="J79" s="348" t="n">
        <v>0</v>
      </c>
      <c r="K79" s="348" t="n">
        <v>0</v>
      </c>
      <c r="L79" s="348" t="n">
        <v>0</v>
      </c>
      <c r="M79" s="348" t="n">
        <v>0</v>
      </c>
      <c r="N79" s="348" t="n">
        <v>0</v>
      </c>
      <c r="O79" s="348" t="n">
        <v>0</v>
      </c>
      <c r="P79" s="348" t="n">
        <v>0</v>
      </c>
      <c r="Q79" s="348" t="n">
        <v>0</v>
      </c>
      <c r="R79" s="348" t="n">
        <v>0</v>
      </c>
      <c r="S79" s="348" t="n">
        <v>0</v>
      </c>
      <c r="T79" s="348" t="n">
        <v>0</v>
      </c>
      <c r="U79" s="348" t="n">
        <v>0</v>
      </c>
      <c r="V79" s="348" t="n">
        <v>0</v>
      </c>
      <c r="W79" s="348" t="n">
        <v>0</v>
      </c>
      <c r="X79" s="348" t="n">
        <v>0</v>
      </c>
      <c r="Y79" s="349" t="n">
        <v>0</v>
      </c>
    </row>
    <row r="80" customFormat="false" ht="12.75" hidden="false" customHeight="false" outlineLevel="0" collapsed="false">
      <c r="A80" s="334" t="s">
        <v>229</v>
      </c>
      <c r="B80" s="350" t="n">
        <f aca="false">(C79+B79)*(C78-B78)/2</f>
        <v>1.1</v>
      </c>
      <c r="C80" s="351" t="n">
        <f aca="false">(D79+C79)*(D78-C78)/2</f>
        <v>0.9</v>
      </c>
      <c r="D80" s="351" t="n">
        <f aca="false">(E79+D79)*(E78-D78)/2</f>
        <v>1.65</v>
      </c>
      <c r="E80" s="351" t="n">
        <f aca="false">(F79+E79)*(F78-E78)/2</f>
        <v>0.86</v>
      </c>
      <c r="F80" s="351" t="n">
        <f aca="false">(G79+F79)*(G78-F78)/2</f>
        <v>5.52</v>
      </c>
      <c r="G80" s="351" t="n">
        <f aca="false">(H79+G79)*(H78-G78)/2</f>
        <v>0.23</v>
      </c>
      <c r="H80" s="351" t="n">
        <f aca="false">(I79+H79)*(I78-H78)/2</f>
        <v>0</v>
      </c>
      <c r="I80" s="351" t="n">
        <f aca="false">(J79+I79)*(J78-I78)/2</f>
        <v>0</v>
      </c>
      <c r="J80" s="351" t="n">
        <f aca="false">(K79+J79)*(K78-J78)/2</f>
        <v>0</v>
      </c>
      <c r="K80" s="351" t="n">
        <f aca="false">(L79+K79)*(L78-K78)/2</f>
        <v>0</v>
      </c>
      <c r="L80" s="351" t="n">
        <f aca="false">(M79+L79)*(M78-L78)/2</f>
        <v>0</v>
      </c>
      <c r="M80" s="351" t="n">
        <f aca="false">(N79+M79)*(N78-M78)/2</f>
        <v>0</v>
      </c>
      <c r="N80" s="351" t="n">
        <f aca="false">(O79+N79)*(O78-N78)/2</f>
        <v>0</v>
      </c>
      <c r="O80" s="351" t="n">
        <f aca="false">(P79+O79)*(P78-O78)/2</f>
        <v>0</v>
      </c>
      <c r="P80" s="351" t="n">
        <f aca="false">(Q79+P79)*(Q78-P78)/2</f>
        <v>0</v>
      </c>
      <c r="Q80" s="351" t="n">
        <f aca="false">(R79+Q79)*(R78-Q78)/2</f>
        <v>0</v>
      </c>
      <c r="R80" s="351" t="n">
        <f aca="false">(S79+R79)*(S78-R78)/2</f>
        <v>0</v>
      </c>
      <c r="S80" s="351" t="n">
        <f aca="false">(T79+S79)*(T78-S78)/2</f>
        <v>0</v>
      </c>
      <c r="T80" s="351" t="n">
        <f aca="false">(U79+T79)*(U78-T78)/2</f>
        <v>0</v>
      </c>
      <c r="U80" s="351" t="n">
        <f aca="false">(V79+U79)*(V78-U78)/2</f>
        <v>0</v>
      </c>
      <c r="V80" s="351" t="n">
        <f aca="false">(W79+V79)*(W78-V78)/2</f>
        <v>0</v>
      </c>
      <c r="W80" s="351" t="n">
        <f aca="false">(X79+W79)*(X78-W78)/2</f>
        <v>0</v>
      </c>
      <c r="X80" s="351" t="n">
        <f aca="false">(Y79+X79)*(Y78-X78)/2</f>
        <v>0</v>
      </c>
      <c r="Y80" s="337"/>
    </row>
    <row r="81" customFormat="false" ht="12.75" hidden="false" customHeight="false" outlineLevel="0" collapsed="false">
      <c r="A81" s="338"/>
      <c r="L81" s="338"/>
      <c r="M81" s="338"/>
      <c r="N81" s="338"/>
      <c r="O81" s="338"/>
      <c r="P81" s="338"/>
      <c r="Q81" s="338"/>
      <c r="R81" s="338"/>
      <c r="S81" s="338"/>
      <c r="T81" s="338"/>
      <c r="U81" s="338"/>
      <c r="V81" s="338"/>
      <c r="W81" s="338"/>
      <c r="X81" s="338"/>
      <c r="Y81" s="338"/>
    </row>
    <row r="82" customFormat="false" ht="13.5" hidden="false" customHeight="false" outlineLevel="0" collapsed="false">
      <c r="A82" s="339" t="s">
        <v>242</v>
      </c>
      <c r="B82" s="340" t="n">
        <f aca="false">ROW(A82)</f>
        <v>82</v>
      </c>
      <c r="C82" s="323" t="s">
        <v>212</v>
      </c>
      <c r="D82" s="324" t="n">
        <f aca="false">SUM(B85:Y85)</f>
        <v>20.52</v>
      </c>
      <c r="E82" s="323" t="s">
        <v>213</v>
      </c>
      <c r="F82" s="325" t="n">
        <f aca="false">D82/g/J82</f>
        <v>80.4516584333098</v>
      </c>
      <c r="G82" s="323" t="s">
        <v>214</v>
      </c>
      <c r="H82" s="341" t="n">
        <f aca="false">H77*2</f>
        <v>0.048</v>
      </c>
      <c r="I82" s="323" t="s">
        <v>225</v>
      </c>
      <c r="J82" s="326" t="n">
        <f aca="false">H82-L82</f>
        <v>0.026</v>
      </c>
      <c r="K82" s="323" t="s">
        <v>226</v>
      </c>
      <c r="L82" s="341" t="n">
        <f aca="false">L77*2</f>
        <v>0.022</v>
      </c>
      <c r="M82" s="323" t="s">
        <v>217</v>
      </c>
      <c r="N82" s="342" t="n">
        <v>30</v>
      </c>
      <c r="O82" s="323" t="s">
        <v>218</v>
      </c>
      <c r="P82" s="342" t="n">
        <v>30</v>
      </c>
      <c r="Q82" s="323" t="s">
        <v>219</v>
      </c>
      <c r="R82" s="342" t="n">
        <v>70</v>
      </c>
      <c r="S82" s="323" t="s">
        <v>220</v>
      </c>
      <c r="T82" s="342" t="n">
        <v>30</v>
      </c>
      <c r="U82" s="323" t="s">
        <v>8</v>
      </c>
      <c r="V82" s="343" t="s">
        <v>239</v>
      </c>
      <c r="W82" s="329" t="s">
        <v>221</v>
      </c>
      <c r="X82" s="352" t="n">
        <v>1.7</v>
      </c>
      <c r="Y82" s="329" t="s">
        <v>222</v>
      </c>
      <c r="Z82" s="328" t="n">
        <v>3</v>
      </c>
    </row>
    <row r="83" customFormat="false" ht="12" hidden="false" customHeight="false" outlineLevel="0" collapsed="false">
      <c r="A83" s="321" t="s">
        <v>227</v>
      </c>
      <c r="B83" s="344" t="n">
        <v>0</v>
      </c>
      <c r="C83" s="345" t="n">
        <v>0.2</v>
      </c>
      <c r="D83" s="345" t="n">
        <v>0.3</v>
      </c>
      <c r="E83" s="345" t="n">
        <v>0.6</v>
      </c>
      <c r="F83" s="345" t="n">
        <v>0.8</v>
      </c>
      <c r="G83" s="345" t="n">
        <v>2</v>
      </c>
      <c r="H83" s="345" t="n">
        <v>2.1</v>
      </c>
      <c r="I83" s="345" t="n">
        <v>2.1</v>
      </c>
      <c r="J83" s="345" t="n">
        <v>2.1</v>
      </c>
      <c r="K83" s="345" t="n">
        <v>2.1</v>
      </c>
      <c r="L83" s="345" t="n">
        <v>2.1</v>
      </c>
      <c r="M83" s="345" t="n">
        <v>2.1</v>
      </c>
      <c r="N83" s="345" t="n">
        <v>2.1</v>
      </c>
      <c r="O83" s="345" t="n">
        <v>2.1</v>
      </c>
      <c r="P83" s="345" t="n">
        <v>2.1</v>
      </c>
      <c r="Q83" s="345" t="n">
        <v>2.1</v>
      </c>
      <c r="R83" s="345" t="n">
        <v>2.1</v>
      </c>
      <c r="S83" s="345" t="n">
        <v>2.1</v>
      </c>
      <c r="T83" s="345" t="n">
        <v>2.1</v>
      </c>
      <c r="U83" s="345" t="n">
        <v>2.1</v>
      </c>
      <c r="V83" s="345" t="n">
        <v>2.1</v>
      </c>
      <c r="W83" s="345" t="n">
        <v>2.1</v>
      </c>
      <c r="X83" s="345" t="n">
        <v>2.1</v>
      </c>
      <c r="Y83" s="333" t="n">
        <v>1000</v>
      </c>
    </row>
    <row r="84" customFormat="false" ht="12" hidden="false" customHeight="false" outlineLevel="0" collapsed="false">
      <c r="A84" s="346" t="s">
        <v>228</v>
      </c>
      <c r="B84" s="347" t="n">
        <f aca="false">B79*2</f>
        <v>0</v>
      </c>
      <c r="C84" s="348" t="n">
        <f aca="false">C79*2</f>
        <v>22</v>
      </c>
      <c r="D84" s="348" t="n">
        <f aca="false">D79*2</f>
        <v>14</v>
      </c>
      <c r="E84" s="348" t="n">
        <f aca="false">E79*2</f>
        <v>8</v>
      </c>
      <c r="F84" s="348" t="n">
        <f aca="false">F79*2</f>
        <v>9.2</v>
      </c>
      <c r="G84" s="348" t="n">
        <f aca="false">G79*2</f>
        <v>9.2</v>
      </c>
      <c r="H84" s="348" t="n">
        <f aca="false">H79*2</f>
        <v>0</v>
      </c>
      <c r="I84" s="348" t="n">
        <f aca="false">I79*2</f>
        <v>0</v>
      </c>
      <c r="J84" s="348" t="n">
        <f aca="false">J79*2</f>
        <v>0</v>
      </c>
      <c r="K84" s="348" t="n">
        <f aca="false">K79*2</f>
        <v>0</v>
      </c>
      <c r="L84" s="348" t="n">
        <f aca="false">L79*2</f>
        <v>0</v>
      </c>
      <c r="M84" s="348" t="n">
        <f aca="false">M79*2</f>
        <v>0</v>
      </c>
      <c r="N84" s="348" t="n">
        <f aca="false">N79*2</f>
        <v>0</v>
      </c>
      <c r="O84" s="348" t="n">
        <f aca="false">O79*2</f>
        <v>0</v>
      </c>
      <c r="P84" s="348" t="n">
        <f aca="false">P79*2</f>
        <v>0</v>
      </c>
      <c r="Q84" s="348" t="n">
        <f aca="false">Q79*2</f>
        <v>0</v>
      </c>
      <c r="R84" s="348" t="n">
        <f aca="false">R79*2</f>
        <v>0</v>
      </c>
      <c r="S84" s="348" t="n">
        <f aca="false">S79*2</f>
        <v>0</v>
      </c>
      <c r="T84" s="348" t="n">
        <f aca="false">T79*2</f>
        <v>0</v>
      </c>
      <c r="U84" s="348" t="n">
        <f aca="false">U79*2</f>
        <v>0</v>
      </c>
      <c r="V84" s="348" t="n">
        <f aca="false">V79*2</f>
        <v>0</v>
      </c>
      <c r="W84" s="348" t="n">
        <f aca="false">W79*2</f>
        <v>0</v>
      </c>
      <c r="X84" s="348" t="n">
        <f aca="false">X79*2</f>
        <v>0</v>
      </c>
      <c r="Y84" s="349" t="n">
        <v>0</v>
      </c>
    </row>
    <row r="85" customFormat="false" ht="12.75" hidden="false" customHeight="false" outlineLevel="0" collapsed="false">
      <c r="A85" s="334" t="s">
        <v>229</v>
      </c>
      <c r="B85" s="350" t="n">
        <f aca="false">(C84+B84)*(C83-B83)/2</f>
        <v>2.2</v>
      </c>
      <c r="C85" s="351" t="n">
        <f aca="false">(D84+C84)*(D83-C83)/2</f>
        <v>1.8</v>
      </c>
      <c r="D85" s="351" t="n">
        <f aca="false">(E84+D84)*(E83-D83)/2</f>
        <v>3.3</v>
      </c>
      <c r="E85" s="351" t="n">
        <f aca="false">(F84+E84)*(F83-E83)/2</f>
        <v>1.72</v>
      </c>
      <c r="F85" s="351" t="n">
        <f aca="false">(G84+F84)*(G83-F83)/2</f>
        <v>11.04</v>
      </c>
      <c r="G85" s="351" t="n">
        <f aca="false">(H84+G84)*(H83-G83)/2</f>
        <v>0.46</v>
      </c>
      <c r="H85" s="351" t="n">
        <f aca="false">(I84+H84)*(I83-H83)/2</f>
        <v>0</v>
      </c>
      <c r="I85" s="351" t="n">
        <f aca="false">(J84+I84)*(J83-I83)/2</f>
        <v>0</v>
      </c>
      <c r="J85" s="351" t="n">
        <f aca="false">(K84+J84)*(K83-J83)/2</f>
        <v>0</v>
      </c>
      <c r="K85" s="351" t="n">
        <f aca="false">(L84+K84)*(L83-K83)/2</f>
        <v>0</v>
      </c>
      <c r="L85" s="351" t="n">
        <f aca="false">(M84+L84)*(M83-L83)/2</f>
        <v>0</v>
      </c>
      <c r="M85" s="351" t="n">
        <f aca="false">(N84+M84)*(N83-M83)/2</f>
        <v>0</v>
      </c>
      <c r="N85" s="351" t="n">
        <f aca="false">(O84+N84)*(O83-N83)/2</f>
        <v>0</v>
      </c>
      <c r="O85" s="351" t="n">
        <f aca="false">(P84+O84)*(P83-O83)/2</f>
        <v>0</v>
      </c>
      <c r="P85" s="351" t="n">
        <f aca="false">(Q84+P84)*(Q83-P83)/2</f>
        <v>0</v>
      </c>
      <c r="Q85" s="351" t="n">
        <f aca="false">(R84+Q84)*(R83-Q83)/2</f>
        <v>0</v>
      </c>
      <c r="R85" s="351" t="n">
        <f aca="false">(S84+R84)*(S83-R83)/2</f>
        <v>0</v>
      </c>
      <c r="S85" s="351" t="n">
        <f aca="false">(T84+S84)*(T83-S83)/2</f>
        <v>0</v>
      </c>
      <c r="T85" s="351" t="n">
        <f aca="false">(U84+T84)*(U83-T83)/2</f>
        <v>0</v>
      </c>
      <c r="U85" s="351" t="n">
        <f aca="false">(V84+U84)*(V83-U83)/2</f>
        <v>0</v>
      </c>
      <c r="V85" s="351" t="n">
        <f aca="false">(W84+V84)*(W83-V83)/2</f>
        <v>0</v>
      </c>
      <c r="W85" s="351" t="n">
        <f aca="false">(X84+W84)*(X83-W83)/2</f>
        <v>0</v>
      </c>
      <c r="X85" s="351" t="n">
        <f aca="false">(Y84+X84)*(Y83-X83)/2</f>
        <v>0</v>
      </c>
      <c r="Y85" s="337"/>
    </row>
    <row r="86" customFormat="false" ht="12.75" hidden="false" customHeight="false" outlineLevel="0" collapsed="false">
      <c r="B86" s="338"/>
      <c r="C86" s="338"/>
      <c r="D86" s="338"/>
      <c r="E86" s="338"/>
      <c r="F86" s="338"/>
      <c r="G86" s="338"/>
      <c r="H86" s="338"/>
      <c r="I86" s="338"/>
      <c r="J86" s="338"/>
      <c r="K86" s="338"/>
      <c r="L86" s="338"/>
      <c r="M86" s="338"/>
      <c r="N86" s="338"/>
      <c r="O86" s="338"/>
      <c r="P86" s="338"/>
      <c r="Q86" s="338"/>
      <c r="R86" s="338"/>
      <c r="S86" s="338"/>
      <c r="T86" s="338"/>
      <c r="U86" s="338"/>
      <c r="V86" s="338"/>
      <c r="W86" s="338"/>
      <c r="X86" s="338"/>
      <c r="Y86" s="338"/>
    </row>
    <row r="87" customFormat="false" ht="13.5" hidden="false" customHeight="false" outlineLevel="0" collapsed="false">
      <c r="A87" s="339" t="s">
        <v>243</v>
      </c>
      <c r="B87" s="340" t="n">
        <f aca="false">ROW(A87)</f>
        <v>87</v>
      </c>
      <c r="C87" s="323" t="s">
        <v>212</v>
      </c>
      <c r="D87" s="324" t="n">
        <f aca="false">SUM(B90:Y90)</f>
        <v>30.78</v>
      </c>
      <c r="E87" s="323" t="s">
        <v>213</v>
      </c>
      <c r="F87" s="325" t="n">
        <f aca="false">D87/g/J87</f>
        <v>80.4516584333098</v>
      </c>
      <c r="G87" s="323" t="s">
        <v>214</v>
      </c>
      <c r="H87" s="341" t="n">
        <f aca="false">H77*3</f>
        <v>0.072</v>
      </c>
      <c r="I87" s="323" t="s">
        <v>225</v>
      </c>
      <c r="J87" s="326" t="n">
        <f aca="false">H87-L87</f>
        <v>0.039</v>
      </c>
      <c r="K87" s="323" t="s">
        <v>226</v>
      </c>
      <c r="L87" s="341" t="n">
        <f aca="false">L77*3</f>
        <v>0.033</v>
      </c>
      <c r="M87" s="323" t="s">
        <v>217</v>
      </c>
      <c r="N87" s="342" t="n">
        <v>30</v>
      </c>
      <c r="O87" s="323" t="s">
        <v>218</v>
      </c>
      <c r="P87" s="342" t="n">
        <v>30</v>
      </c>
      <c r="Q87" s="323" t="s">
        <v>219</v>
      </c>
      <c r="R87" s="342" t="n">
        <v>70</v>
      </c>
      <c r="S87" s="323" t="s">
        <v>220</v>
      </c>
      <c r="T87" s="342" t="n">
        <v>40</v>
      </c>
      <c r="U87" s="323" t="s">
        <v>8</v>
      </c>
      <c r="V87" s="343" t="s">
        <v>239</v>
      </c>
      <c r="W87" s="329" t="s">
        <v>221</v>
      </c>
      <c r="X87" s="352" t="n">
        <v>1.7</v>
      </c>
      <c r="Y87" s="329" t="s">
        <v>222</v>
      </c>
      <c r="Z87" s="328" t="n">
        <v>3</v>
      </c>
    </row>
    <row r="88" customFormat="false" ht="12" hidden="false" customHeight="false" outlineLevel="0" collapsed="false">
      <c r="A88" s="321" t="s">
        <v>227</v>
      </c>
      <c r="B88" s="344" t="n">
        <v>0</v>
      </c>
      <c r="C88" s="345" t="n">
        <v>0.2</v>
      </c>
      <c r="D88" s="345" t="n">
        <v>0.3</v>
      </c>
      <c r="E88" s="345" t="n">
        <v>0.6</v>
      </c>
      <c r="F88" s="345" t="n">
        <v>0.8</v>
      </c>
      <c r="G88" s="345" t="n">
        <v>2</v>
      </c>
      <c r="H88" s="345" t="n">
        <v>2.1</v>
      </c>
      <c r="I88" s="345" t="n">
        <v>2.1</v>
      </c>
      <c r="J88" s="345" t="n">
        <v>2.1</v>
      </c>
      <c r="K88" s="345" t="n">
        <v>2.1</v>
      </c>
      <c r="L88" s="345" t="n">
        <v>2.1</v>
      </c>
      <c r="M88" s="345" t="n">
        <v>2.1</v>
      </c>
      <c r="N88" s="345" t="n">
        <v>2.1</v>
      </c>
      <c r="O88" s="345" t="n">
        <v>2.1</v>
      </c>
      <c r="P88" s="345" t="n">
        <v>2.1</v>
      </c>
      <c r="Q88" s="345" t="n">
        <v>2.1</v>
      </c>
      <c r="R88" s="345" t="n">
        <v>2.1</v>
      </c>
      <c r="S88" s="345" t="n">
        <v>2.1</v>
      </c>
      <c r="T88" s="345" t="n">
        <v>2.1</v>
      </c>
      <c r="U88" s="345" t="n">
        <v>2.1</v>
      </c>
      <c r="V88" s="345" t="n">
        <v>2.1</v>
      </c>
      <c r="W88" s="345" t="n">
        <v>2.1</v>
      </c>
      <c r="X88" s="345" t="n">
        <v>2.1</v>
      </c>
      <c r="Y88" s="333" t="n">
        <v>1000</v>
      </c>
    </row>
    <row r="89" customFormat="false" ht="12" hidden="false" customHeight="false" outlineLevel="0" collapsed="false">
      <c r="A89" s="346" t="s">
        <v>228</v>
      </c>
      <c r="B89" s="347" t="n">
        <f aca="false">B79*3</f>
        <v>0</v>
      </c>
      <c r="C89" s="348" t="n">
        <f aca="false">C79*3</f>
        <v>33</v>
      </c>
      <c r="D89" s="348" t="n">
        <f aca="false">D79*3</f>
        <v>21</v>
      </c>
      <c r="E89" s="348" t="n">
        <f aca="false">E79*3</f>
        <v>12</v>
      </c>
      <c r="F89" s="348" t="n">
        <f aca="false">F79*3</f>
        <v>13.8</v>
      </c>
      <c r="G89" s="348" t="n">
        <f aca="false">G79*3</f>
        <v>13.8</v>
      </c>
      <c r="H89" s="348" t="n">
        <f aca="false">H79*3</f>
        <v>0</v>
      </c>
      <c r="I89" s="348" t="n">
        <f aca="false">I79*3</f>
        <v>0</v>
      </c>
      <c r="J89" s="348" t="n">
        <f aca="false">J79*3</f>
        <v>0</v>
      </c>
      <c r="K89" s="348" t="n">
        <f aca="false">K79*3</f>
        <v>0</v>
      </c>
      <c r="L89" s="348" t="n">
        <f aca="false">L79*3</f>
        <v>0</v>
      </c>
      <c r="M89" s="348" t="n">
        <f aca="false">M79*3</f>
        <v>0</v>
      </c>
      <c r="N89" s="348" t="n">
        <f aca="false">N79*3</f>
        <v>0</v>
      </c>
      <c r="O89" s="348" t="n">
        <f aca="false">O79*3</f>
        <v>0</v>
      </c>
      <c r="P89" s="348" t="n">
        <f aca="false">P79*3</f>
        <v>0</v>
      </c>
      <c r="Q89" s="348" t="n">
        <f aca="false">Q79*3</f>
        <v>0</v>
      </c>
      <c r="R89" s="348" t="n">
        <f aca="false">R79*3</f>
        <v>0</v>
      </c>
      <c r="S89" s="348" t="n">
        <f aca="false">S79*3</f>
        <v>0</v>
      </c>
      <c r="T89" s="348" t="n">
        <f aca="false">T79*3</f>
        <v>0</v>
      </c>
      <c r="U89" s="348" t="n">
        <f aca="false">U79*3</f>
        <v>0</v>
      </c>
      <c r="V89" s="348" t="n">
        <f aca="false">V79*3</f>
        <v>0</v>
      </c>
      <c r="W89" s="348" t="n">
        <f aca="false">W79*3</f>
        <v>0</v>
      </c>
      <c r="X89" s="348" t="n">
        <f aca="false">X79*3</f>
        <v>0</v>
      </c>
      <c r="Y89" s="349" t="n">
        <v>0</v>
      </c>
    </row>
    <row r="90" customFormat="false" ht="12.75" hidden="false" customHeight="false" outlineLevel="0" collapsed="false">
      <c r="A90" s="334" t="s">
        <v>229</v>
      </c>
      <c r="B90" s="350" t="n">
        <f aca="false">(C89+B89)*(C88-B88)/2</f>
        <v>3.3</v>
      </c>
      <c r="C90" s="351" t="n">
        <f aca="false">(D89+C89)*(D88-C88)/2</f>
        <v>2.7</v>
      </c>
      <c r="D90" s="351" t="n">
        <f aca="false">(E89+D89)*(E88-D88)/2</f>
        <v>4.95</v>
      </c>
      <c r="E90" s="351" t="n">
        <f aca="false">(F89+E89)*(F88-E88)/2</f>
        <v>2.58</v>
      </c>
      <c r="F90" s="351" t="n">
        <f aca="false">(G89+F89)*(G88-F88)/2</f>
        <v>16.56</v>
      </c>
      <c r="G90" s="351" t="n">
        <f aca="false">(H89+G89)*(H88-G88)/2</f>
        <v>0.690000000000001</v>
      </c>
      <c r="H90" s="351" t="n">
        <f aca="false">(I89+H89)*(I88-H88)/2</f>
        <v>0</v>
      </c>
      <c r="I90" s="351" t="n">
        <f aca="false">(J89+I89)*(J88-I88)/2</f>
        <v>0</v>
      </c>
      <c r="J90" s="351" t="n">
        <f aca="false">(K89+J89)*(K88-J88)/2</f>
        <v>0</v>
      </c>
      <c r="K90" s="351" t="n">
        <f aca="false">(L89+K89)*(L88-K88)/2</f>
        <v>0</v>
      </c>
      <c r="L90" s="351" t="n">
        <f aca="false">(M89+L89)*(M88-L88)/2</f>
        <v>0</v>
      </c>
      <c r="M90" s="351" t="n">
        <f aca="false">(N89+M89)*(N88-M88)/2</f>
        <v>0</v>
      </c>
      <c r="N90" s="351" t="n">
        <f aca="false">(O89+N89)*(O88-N88)/2</f>
        <v>0</v>
      </c>
      <c r="O90" s="351" t="n">
        <f aca="false">(P89+O89)*(P88-O88)/2</f>
        <v>0</v>
      </c>
      <c r="P90" s="351" t="n">
        <f aca="false">(Q89+P89)*(Q88-P88)/2</f>
        <v>0</v>
      </c>
      <c r="Q90" s="351" t="n">
        <f aca="false">(R89+Q89)*(R88-Q88)/2</f>
        <v>0</v>
      </c>
      <c r="R90" s="351" t="n">
        <f aca="false">(S89+R89)*(S88-R88)/2</f>
        <v>0</v>
      </c>
      <c r="S90" s="351" t="n">
        <f aca="false">(T89+S89)*(T88-S88)/2</f>
        <v>0</v>
      </c>
      <c r="T90" s="351" t="n">
        <f aca="false">(U89+T89)*(U88-T88)/2</f>
        <v>0</v>
      </c>
      <c r="U90" s="351" t="n">
        <f aca="false">(V89+U89)*(V88-U88)/2</f>
        <v>0</v>
      </c>
      <c r="V90" s="351" t="n">
        <f aca="false">(W89+V89)*(W88-V88)/2</f>
        <v>0</v>
      </c>
      <c r="W90" s="351" t="n">
        <f aca="false">(X89+W89)*(X88-W88)/2</f>
        <v>0</v>
      </c>
      <c r="X90" s="351" t="n">
        <f aca="false">(Y89+X89)*(Y88-X88)/2</f>
        <v>0</v>
      </c>
      <c r="Y90" s="337"/>
    </row>
    <row r="91" customFormat="false" ht="12.75" hidden="false" customHeight="false" outlineLevel="0" collapsed="false">
      <c r="B91" s="338"/>
      <c r="C91" s="338"/>
      <c r="D91" s="338"/>
      <c r="E91" s="338"/>
      <c r="F91" s="338"/>
      <c r="G91" s="338"/>
      <c r="H91" s="338"/>
      <c r="I91" s="338"/>
      <c r="J91" s="338"/>
      <c r="K91" s="338"/>
      <c r="L91" s="338"/>
      <c r="M91" s="338"/>
      <c r="N91" s="338"/>
      <c r="O91" s="338"/>
      <c r="P91" s="338"/>
      <c r="Q91" s="338"/>
      <c r="R91" s="338"/>
      <c r="S91" s="338"/>
      <c r="T91" s="338"/>
      <c r="U91" s="338"/>
      <c r="V91" s="338"/>
      <c r="W91" s="338"/>
      <c r="X91" s="338"/>
      <c r="Y91" s="338"/>
    </row>
    <row r="92" customFormat="false" ht="13.5" hidden="false" customHeight="false" outlineLevel="0" collapsed="false">
      <c r="A92" s="339" t="s">
        <v>244</v>
      </c>
      <c r="B92" s="340" t="n">
        <f aca="false">ROW(A92)</f>
        <v>92</v>
      </c>
      <c r="C92" s="323" t="s">
        <v>212</v>
      </c>
      <c r="D92" s="324" t="n">
        <f aca="false">SUM(B95:Y95)</f>
        <v>19.961989</v>
      </c>
      <c r="E92" s="323" t="s">
        <v>213</v>
      </c>
      <c r="F92" s="325" t="n">
        <f aca="false">D92/g/J92</f>
        <v>118.305887442809</v>
      </c>
      <c r="G92" s="323" t="s">
        <v>214</v>
      </c>
      <c r="H92" s="341" t="n">
        <v>0.0282</v>
      </c>
      <c r="I92" s="323" t="s">
        <v>225</v>
      </c>
      <c r="J92" s="326" t="n">
        <f aca="false">H92-L92</f>
        <v>0.0172</v>
      </c>
      <c r="K92" s="323" t="s">
        <v>226</v>
      </c>
      <c r="L92" s="341" t="n">
        <v>0.011</v>
      </c>
      <c r="M92" s="323" t="s">
        <v>217</v>
      </c>
      <c r="N92" s="342" t="n">
        <v>30</v>
      </c>
      <c r="O92" s="323" t="s">
        <v>218</v>
      </c>
      <c r="P92" s="342" t="n">
        <v>30</v>
      </c>
      <c r="Q92" s="323" t="s">
        <v>219</v>
      </c>
      <c r="R92" s="342" t="n">
        <v>70</v>
      </c>
      <c r="S92" s="323" t="s">
        <v>220</v>
      </c>
      <c r="T92" s="342" t="n">
        <v>18</v>
      </c>
      <c r="U92" s="323" t="s">
        <v>8</v>
      </c>
      <c r="V92" s="343" t="s">
        <v>245</v>
      </c>
      <c r="W92" s="329" t="s">
        <v>221</v>
      </c>
      <c r="X92" s="352" t="n">
        <v>2.1</v>
      </c>
      <c r="Y92" s="329" t="s">
        <v>222</v>
      </c>
      <c r="Z92" s="328" t="n">
        <v>7</v>
      </c>
    </row>
    <row r="93" customFormat="false" ht="12" hidden="false" customHeight="false" outlineLevel="0" collapsed="false">
      <c r="A93" s="321" t="s">
        <v>227</v>
      </c>
      <c r="B93" s="344" t="n">
        <v>0</v>
      </c>
      <c r="C93" s="353" t="n">
        <v>0.04</v>
      </c>
      <c r="D93" s="353" t="n">
        <v>0.116</v>
      </c>
      <c r="E93" s="353" t="n">
        <v>0.213</v>
      </c>
      <c r="F93" s="353" t="n">
        <v>0.286</v>
      </c>
      <c r="G93" s="353" t="n">
        <v>0.329</v>
      </c>
      <c r="H93" s="353" t="n">
        <v>0.369</v>
      </c>
      <c r="I93" s="353" t="n">
        <v>0.42</v>
      </c>
      <c r="J93" s="353" t="n">
        <v>0.495</v>
      </c>
      <c r="K93" s="353" t="n">
        <v>0.597</v>
      </c>
      <c r="L93" s="353" t="n">
        <v>1.711</v>
      </c>
      <c r="M93" s="353" t="n">
        <v>1.826</v>
      </c>
      <c r="N93" s="353" t="n">
        <v>1.917</v>
      </c>
      <c r="O93" s="353" t="n">
        <v>1.975</v>
      </c>
      <c r="P93" s="353" t="n">
        <v>2.206</v>
      </c>
      <c r="Q93" s="353" t="n">
        <v>2.242</v>
      </c>
      <c r="R93" s="345" t="n">
        <v>2.5</v>
      </c>
      <c r="S93" s="345" t="n">
        <v>2.5</v>
      </c>
      <c r="T93" s="345" t="n">
        <v>2.5</v>
      </c>
      <c r="U93" s="345" t="n">
        <v>2.5</v>
      </c>
      <c r="V93" s="345" t="n">
        <v>2.5</v>
      </c>
      <c r="W93" s="345" t="n">
        <v>2.5</v>
      </c>
      <c r="X93" s="345" t="n">
        <v>2.5</v>
      </c>
      <c r="Y93" s="333" t="n">
        <v>1000</v>
      </c>
    </row>
    <row r="94" customFormat="false" ht="12" hidden="false" customHeight="false" outlineLevel="0" collapsed="false">
      <c r="A94" s="346" t="s">
        <v>228</v>
      </c>
      <c r="B94" s="347" t="n">
        <v>0</v>
      </c>
      <c r="C94" s="353" t="n">
        <v>2.111</v>
      </c>
      <c r="D94" s="353" t="n">
        <v>9.685</v>
      </c>
      <c r="E94" s="353" t="n">
        <v>25</v>
      </c>
      <c r="F94" s="353" t="n">
        <v>15.738</v>
      </c>
      <c r="G94" s="353" t="n">
        <v>12.472</v>
      </c>
      <c r="H94" s="353" t="n">
        <v>10.67</v>
      </c>
      <c r="I94" s="353" t="n">
        <v>9.713</v>
      </c>
      <c r="J94" s="353" t="n">
        <v>9.178</v>
      </c>
      <c r="K94" s="353" t="n">
        <v>8.896</v>
      </c>
      <c r="L94" s="353" t="n">
        <v>8.925</v>
      </c>
      <c r="M94" s="353" t="n">
        <v>8.699</v>
      </c>
      <c r="N94" s="353" t="n">
        <v>8.052</v>
      </c>
      <c r="O94" s="353" t="n">
        <v>6.954</v>
      </c>
      <c r="P94" s="353" t="n">
        <v>1.07</v>
      </c>
      <c r="Q94" s="353" t="n">
        <v>0</v>
      </c>
      <c r="R94" s="348" t="n">
        <v>0</v>
      </c>
      <c r="S94" s="348" t="n">
        <v>0</v>
      </c>
      <c r="T94" s="348" t="n">
        <v>0</v>
      </c>
      <c r="U94" s="348" t="n">
        <v>0</v>
      </c>
      <c r="V94" s="348" t="n">
        <v>0</v>
      </c>
      <c r="W94" s="348" t="n">
        <v>0</v>
      </c>
      <c r="X94" s="348" t="n">
        <v>0</v>
      </c>
      <c r="Y94" s="349" t="n">
        <v>0</v>
      </c>
    </row>
    <row r="95" customFormat="false" ht="12.75" hidden="false" customHeight="false" outlineLevel="0" collapsed="false">
      <c r="A95" s="334" t="s">
        <v>229</v>
      </c>
      <c r="B95" s="350" t="n">
        <f aca="false">(C94+B94)*(C93-B93)/2</f>
        <v>0.04222</v>
      </c>
      <c r="C95" s="351" t="n">
        <f aca="false">(D94+C94)*(D93-C93)/2</f>
        <v>0.448248</v>
      </c>
      <c r="D95" s="351" t="n">
        <f aca="false">(E94+D94)*(E93-D93)/2</f>
        <v>1.6822225</v>
      </c>
      <c r="E95" s="351" t="n">
        <f aca="false">(F94+E94)*(F93-E93)/2</f>
        <v>1.486937</v>
      </c>
      <c r="F95" s="351" t="n">
        <f aca="false">(G94+F94)*(G93-F93)/2</f>
        <v>0.606515000000001</v>
      </c>
      <c r="G95" s="351" t="n">
        <f aca="false">(H94+G94)*(H93-G93)/2</f>
        <v>0.46284</v>
      </c>
      <c r="H95" s="351" t="n">
        <f aca="false">(I94+H94)*(I93-H93)/2</f>
        <v>0.5197665</v>
      </c>
      <c r="I95" s="351" t="n">
        <f aca="false">(J94+I94)*(J93-I93)/2</f>
        <v>0.7084125</v>
      </c>
      <c r="J95" s="351" t="n">
        <f aca="false">(K94+J94)*(K93-J93)/2</f>
        <v>0.921774</v>
      </c>
      <c r="K95" s="351" t="n">
        <f aca="false">(L94+K94)*(L93-K93)/2</f>
        <v>9.926297</v>
      </c>
      <c r="L95" s="351" t="n">
        <f aca="false">(M94+L94)*(M93-L93)/2</f>
        <v>1.01338</v>
      </c>
      <c r="M95" s="351" t="n">
        <f aca="false">(N94+M94)*(N93-M93)/2</f>
        <v>0.7621705</v>
      </c>
      <c r="N95" s="351" t="n">
        <f aca="false">(O94+N94)*(O93-N93)/2</f>
        <v>0.435174</v>
      </c>
      <c r="O95" s="351" t="n">
        <f aca="false">(P94+O94)*(P93-O93)/2</f>
        <v>0.926771999999999</v>
      </c>
      <c r="P95" s="351" t="n">
        <f aca="false">(Q94+P94)*(Q93-P93)/2</f>
        <v>0.01926</v>
      </c>
      <c r="Q95" s="351" t="n">
        <f aca="false">(R94+Q94)*(R93-Q93)/2</f>
        <v>0</v>
      </c>
      <c r="R95" s="351" t="n">
        <f aca="false">(S94+R94)*(S93-R93)/2</f>
        <v>0</v>
      </c>
      <c r="S95" s="351" t="n">
        <f aca="false">(T94+S94)*(T93-S93)/2</f>
        <v>0</v>
      </c>
      <c r="T95" s="351" t="n">
        <f aca="false">(U94+T94)*(U93-T93)/2</f>
        <v>0</v>
      </c>
      <c r="U95" s="351" t="n">
        <f aca="false">(V94+U94)*(V93-U93)/2</f>
        <v>0</v>
      </c>
      <c r="V95" s="351" t="n">
        <f aca="false">(W94+V94)*(W93-V93)/2</f>
        <v>0</v>
      </c>
      <c r="W95" s="351" t="n">
        <f aca="false">(X94+W94)*(X93-W93)/2</f>
        <v>0</v>
      </c>
      <c r="X95" s="351" t="n">
        <f aca="false">(Y94+X94)*(Y93-X93)/2</f>
        <v>0</v>
      </c>
      <c r="Y95" s="337"/>
    </row>
    <row r="96" customFormat="false" ht="12.75" hidden="false" customHeight="false" outlineLevel="0" collapsed="false">
      <c r="A96" s="338"/>
      <c r="L96" s="338"/>
      <c r="M96" s="338"/>
      <c r="N96" s="338"/>
      <c r="O96" s="338"/>
      <c r="P96" s="338"/>
      <c r="Q96" s="338"/>
      <c r="R96" s="338"/>
      <c r="S96" s="338"/>
      <c r="T96" s="338"/>
      <c r="U96" s="338"/>
      <c r="V96" s="338"/>
      <c r="W96" s="338"/>
      <c r="X96" s="338"/>
      <c r="Y96" s="338"/>
    </row>
    <row r="97" customFormat="false" ht="13.5" hidden="false" customHeight="false" outlineLevel="0" collapsed="false">
      <c r="A97" s="339" t="s">
        <v>246</v>
      </c>
      <c r="B97" s="340" t="n">
        <f aca="false">ROW(A97)</f>
        <v>97</v>
      </c>
      <c r="C97" s="323" t="s">
        <v>212</v>
      </c>
      <c r="D97" s="324" t="n">
        <f aca="false">SUM(B100:Y100)</f>
        <v>39.923978</v>
      </c>
      <c r="E97" s="323" t="s">
        <v>213</v>
      </c>
      <c r="F97" s="325" t="n">
        <f aca="false">D97/g/J97</f>
        <v>118.305887442809</v>
      </c>
      <c r="G97" s="323" t="s">
        <v>214</v>
      </c>
      <c r="H97" s="341" t="n">
        <f aca="false">H92*2</f>
        <v>0.0564</v>
      </c>
      <c r="I97" s="323" t="s">
        <v>225</v>
      </c>
      <c r="J97" s="326" t="n">
        <f aca="false">H97-L97</f>
        <v>0.0344</v>
      </c>
      <c r="K97" s="323" t="s">
        <v>226</v>
      </c>
      <c r="L97" s="341" t="n">
        <f aca="false">L92*2</f>
        <v>0.022</v>
      </c>
      <c r="M97" s="323" t="s">
        <v>217</v>
      </c>
      <c r="N97" s="342" t="n">
        <v>30</v>
      </c>
      <c r="O97" s="323" t="s">
        <v>218</v>
      </c>
      <c r="P97" s="342" t="n">
        <v>30</v>
      </c>
      <c r="Q97" s="323" t="s">
        <v>219</v>
      </c>
      <c r="R97" s="342" t="n">
        <v>70</v>
      </c>
      <c r="S97" s="323" t="s">
        <v>220</v>
      </c>
      <c r="T97" s="342" t="n">
        <v>30</v>
      </c>
      <c r="U97" s="323" t="s">
        <v>8</v>
      </c>
      <c r="V97" s="343" t="s">
        <v>245</v>
      </c>
      <c r="W97" s="329" t="s">
        <v>221</v>
      </c>
      <c r="X97" s="352" t="n">
        <v>2.1</v>
      </c>
      <c r="Y97" s="329" t="s">
        <v>222</v>
      </c>
      <c r="Z97" s="328" t="n">
        <v>7</v>
      </c>
    </row>
    <row r="98" customFormat="false" ht="12" hidden="false" customHeight="false" outlineLevel="0" collapsed="false">
      <c r="A98" s="321" t="s">
        <v>227</v>
      </c>
      <c r="B98" s="344" t="n">
        <v>0</v>
      </c>
      <c r="C98" s="345" t="n">
        <f aca="false">C93</f>
        <v>0.04</v>
      </c>
      <c r="D98" s="345" t="n">
        <f aca="false">D93</f>
        <v>0.116</v>
      </c>
      <c r="E98" s="345" t="n">
        <f aca="false">E93</f>
        <v>0.213</v>
      </c>
      <c r="F98" s="345" t="n">
        <f aca="false">F93</f>
        <v>0.286</v>
      </c>
      <c r="G98" s="345" t="n">
        <f aca="false">G93</f>
        <v>0.329</v>
      </c>
      <c r="H98" s="345" t="n">
        <f aca="false">H93</f>
        <v>0.369</v>
      </c>
      <c r="I98" s="345" t="n">
        <f aca="false">I93</f>
        <v>0.42</v>
      </c>
      <c r="J98" s="345" t="n">
        <f aca="false">J93</f>
        <v>0.495</v>
      </c>
      <c r="K98" s="345" t="n">
        <f aca="false">K93</f>
        <v>0.597</v>
      </c>
      <c r="L98" s="345" t="n">
        <f aca="false">L93</f>
        <v>1.711</v>
      </c>
      <c r="M98" s="345" t="n">
        <f aca="false">M93</f>
        <v>1.826</v>
      </c>
      <c r="N98" s="345" t="n">
        <f aca="false">N93</f>
        <v>1.917</v>
      </c>
      <c r="O98" s="345" t="n">
        <f aca="false">O93</f>
        <v>1.975</v>
      </c>
      <c r="P98" s="345" t="n">
        <f aca="false">P93</f>
        <v>2.206</v>
      </c>
      <c r="Q98" s="345" t="n">
        <f aca="false">Q93</f>
        <v>2.242</v>
      </c>
      <c r="R98" s="345" t="n">
        <f aca="false">R93</f>
        <v>2.5</v>
      </c>
      <c r="S98" s="345" t="n">
        <f aca="false">S93</f>
        <v>2.5</v>
      </c>
      <c r="T98" s="345" t="n">
        <f aca="false">T93</f>
        <v>2.5</v>
      </c>
      <c r="U98" s="345" t="n">
        <f aca="false">U93</f>
        <v>2.5</v>
      </c>
      <c r="V98" s="345" t="n">
        <f aca="false">V93</f>
        <v>2.5</v>
      </c>
      <c r="W98" s="345" t="n">
        <f aca="false">W93</f>
        <v>2.5</v>
      </c>
      <c r="X98" s="345" t="n">
        <f aca="false">X93</f>
        <v>2.5</v>
      </c>
      <c r="Y98" s="333" t="n">
        <v>1000</v>
      </c>
    </row>
    <row r="99" customFormat="false" ht="12" hidden="false" customHeight="false" outlineLevel="0" collapsed="false">
      <c r="A99" s="346" t="s">
        <v>228</v>
      </c>
      <c r="B99" s="347" t="n">
        <f aca="false">B94*2</f>
        <v>0</v>
      </c>
      <c r="C99" s="348" t="n">
        <f aca="false">C94*2</f>
        <v>4.222</v>
      </c>
      <c r="D99" s="348" t="n">
        <f aca="false">D94*2</f>
        <v>19.37</v>
      </c>
      <c r="E99" s="348" t="n">
        <f aca="false">E94*2</f>
        <v>50</v>
      </c>
      <c r="F99" s="348" t="n">
        <f aca="false">F94*2</f>
        <v>31.476</v>
      </c>
      <c r="G99" s="348" t="n">
        <f aca="false">G94*2</f>
        <v>24.944</v>
      </c>
      <c r="H99" s="348" t="n">
        <f aca="false">H94*2</f>
        <v>21.34</v>
      </c>
      <c r="I99" s="348" t="n">
        <f aca="false">I94*2</f>
        <v>19.426</v>
      </c>
      <c r="J99" s="348" t="n">
        <f aca="false">J94*2</f>
        <v>18.356</v>
      </c>
      <c r="K99" s="348" t="n">
        <f aca="false">K94*2</f>
        <v>17.792</v>
      </c>
      <c r="L99" s="348" t="n">
        <f aca="false">L94*2</f>
        <v>17.85</v>
      </c>
      <c r="M99" s="348" t="n">
        <f aca="false">M94*2</f>
        <v>17.398</v>
      </c>
      <c r="N99" s="348" t="n">
        <f aca="false">N94*2</f>
        <v>16.104</v>
      </c>
      <c r="O99" s="348" t="n">
        <f aca="false">O94*2</f>
        <v>13.908</v>
      </c>
      <c r="P99" s="348" t="n">
        <f aca="false">P94*2</f>
        <v>2.14</v>
      </c>
      <c r="Q99" s="348" t="n">
        <f aca="false">Q94*2</f>
        <v>0</v>
      </c>
      <c r="R99" s="348" t="n">
        <f aca="false">R94*2</f>
        <v>0</v>
      </c>
      <c r="S99" s="348" t="n">
        <f aca="false">S94*2</f>
        <v>0</v>
      </c>
      <c r="T99" s="348" t="n">
        <f aca="false">T94*2</f>
        <v>0</v>
      </c>
      <c r="U99" s="348" t="n">
        <f aca="false">U94*2</f>
        <v>0</v>
      </c>
      <c r="V99" s="348" t="n">
        <f aca="false">V94*2</f>
        <v>0</v>
      </c>
      <c r="W99" s="348" t="n">
        <f aca="false">W94*2</f>
        <v>0</v>
      </c>
      <c r="X99" s="348" t="n">
        <f aca="false">X94*2</f>
        <v>0</v>
      </c>
      <c r="Y99" s="349" t="n">
        <v>0</v>
      </c>
    </row>
    <row r="100" customFormat="false" ht="12.75" hidden="false" customHeight="false" outlineLevel="0" collapsed="false">
      <c r="A100" s="334" t="s">
        <v>229</v>
      </c>
      <c r="B100" s="350" t="n">
        <f aca="false">(C99+B99)*(C98-B98)/2</f>
        <v>0.08444</v>
      </c>
      <c r="C100" s="351" t="n">
        <f aca="false">(D99+C99)*(D98-C98)/2</f>
        <v>0.896496</v>
      </c>
      <c r="D100" s="351" t="n">
        <f aca="false">(E99+D99)*(E98-D98)/2</f>
        <v>3.364445</v>
      </c>
      <c r="E100" s="351" t="n">
        <f aca="false">(F99+E99)*(F98-E98)/2</f>
        <v>2.973874</v>
      </c>
      <c r="F100" s="351" t="n">
        <f aca="false">(G99+F99)*(G98-F98)/2</f>
        <v>1.21303</v>
      </c>
      <c r="G100" s="351" t="n">
        <f aca="false">(H99+G99)*(H98-G98)/2</f>
        <v>0.92568</v>
      </c>
      <c r="H100" s="351" t="n">
        <f aca="false">(I99+H99)*(I98-H98)/2</f>
        <v>1.039533</v>
      </c>
      <c r="I100" s="351" t="n">
        <f aca="false">(J99+I99)*(J98-I98)/2</f>
        <v>1.416825</v>
      </c>
      <c r="J100" s="351" t="n">
        <f aca="false">(K99+J99)*(K98-J98)/2</f>
        <v>1.843548</v>
      </c>
      <c r="K100" s="351" t="n">
        <f aca="false">(L99+K99)*(L98-K98)/2</f>
        <v>19.852594</v>
      </c>
      <c r="L100" s="351" t="n">
        <f aca="false">(M99+L99)*(M98-L98)/2</f>
        <v>2.02676</v>
      </c>
      <c r="M100" s="351" t="n">
        <f aca="false">(N99+M99)*(N98-M98)/2</f>
        <v>1.524341</v>
      </c>
      <c r="N100" s="351" t="n">
        <f aca="false">(O99+N99)*(O98-N98)/2</f>
        <v>0.870348000000001</v>
      </c>
      <c r="O100" s="351" t="n">
        <f aca="false">(P99+O99)*(P98-O98)/2</f>
        <v>1.853544</v>
      </c>
      <c r="P100" s="351" t="n">
        <f aca="false">(Q99+P99)*(Q98-P98)/2</f>
        <v>0.03852</v>
      </c>
      <c r="Q100" s="351" t="n">
        <f aca="false">(R99+Q99)*(R98-Q98)/2</f>
        <v>0</v>
      </c>
      <c r="R100" s="351" t="n">
        <f aca="false">(S99+R99)*(S98-R98)/2</f>
        <v>0</v>
      </c>
      <c r="S100" s="351" t="n">
        <f aca="false">(T99+S99)*(T98-S98)/2</f>
        <v>0</v>
      </c>
      <c r="T100" s="351" t="n">
        <f aca="false">(U99+T99)*(U98-T98)/2</f>
        <v>0</v>
      </c>
      <c r="U100" s="351" t="n">
        <f aca="false">(V99+U99)*(V98-U98)/2</f>
        <v>0</v>
      </c>
      <c r="V100" s="351" t="n">
        <f aca="false">(W99+V99)*(W98-V98)/2</f>
        <v>0</v>
      </c>
      <c r="W100" s="351" t="n">
        <f aca="false">(X99+W99)*(X98-W98)/2</f>
        <v>0</v>
      </c>
      <c r="X100" s="351" t="n">
        <f aca="false">(Y99+X99)*(Y98-X98)/2</f>
        <v>0</v>
      </c>
      <c r="Y100" s="337"/>
    </row>
    <row r="101" customFormat="false" ht="12.75" hidden="false" customHeight="false" outlineLevel="0" collapsed="false">
      <c r="B101" s="338"/>
      <c r="C101" s="338"/>
      <c r="D101" s="338"/>
      <c r="E101" s="338"/>
      <c r="F101" s="338"/>
      <c r="G101" s="338"/>
      <c r="H101" s="338"/>
      <c r="I101" s="338"/>
      <c r="J101" s="338"/>
      <c r="K101" s="338"/>
      <c r="L101" s="338"/>
      <c r="M101" s="338"/>
      <c r="N101" s="338"/>
      <c r="O101" s="338"/>
      <c r="P101" s="338"/>
      <c r="Q101" s="338"/>
      <c r="R101" s="338"/>
      <c r="S101" s="338"/>
      <c r="T101" s="338"/>
      <c r="U101" s="338"/>
      <c r="V101" s="338"/>
      <c r="W101" s="338"/>
      <c r="X101" s="338"/>
      <c r="Y101" s="338"/>
    </row>
    <row r="102" customFormat="false" ht="13.5" hidden="false" customHeight="false" outlineLevel="0" collapsed="false">
      <c r="A102" s="339" t="s">
        <v>247</v>
      </c>
      <c r="B102" s="340" t="n">
        <f aca="false">ROW(A102)</f>
        <v>102</v>
      </c>
      <c r="C102" s="323" t="s">
        <v>212</v>
      </c>
      <c r="D102" s="324" t="n">
        <f aca="false">SUM(B105:Y105)</f>
        <v>59.885967</v>
      </c>
      <c r="E102" s="323" t="s">
        <v>213</v>
      </c>
      <c r="F102" s="325" t="n">
        <f aca="false">D102/g/J102</f>
        <v>118.305887442809</v>
      </c>
      <c r="G102" s="323" t="s">
        <v>214</v>
      </c>
      <c r="H102" s="341" t="n">
        <f aca="false">H92*3</f>
        <v>0.0846</v>
      </c>
      <c r="I102" s="323" t="s">
        <v>225</v>
      </c>
      <c r="J102" s="326" t="n">
        <f aca="false">H102-L102</f>
        <v>0.0516</v>
      </c>
      <c r="K102" s="323" t="s">
        <v>226</v>
      </c>
      <c r="L102" s="341" t="n">
        <f aca="false">L92*3</f>
        <v>0.033</v>
      </c>
      <c r="M102" s="323" t="s">
        <v>217</v>
      </c>
      <c r="N102" s="342" t="n">
        <v>30</v>
      </c>
      <c r="O102" s="323" t="s">
        <v>218</v>
      </c>
      <c r="P102" s="342" t="n">
        <v>30</v>
      </c>
      <c r="Q102" s="323" t="s">
        <v>219</v>
      </c>
      <c r="R102" s="342" t="n">
        <v>70</v>
      </c>
      <c r="S102" s="323" t="s">
        <v>220</v>
      </c>
      <c r="T102" s="342" t="n">
        <v>40</v>
      </c>
      <c r="U102" s="323" t="s">
        <v>8</v>
      </c>
      <c r="V102" s="343" t="s">
        <v>245</v>
      </c>
      <c r="W102" s="329" t="s">
        <v>221</v>
      </c>
      <c r="X102" s="352" t="n">
        <v>2.1</v>
      </c>
      <c r="Y102" s="329" t="s">
        <v>222</v>
      </c>
      <c r="Z102" s="328" t="n">
        <v>7</v>
      </c>
    </row>
    <row r="103" customFormat="false" ht="12" hidden="false" customHeight="false" outlineLevel="0" collapsed="false">
      <c r="A103" s="321" t="s">
        <v>227</v>
      </c>
      <c r="B103" s="344" t="n">
        <v>0</v>
      </c>
      <c r="C103" s="345" t="n">
        <f aca="false">C93</f>
        <v>0.04</v>
      </c>
      <c r="D103" s="345" t="n">
        <f aca="false">D93</f>
        <v>0.116</v>
      </c>
      <c r="E103" s="345" t="n">
        <f aca="false">E93</f>
        <v>0.213</v>
      </c>
      <c r="F103" s="345" t="n">
        <f aca="false">F93</f>
        <v>0.286</v>
      </c>
      <c r="G103" s="345" t="n">
        <f aca="false">G93</f>
        <v>0.329</v>
      </c>
      <c r="H103" s="345" t="n">
        <f aca="false">H93</f>
        <v>0.369</v>
      </c>
      <c r="I103" s="345" t="n">
        <f aca="false">I93</f>
        <v>0.42</v>
      </c>
      <c r="J103" s="345" t="n">
        <f aca="false">J93</f>
        <v>0.495</v>
      </c>
      <c r="K103" s="345" t="n">
        <f aca="false">K93</f>
        <v>0.597</v>
      </c>
      <c r="L103" s="345" t="n">
        <f aca="false">L93</f>
        <v>1.711</v>
      </c>
      <c r="M103" s="345" t="n">
        <f aca="false">M93</f>
        <v>1.826</v>
      </c>
      <c r="N103" s="345" t="n">
        <f aca="false">N93</f>
        <v>1.917</v>
      </c>
      <c r="O103" s="345" t="n">
        <f aca="false">O93</f>
        <v>1.975</v>
      </c>
      <c r="P103" s="345" t="n">
        <f aca="false">P93</f>
        <v>2.206</v>
      </c>
      <c r="Q103" s="345" t="n">
        <f aca="false">Q93</f>
        <v>2.242</v>
      </c>
      <c r="R103" s="345" t="n">
        <f aca="false">R93</f>
        <v>2.5</v>
      </c>
      <c r="S103" s="345" t="n">
        <f aca="false">S93</f>
        <v>2.5</v>
      </c>
      <c r="T103" s="345" t="n">
        <f aca="false">T93</f>
        <v>2.5</v>
      </c>
      <c r="U103" s="345" t="n">
        <f aca="false">U93</f>
        <v>2.5</v>
      </c>
      <c r="V103" s="345" t="n">
        <f aca="false">V93</f>
        <v>2.5</v>
      </c>
      <c r="W103" s="345" t="n">
        <f aca="false">W93</f>
        <v>2.5</v>
      </c>
      <c r="X103" s="345" t="n">
        <f aca="false">X93</f>
        <v>2.5</v>
      </c>
      <c r="Y103" s="333" t="n">
        <v>1000</v>
      </c>
    </row>
    <row r="104" customFormat="false" ht="12" hidden="false" customHeight="false" outlineLevel="0" collapsed="false">
      <c r="A104" s="346" t="s">
        <v>228</v>
      </c>
      <c r="B104" s="347" t="n">
        <f aca="false">B94*3</f>
        <v>0</v>
      </c>
      <c r="C104" s="348" t="n">
        <f aca="false">C94*3</f>
        <v>6.333</v>
      </c>
      <c r="D104" s="348" t="n">
        <f aca="false">D94*3</f>
        <v>29.055</v>
      </c>
      <c r="E104" s="348" t="n">
        <f aca="false">E94*3</f>
        <v>75</v>
      </c>
      <c r="F104" s="348" t="n">
        <f aca="false">F94*3</f>
        <v>47.214</v>
      </c>
      <c r="G104" s="348" t="n">
        <f aca="false">G94*3</f>
        <v>37.416</v>
      </c>
      <c r="H104" s="348" t="n">
        <f aca="false">H94*3</f>
        <v>32.01</v>
      </c>
      <c r="I104" s="348" t="n">
        <f aca="false">I94*3</f>
        <v>29.139</v>
      </c>
      <c r="J104" s="348" t="n">
        <f aca="false">J94*3</f>
        <v>27.534</v>
      </c>
      <c r="K104" s="348" t="n">
        <f aca="false">K94*3</f>
        <v>26.688</v>
      </c>
      <c r="L104" s="348" t="n">
        <f aca="false">L94*3</f>
        <v>26.775</v>
      </c>
      <c r="M104" s="348" t="n">
        <f aca="false">M94*3</f>
        <v>26.097</v>
      </c>
      <c r="N104" s="348" t="n">
        <f aca="false">N94*3</f>
        <v>24.156</v>
      </c>
      <c r="O104" s="348" t="n">
        <f aca="false">O94*3</f>
        <v>20.862</v>
      </c>
      <c r="P104" s="348" t="n">
        <f aca="false">P94*3</f>
        <v>3.21</v>
      </c>
      <c r="Q104" s="348" t="n">
        <f aca="false">Q94*3</f>
        <v>0</v>
      </c>
      <c r="R104" s="348" t="n">
        <f aca="false">R94*3</f>
        <v>0</v>
      </c>
      <c r="S104" s="348" t="n">
        <f aca="false">S94*3</f>
        <v>0</v>
      </c>
      <c r="T104" s="348" t="n">
        <f aca="false">T94*3</f>
        <v>0</v>
      </c>
      <c r="U104" s="348" t="n">
        <f aca="false">U94*3</f>
        <v>0</v>
      </c>
      <c r="V104" s="348" t="n">
        <f aca="false">V94*3</f>
        <v>0</v>
      </c>
      <c r="W104" s="348" t="n">
        <f aca="false">W94*3</f>
        <v>0</v>
      </c>
      <c r="X104" s="348" t="n">
        <f aca="false">X94*3</f>
        <v>0</v>
      </c>
      <c r="Y104" s="349" t="n">
        <v>0</v>
      </c>
    </row>
    <row r="105" customFormat="false" ht="12.75" hidden="false" customHeight="false" outlineLevel="0" collapsed="false">
      <c r="A105" s="334" t="s">
        <v>229</v>
      </c>
      <c r="B105" s="350" t="n">
        <f aca="false">(C104+B104)*(C103-B103)/2</f>
        <v>0.12666</v>
      </c>
      <c r="C105" s="351" t="n">
        <f aca="false">(D104+C104)*(D103-C103)/2</f>
        <v>1.344744</v>
      </c>
      <c r="D105" s="351" t="n">
        <f aca="false">(E104+D104)*(E103-D103)/2</f>
        <v>5.0466675</v>
      </c>
      <c r="E105" s="351" t="n">
        <f aca="false">(F104+E104)*(F103-E103)/2</f>
        <v>4.460811</v>
      </c>
      <c r="F105" s="351" t="n">
        <f aca="false">(G104+F104)*(G103-F103)/2</f>
        <v>1.819545</v>
      </c>
      <c r="G105" s="351" t="n">
        <f aca="false">(H104+G104)*(H103-G103)/2</f>
        <v>1.38852</v>
      </c>
      <c r="H105" s="351" t="n">
        <f aca="false">(I104+H104)*(I103-H103)/2</f>
        <v>1.5592995</v>
      </c>
      <c r="I105" s="351" t="n">
        <f aca="false">(J104+I104)*(J103-I103)/2</f>
        <v>2.1252375</v>
      </c>
      <c r="J105" s="351" t="n">
        <f aca="false">(K104+J104)*(K103-J103)/2</f>
        <v>2.765322</v>
      </c>
      <c r="K105" s="351" t="n">
        <f aca="false">(L104+K104)*(L103-K103)/2</f>
        <v>29.778891</v>
      </c>
      <c r="L105" s="351" t="n">
        <f aca="false">(M104+L104)*(M103-L103)/2</f>
        <v>3.04014</v>
      </c>
      <c r="M105" s="351" t="n">
        <f aca="false">(N104+M104)*(N103-M103)/2</f>
        <v>2.2865115</v>
      </c>
      <c r="N105" s="351" t="n">
        <f aca="false">(O104+N104)*(O103-N103)/2</f>
        <v>1.305522</v>
      </c>
      <c r="O105" s="351" t="n">
        <f aca="false">(P104+O104)*(P103-O103)/2</f>
        <v>2.780316</v>
      </c>
      <c r="P105" s="351" t="n">
        <f aca="false">(Q104+P104)*(Q103-P103)/2</f>
        <v>0.0577800000000001</v>
      </c>
      <c r="Q105" s="351" t="n">
        <f aca="false">(R104+Q104)*(R103-Q103)/2</f>
        <v>0</v>
      </c>
      <c r="R105" s="351" t="n">
        <f aca="false">(S104+R104)*(S103-R103)/2</f>
        <v>0</v>
      </c>
      <c r="S105" s="351" t="n">
        <f aca="false">(T104+S104)*(T103-S103)/2</f>
        <v>0</v>
      </c>
      <c r="T105" s="351" t="n">
        <f aca="false">(U104+T104)*(U103-T103)/2</f>
        <v>0</v>
      </c>
      <c r="U105" s="351" t="n">
        <f aca="false">(V104+U104)*(V103-U103)/2</f>
        <v>0</v>
      </c>
      <c r="V105" s="351" t="n">
        <f aca="false">(W104+V104)*(W103-V103)/2</f>
        <v>0</v>
      </c>
      <c r="W105" s="351" t="n">
        <f aca="false">(X104+W104)*(X103-W103)/2</f>
        <v>0</v>
      </c>
      <c r="X105" s="351" t="n">
        <f aca="false">(Y104+X104)*(Y103-X103)/2</f>
        <v>0</v>
      </c>
      <c r="Y105" s="337"/>
    </row>
    <row r="107" customFormat="false" ht="13.5" hidden="false" customHeight="false" outlineLevel="0" collapsed="false">
      <c r="A107" s="171" t="s">
        <v>248</v>
      </c>
    </row>
    <row r="108" customFormat="false" ht="13.5" hidden="false" customHeight="false" outlineLevel="0" collapsed="false">
      <c r="A108" s="339" t="s">
        <v>249</v>
      </c>
      <c r="B108" s="340" t="n">
        <f aca="false">ROW(A108)</f>
        <v>108</v>
      </c>
      <c r="C108" s="323" t="s">
        <v>212</v>
      </c>
      <c r="D108" s="324" t="n">
        <f aca="false">SUM(B111:Y111)</f>
        <v>24.269519</v>
      </c>
      <c r="E108" s="323" t="s">
        <v>213</v>
      </c>
      <c r="F108" s="325" t="n">
        <f aca="false">D108/g/J108</f>
        <v>154.622317787971</v>
      </c>
      <c r="G108" s="323" t="s">
        <v>214</v>
      </c>
      <c r="H108" s="341" t="n">
        <v>0.052</v>
      </c>
      <c r="I108" s="323" t="s">
        <v>225</v>
      </c>
      <c r="J108" s="326" t="n">
        <f aca="false">H108-L108</f>
        <v>0.016</v>
      </c>
      <c r="K108" s="323" t="s">
        <v>226</v>
      </c>
      <c r="L108" s="341" t="n">
        <v>0.036</v>
      </c>
      <c r="M108" s="323" t="s">
        <v>217</v>
      </c>
      <c r="N108" s="354" t="n">
        <v>35</v>
      </c>
      <c r="O108" s="323" t="s">
        <v>218</v>
      </c>
      <c r="P108" s="354" t="n">
        <v>35</v>
      </c>
      <c r="Q108" s="323" t="s">
        <v>219</v>
      </c>
      <c r="R108" s="342" t="n">
        <v>69</v>
      </c>
      <c r="S108" s="323" t="s">
        <v>220</v>
      </c>
      <c r="T108" s="342" t="n">
        <v>24</v>
      </c>
      <c r="U108" s="323" t="s">
        <v>8</v>
      </c>
      <c r="V108" s="343" t="s">
        <v>250</v>
      </c>
      <c r="W108" s="329" t="s">
        <v>221</v>
      </c>
      <c r="X108" s="352" t="n">
        <v>1</v>
      </c>
      <c r="Y108" s="329" t="s">
        <v>222</v>
      </c>
      <c r="Z108" s="328" t="n">
        <v>13</v>
      </c>
    </row>
    <row r="109" customFormat="false" ht="12" hidden="false" customHeight="false" outlineLevel="0" collapsed="false">
      <c r="A109" s="321" t="s">
        <v>227</v>
      </c>
      <c r="B109" s="344" t="n">
        <v>0</v>
      </c>
      <c r="C109" s="345" t="n">
        <v>0.008</v>
      </c>
      <c r="D109" s="345" t="n">
        <v>0.026</v>
      </c>
      <c r="E109" s="345" t="n">
        <v>0.038</v>
      </c>
      <c r="F109" s="345" t="n">
        <v>0.067</v>
      </c>
      <c r="G109" s="345" t="n">
        <v>0.101</v>
      </c>
      <c r="H109" s="345" t="n">
        <v>0.33</v>
      </c>
      <c r="I109" s="345" t="n">
        <v>0.528</v>
      </c>
      <c r="J109" s="345" t="n">
        <v>0.716</v>
      </c>
      <c r="K109" s="345" t="n">
        <v>0.841</v>
      </c>
      <c r="L109" s="345" t="n">
        <v>0.912</v>
      </c>
      <c r="M109" s="345" t="n">
        <v>0.987</v>
      </c>
      <c r="N109" s="345" t="n">
        <v>1.016</v>
      </c>
      <c r="O109" s="345" t="n">
        <v>1.065</v>
      </c>
      <c r="P109" s="345" t="n">
        <v>1.087</v>
      </c>
      <c r="Q109" s="345" t="n">
        <v>2</v>
      </c>
      <c r="R109" s="345" t="n">
        <v>2</v>
      </c>
      <c r="S109" s="345" t="n">
        <v>2</v>
      </c>
      <c r="T109" s="345" t="n">
        <v>2</v>
      </c>
      <c r="U109" s="345" t="n">
        <v>2</v>
      </c>
      <c r="V109" s="345" t="n">
        <v>2</v>
      </c>
      <c r="W109" s="345" t="n">
        <v>2</v>
      </c>
      <c r="X109" s="345" t="n">
        <v>2</v>
      </c>
      <c r="Y109" s="333" t="n">
        <v>1000</v>
      </c>
    </row>
    <row r="110" customFormat="false" ht="12" hidden="false" customHeight="false" outlineLevel="0" collapsed="false">
      <c r="A110" s="346" t="s">
        <v>228</v>
      </c>
      <c r="B110" s="347" t="n">
        <v>0</v>
      </c>
      <c r="C110" s="348" t="n">
        <v>18.292</v>
      </c>
      <c r="D110" s="348" t="n">
        <v>30</v>
      </c>
      <c r="E110" s="348" t="n">
        <v>30.792</v>
      </c>
      <c r="F110" s="348" t="n">
        <v>18.708</v>
      </c>
      <c r="G110" s="348" t="n">
        <v>21.875</v>
      </c>
      <c r="H110" s="348" t="n">
        <v>26.083</v>
      </c>
      <c r="I110" s="348" t="n">
        <v>28.042</v>
      </c>
      <c r="J110" s="348" t="n">
        <v>27.875</v>
      </c>
      <c r="K110" s="348" t="n">
        <v>23.542</v>
      </c>
      <c r="L110" s="348" t="n">
        <v>17.833</v>
      </c>
      <c r="M110" s="348" t="n">
        <v>7</v>
      </c>
      <c r="N110" s="348" t="n">
        <v>3.333</v>
      </c>
      <c r="O110" s="348" t="n">
        <v>1.083</v>
      </c>
      <c r="P110" s="348" t="n">
        <v>0</v>
      </c>
      <c r="Q110" s="348" t="n">
        <v>0</v>
      </c>
      <c r="R110" s="348" t="n">
        <v>0</v>
      </c>
      <c r="S110" s="348" t="n">
        <v>0</v>
      </c>
      <c r="T110" s="348" t="n">
        <f aca="false">S110</f>
        <v>0</v>
      </c>
      <c r="U110" s="348" t="n">
        <f aca="false">T110</f>
        <v>0</v>
      </c>
      <c r="V110" s="348" t="n">
        <f aca="false">U110</f>
        <v>0</v>
      </c>
      <c r="W110" s="348" t="n">
        <f aca="false">V110</f>
        <v>0</v>
      </c>
      <c r="X110" s="348" t="n">
        <f aca="false">W110</f>
        <v>0</v>
      </c>
      <c r="Y110" s="349" t="n">
        <v>0</v>
      </c>
    </row>
    <row r="111" customFormat="false" ht="12.75" hidden="false" customHeight="false" outlineLevel="0" collapsed="false">
      <c r="A111" s="334" t="s">
        <v>229</v>
      </c>
      <c r="B111" s="350" t="n">
        <f aca="false">(C110+B110)*(C109-B109)/2</f>
        <v>0.073168</v>
      </c>
      <c r="C111" s="351" t="n">
        <f aca="false">(D110+C110)*(D109-C109)/2</f>
        <v>0.434628</v>
      </c>
      <c r="D111" s="351" t="n">
        <f aca="false">(E110+D110)*(E109-D109)/2</f>
        <v>0.364752</v>
      </c>
      <c r="E111" s="351" t="n">
        <f aca="false">(F110+E110)*(F109-E109)/2</f>
        <v>0.71775</v>
      </c>
      <c r="F111" s="351" t="n">
        <f aca="false">(G110+F110)*(G109-F109)/2</f>
        <v>0.689911</v>
      </c>
      <c r="G111" s="351" t="n">
        <f aca="false">(H110+G110)*(H109-G109)/2</f>
        <v>5.491191</v>
      </c>
      <c r="H111" s="351" t="n">
        <f aca="false">(I110+H110)*(I109-H109)/2</f>
        <v>5.358375</v>
      </c>
      <c r="I111" s="351" t="n">
        <f aca="false">(J110+I110)*(J109-I109)/2</f>
        <v>5.256198</v>
      </c>
      <c r="J111" s="351" t="n">
        <f aca="false">(K110+J110)*(K109-J109)/2</f>
        <v>3.2135625</v>
      </c>
      <c r="K111" s="351" t="n">
        <f aca="false">(L110+K110)*(L109-K109)/2</f>
        <v>1.4688125</v>
      </c>
      <c r="L111" s="351" t="n">
        <f aca="false">(M110+L110)*(M109-L109)/2</f>
        <v>0.931237499999999</v>
      </c>
      <c r="M111" s="351" t="n">
        <f aca="false">(N110+M110)*(N109-M109)/2</f>
        <v>0.1498285</v>
      </c>
      <c r="N111" s="351" t="n">
        <f aca="false">(O110+N110)*(O109-N109)/2</f>
        <v>0.108192</v>
      </c>
      <c r="O111" s="351" t="n">
        <f aca="false">(P110+O110)*(P109-O109)/2</f>
        <v>0.011913</v>
      </c>
      <c r="P111" s="351" t="n">
        <f aca="false">(Q110+P110)*(Q109-P109)/2</f>
        <v>0</v>
      </c>
      <c r="Q111" s="351" t="n">
        <f aca="false">(R110+Q110)*(R109-Q109)/2</f>
        <v>0</v>
      </c>
      <c r="R111" s="351" t="n">
        <f aca="false">(S110+R110)*(S109-R109)/2</f>
        <v>0</v>
      </c>
      <c r="S111" s="351" t="n">
        <f aca="false">(T110+S110)*(T109-S109)/2</f>
        <v>0</v>
      </c>
      <c r="T111" s="351" t="n">
        <f aca="false">(U110+T110)*(U109-T109)/2</f>
        <v>0</v>
      </c>
      <c r="U111" s="351" t="n">
        <f aca="false">(V110+U110)*(V109-U109)/2</f>
        <v>0</v>
      </c>
      <c r="V111" s="351" t="n">
        <f aca="false">(W110+V110)*(W109-V109)/2</f>
        <v>0</v>
      </c>
      <c r="W111" s="351" t="n">
        <f aca="false">(X110+W110)*(X109-W109)/2</f>
        <v>0</v>
      </c>
      <c r="X111" s="351" t="n">
        <f aca="false">(Y110+X110)*(Y109-X109)/2</f>
        <v>0</v>
      </c>
      <c r="Y111" s="337"/>
    </row>
    <row r="112" customFormat="false" ht="12.75" hidden="false" customHeight="false" outlineLevel="0" collapsed="false"/>
    <row r="113" customFormat="false" ht="13.5" hidden="false" customHeight="false" outlineLevel="0" collapsed="false">
      <c r="A113" s="339" t="s">
        <v>251</v>
      </c>
      <c r="B113" s="340" t="n">
        <f aca="false">ROW(A113)</f>
        <v>113</v>
      </c>
      <c r="C113" s="323" t="s">
        <v>212</v>
      </c>
      <c r="D113" s="324" t="n">
        <f aca="false">SUM(B116:Y116)</f>
        <v>24.488898</v>
      </c>
      <c r="E113" s="323" t="s">
        <v>213</v>
      </c>
      <c r="F113" s="325" t="n">
        <f aca="false">D113/g/J113</f>
        <v>121.771701350041</v>
      </c>
      <c r="G113" s="323" t="s">
        <v>214</v>
      </c>
      <c r="H113" s="341" t="n">
        <v>0.0565</v>
      </c>
      <c r="I113" s="323" t="s">
        <v>225</v>
      </c>
      <c r="J113" s="326" t="n">
        <f aca="false">H113-L113</f>
        <v>0.0205</v>
      </c>
      <c r="K113" s="323" t="s">
        <v>226</v>
      </c>
      <c r="L113" s="341" t="n">
        <v>0.036</v>
      </c>
      <c r="M113" s="323" t="s">
        <v>217</v>
      </c>
      <c r="N113" s="354" t="n">
        <v>35</v>
      </c>
      <c r="O113" s="323" t="s">
        <v>218</v>
      </c>
      <c r="P113" s="354" t="n">
        <v>35</v>
      </c>
      <c r="Q113" s="323" t="s">
        <v>219</v>
      </c>
      <c r="R113" s="342" t="n">
        <v>69</v>
      </c>
      <c r="S113" s="323" t="s">
        <v>220</v>
      </c>
      <c r="T113" s="342" t="n">
        <v>24</v>
      </c>
      <c r="U113" s="323" t="s">
        <v>8</v>
      </c>
      <c r="V113" s="343" t="s">
        <v>252</v>
      </c>
      <c r="W113" s="329" t="s">
        <v>221</v>
      </c>
      <c r="X113" s="352" t="n">
        <v>0.33</v>
      </c>
      <c r="Y113" s="329" t="s">
        <v>222</v>
      </c>
      <c r="Z113" s="328" t="n">
        <v>17</v>
      </c>
    </row>
    <row r="114" customFormat="false" ht="12" hidden="false" customHeight="false" outlineLevel="0" collapsed="false">
      <c r="A114" s="321" t="s">
        <v>227</v>
      </c>
      <c r="B114" s="344" t="n">
        <v>0</v>
      </c>
      <c r="C114" s="345" t="n">
        <v>0.009</v>
      </c>
      <c r="D114" s="345" t="n">
        <v>0.012</v>
      </c>
      <c r="E114" s="345" t="n">
        <v>0.023</v>
      </c>
      <c r="F114" s="345" t="n">
        <v>0.027</v>
      </c>
      <c r="G114" s="345" t="n">
        <v>0.047</v>
      </c>
      <c r="H114" s="345" t="n">
        <v>0.092</v>
      </c>
      <c r="I114" s="345" t="n">
        <v>0.118</v>
      </c>
      <c r="J114" s="345" t="n">
        <v>0.141</v>
      </c>
      <c r="K114" s="345" t="n">
        <v>0.192</v>
      </c>
      <c r="L114" s="345" t="n">
        <v>0.222</v>
      </c>
      <c r="M114" s="345" t="n">
        <v>0.25</v>
      </c>
      <c r="N114" s="345" t="n">
        <v>0.26</v>
      </c>
      <c r="O114" s="345" t="n">
        <v>0.281</v>
      </c>
      <c r="P114" s="345" t="n">
        <v>0.287</v>
      </c>
      <c r="Q114" s="345" t="n">
        <v>0.306</v>
      </c>
      <c r="R114" s="345" t="n">
        <v>0.314</v>
      </c>
      <c r="S114" s="345" t="n">
        <v>0.326</v>
      </c>
      <c r="T114" s="345" t="n">
        <v>0.329</v>
      </c>
      <c r="U114" s="345" t="n">
        <v>0.5</v>
      </c>
      <c r="V114" s="345" t="n">
        <v>1</v>
      </c>
      <c r="W114" s="345" t="n">
        <v>2</v>
      </c>
      <c r="X114" s="345" t="n">
        <v>2</v>
      </c>
      <c r="Y114" s="333" t="n">
        <v>1000</v>
      </c>
    </row>
    <row r="115" customFormat="false" ht="12" hidden="false" customHeight="false" outlineLevel="0" collapsed="false">
      <c r="A115" s="346" t="s">
        <v>228</v>
      </c>
      <c r="B115" s="347" t="n">
        <v>0</v>
      </c>
      <c r="C115" s="348" t="n">
        <v>84.213</v>
      </c>
      <c r="D115" s="348" t="n">
        <v>95.099</v>
      </c>
      <c r="E115" s="348" t="n">
        <v>77.08</v>
      </c>
      <c r="F115" s="348" t="n">
        <v>68.697</v>
      </c>
      <c r="G115" s="348" t="n">
        <v>73.452</v>
      </c>
      <c r="H115" s="348" t="n">
        <v>81.835</v>
      </c>
      <c r="I115" s="348" t="n">
        <v>83.837</v>
      </c>
      <c r="J115" s="348" t="n">
        <v>86.465</v>
      </c>
      <c r="K115" s="348" t="n">
        <v>86.966</v>
      </c>
      <c r="L115" s="348" t="n">
        <v>85.339</v>
      </c>
      <c r="M115" s="348" t="n">
        <v>80.083</v>
      </c>
      <c r="N115" s="348" t="n">
        <v>78.332</v>
      </c>
      <c r="O115" s="348" t="n">
        <v>82.961</v>
      </c>
      <c r="P115" s="348" t="n">
        <v>78.206</v>
      </c>
      <c r="Q115" s="348" t="n">
        <v>24.776</v>
      </c>
      <c r="R115" s="348" t="n">
        <v>14.14</v>
      </c>
      <c r="S115" s="348" t="n">
        <v>8.509</v>
      </c>
      <c r="T115" s="348" t="n">
        <v>0</v>
      </c>
      <c r="U115" s="348" t="n">
        <f aca="false">T115</f>
        <v>0</v>
      </c>
      <c r="V115" s="348" t="n">
        <f aca="false">U115</f>
        <v>0</v>
      </c>
      <c r="W115" s="348" t="n">
        <f aca="false">V115</f>
        <v>0</v>
      </c>
      <c r="X115" s="348" t="n">
        <f aca="false">W115</f>
        <v>0</v>
      </c>
      <c r="Y115" s="349" t="n">
        <v>0</v>
      </c>
    </row>
    <row r="116" customFormat="false" ht="12.75" hidden="false" customHeight="false" outlineLevel="0" collapsed="false">
      <c r="A116" s="334" t="s">
        <v>229</v>
      </c>
      <c r="B116" s="350" t="n">
        <f aca="false">(C115+B115)*(C114-B114)/2</f>
        <v>0.3789585</v>
      </c>
      <c r="C116" s="351" t="n">
        <f aca="false">(D115+C115)*(D114-C114)/2</f>
        <v>0.268968</v>
      </c>
      <c r="D116" s="351" t="n">
        <f aca="false">(E115+D115)*(E114-D114)/2</f>
        <v>0.9469845</v>
      </c>
      <c r="E116" s="351" t="n">
        <f aca="false">(F115+E115)*(F114-E114)/2</f>
        <v>0.291554</v>
      </c>
      <c r="F116" s="351" t="n">
        <f aca="false">(G115+F115)*(G114-F114)/2</f>
        <v>1.42149</v>
      </c>
      <c r="G116" s="351" t="n">
        <f aca="false">(H115+G115)*(H114-G114)/2</f>
        <v>3.4939575</v>
      </c>
      <c r="H116" s="351" t="n">
        <f aca="false">(I115+H115)*(I114-H114)/2</f>
        <v>2.153736</v>
      </c>
      <c r="I116" s="351" t="n">
        <f aca="false">(J115+I115)*(J114-I114)/2</f>
        <v>1.958473</v>
      </c>
      <c r="J116" s="351" t="n">
        <f aca="false">(K115+J115)*(K114-J114)/2</f>
        <v>4.4224905</v>
      </c>
      <c r="K116" s="351" t="n">
        <f aca="false">(L115+K115)*(L114-K114)/2</f>
        <v>2.584575</v>
      </c>
      <c r="L116" s="351" t="n">
        <f aca="false">(M115+L115)*(M114-L114)/2</f>
        <v>2.315908</v>
      </c>
      <c r="M116" s="351" t="n">
        <f aca="false">(N115+M115)*(N114-M114)/2</f>
        <v>0.792075000000001</v>
      </c>
      <c r="N116" s="351" t="n">
        <f aca="false">(O115+N115)*(O114-N114)/2</f>
        <v>1.6935765</v>
      </c>
      <c r="O116" s="351" t="n">
        <f aca="false">(P115+O115)*(P114-O114)/2</f>
        <v>0.483500999999996</v>
      </c>
      <c r="P116" s="351" t="n">
        <f aca="false">(Q115+P115)*(Q114-P114)/2</f>
        <v>0.978329000000001</v>
      </c>
      <c r="Q116" s="351" t="n">
        <f aca="false">(R115+Q115)*(R114-Q114)/2</f>
        <v>0.155664</v>
      </c>
      <c r="R116" s="351" t="n">
        <f aca="false">(S115+R115)*(S114-R114)/2</f>
        <v>0.135894</v>
      </c>
      <c r="S116" s="351" t="n">
        <f aca="false">(T115+S115)*(T114-S114)/2</f>
        <v>0.0127635</v>
      </c>
      <c r="T116" s="351" t="n">
        <f aca="false">(U115+T115)*(U114-T114)/2</f>
        <v>0</v>
      </c>
      <c r="U116" s="351" t="n">
        <f aca="false">(V115+U115)*(V114-U114)/2</f>
        <v>0</v>
      </c>
      <c r="V116" s="351" t="n">
        <f aca="false">(W115+V115)*(W114-V114)/2</f>
        <v>0</v>
      </c>
      <c r="W116" s="351" t="n">
        <f aca="false">(X115+W115)*(X114-W114)/2</f>
        <v>0</v>
      </c>
      <c r="X116" s="351" t="n">
        <f aca="false">(Y115+X115)*(Y114-X114)/2</f>
        <v>0</v>
      </c>
      <c r="Y116" s="337"/>
    </row>
    <row r="117" customFormat="false" ht="12.75" hidden="false" customHeight="false" outlineLevel="0" collapsed="false"/>
    <row r="118" customFormat="false" ht="13.5" hidden="false" customHeight="false" outlineLevel="0" collapsed="false">
      <c r="A118" s="339" t="s">
        <v>253</v>
      </c>
      <c r="B118" s="340" t="n">
        <f aca="false">ROW(A118)</f>
        <v>118</v>
      </c>
      <c r="C118" s="323" t="s">
        <v>212</v>
      </c>
      <c r="D118" s="324" t="n">
        <f aca="false">SUM(B121:Y121)</f>
        <v>26.0839825</v>
      </c>
      <c r="E118" s="323" t="s">
        <v>213</v>
      </c>
      <c r="F118" s="325" t="n">
        <f aca="false">D118/g/J118</f>
        <v>166.182355377166</v>
      </c>
      <c r="G118" s="323" t="s">
        <v>214</v>
      </c>
      <c r="H118" s="341" t="n">
        <v>0.052</v>
      </c>
      <c r="I118" s="323" t="s">
        <v>225</v>
      </c>
      <c r="J118" s="326" t="n">
        <f aca="false">H118-L118</f>
        <v>0.016</v>
      </c>
      <c r="K118" s="323" t="s">
        <v>226</v>
      </c>
      <c r="L118" s="341" t="n">
        <v>0.036</v>
      </c>
      <c r="M118" s="323" t="s">
        <v>217</v>
      </c>
      <c r="N118" s="354" t="n">
        <v>35</v>
      </c>
      <c r="O118" s="323" t="s">
        <v>218</v>
      </c>
      <c r="P118" s="354" t="n">
        <v>35</v>
      </c>
      <c r="Q118" s="323" t="s">
        <v>219</v>
      </c>
      <c r="R118" s="342" t="n">
        <v>69</v>
      </c>
      <c r="S118" s="323" t="s">
        <v>220</v>
      </c>
      <c r="T118" s="342" t="n">
        <v>24</v>
      </c>
      <c r="U118" s="323" t="s">
        <v>8</v>
      </c>
      <c r="V118" s="343" t="s">
        <v>250</v>
      </c>
      <c r="W118" s="329" t="s">
        <v>221</v>
      </c>
      <c r="X118" s="352" t="n">
        <v>0.85</v>
      </c>
      <c r="Y118" s="329" t="s">
        <v>222</v>
      </c>
      <c r="Z118" s="328" t="n">
        <v>15</v>
      </c>
    </row>
    <row r="119" customFormat="false" ht="12" hidden="false" customHeight="false" outlineLevel="0" collapsed="false">
      <c r="A119" s="321" t="s">
        <v>227</v>
      </c>
      <c r="B119" s="344" t="n">
        <v>0</v>
      </c>
      <c r="C119" s="345" t="n">
        <v>0.02</v>
      </c>
      <c r="D119" s="345" t="n">
        <v>0.027</v>
      </c>
      <c r="E119" s="345" t="n">
        <v>0.049</v>
      </c>
      <c r="F119" s="345" t="n">
        <v>0.113</v>
      </c>
      <c r="G119" s="345" t="n">
        <v>0.193</v>
      </c>
      <c r="H119" s="345" t="n">
        <v>0.282</v>
      </c>
      <c r="I119" s="345" t="n">
        <v>0.5</v>
      </c>
      <c r="J119" s="345" t="n">
        <v>0.727</v>
      </c>
      <c r="K119" s="345" t="n">
        <v>0.771</v>
      </c>
      <c r="L119" s="345" t="n">
        <v>0.807</v>
      </c>
      <c r="M119" s="345" t="n">
        <v>0.84</v>
      </c>
      <c r="N119" s="345" t="n">
        <v>0.87</v>
      </c>
      <c r="O119" s="345" t="n">
        <v>1</v>
      </c>
      <c r="P119" s="345" t="n">
        <v>1</v>
      </c>
      <c r="Q119" s="345" t="n">
        <v>1</v>
      </c>
      <c r="R119" s="345" t="n">
        <v>1</v>
      </c>
      <c r="S119" s="345" t="n">
        <v>1</v>
      </c>
      <c r="T119" s="345" t="n">
        <v>1</v>
      </c>
      <c r="U119" s="345" t="n">
        <v>1</v>
      </c>
      <c r="V119" s="345" t="n">
        <v>1</v>
      </c>
      <c r="W119" s="345" t="n">
        <v>1</v>
      </c>
      <c r="X119" s="345" t="n">
        <v>2</v>
      </c>
      <c r="Y119" s="333" t="n">
        <v>1000</v>
      </c>
    </row>
    <row r="120" customFormat="false" ht="12" hidden="false" customHeight="false" outlineLevel="0" collapsed="false">
      <c r="A120" s="346" t="s">
        <v>228</v>
      </c>
      <c r="B120" s="347" t="n">
        <v>0</v>
      </c>
      <c r="C120" s="348" t="n">
        <v>43.824</v>
      </c>
      <c r="D120" s="348" t="n">
        <v>39.964</v>
      </c>
      <c r="E120" s="348" t="n">
        <v>26.781</v>
      </c>
      <c r="F120" s="348" t="n">
        <v>32.601</v>
      </c>
      <c r="G120" s="348" t="n">
        <v>34.739</v>
      </c>
      <c r="H120" s="348" t="n">
        <v>35.808</v>
      </c>
      <c r="I120" s="348" t="n">
        <v>34.442</v>
      </c>
      <c r="J120" s="348" t="n">
        <v>29.276</v>
      </c>
      <c r="K120" s="348" t="n">
        <v>22.743</v>
      </c>
      <c r="L120" s="348" t="n">
        <v>9.561</v>
      </c>
      <c r="M120" s="348" t="n">
        <v>3.563</v>
      </c>
      <c r="N120" s="348" t="n">
        <v>0</v>
      </c>
      <c r="O120" s="348" t="n">
        <v>0</v>
      </c>
      <c r="P120" s="348" t="n">
        <v>0</v>
      </c>
      <c r="Q120" s="348" t="n">
        <v>0</v>
      </c>
      <c r="R120" s="348" t="n">
        <v>0</v>
      </c>
      <c r="S120" s="348" t="n">
        <v>0</v>
      </c>
      <c r="T120" s="348" t="n">
        <f aca="false">S120</f>
        <v>0</v>
      </c>
      <c r="U120" s="348" t="n">
        <f aca="false">T120</f>
        <v>0</v>
      </c>
      <c r="V120" s="348" t="n">
        <f aca="false">U120</f>
        <v>0</v>
      </c>
      <c r="W120" s="348" t="n">
        <f aca="false">V120</f>
        <v>0</v>
      </c>
      <c r="X120" s="348" t="n">
        <f aca="false">W120</f>
        <v>0</v>
      </c>
      <c r="Y120" s="349" t="n">
        <v>0</v>
      </c>
    </row>
    <row r="121" customFormat="false" ht="12.75" hidden="false" customHeight="false" outlineLevel="0" collapsed="false">
      <c r="A121" s="334" t="s">
        <v>229</v>
      </c>
      <c r="B121" s="350" t="n">
        <f aca="false">(C120+B120)*(C119-B119)/2</f>
        <v>0.43824</v>
      </c>
      <c r="C121" s="351" t="n">
        <f aca="false">(D120+C120)*(D119-C119)/2</f>
        <v>0.293258</v>
      </c>
      <c r="D121" s="351" t="n">
        <f aca="false">(E120+D120)*(E119-D119)/2</f>
        <v>0.734195</v>
      </c>
      <c r="E121" s="351" t="n">
        <f aca="false">(F120+E120)*(F119-E119)/2</f>
        <v>1.900224</v>
      </c>
      <c r="F121" s="351" t="n">
        <f aca="false">(G120+F120)*(G119-F119)/2</f>
        <v>2.6936</v>
      </c>
      <c r="G121" s="351" t="n">
        <f aca="false">(H120+G120)*(H119-G119)/2</f>
        <v>3.1393415</v>
      </c>
      <c r="H121" s="351" t="n">
        <f aca="false">(I120+H120)*(I119-H119)/2</f>
        <v>7.65725</v>
      </c>
      <c r="I121" s="351" t="n">
        <f aca="false">(J120+I120)*(J119-I119)/2</f>
        <v>7.231993</v>
      </c>
      <c r="J121" s="351" t="n">
        <f aca="false">(K120+J120)*(K119-J119)/2</f>
        <v>1.144418</v>
      </c>
      <c r="K121" s="351" t="n">
        <f aca="false">(L120+K120)*(L119-K119)/2</f>
        <v>0.581472000000001</v>
      </c>
      <c r="L121" s="351" t="n">
        <f aca="false">(M120+L120)*(M119-L119)/2</f>
        <v>0.216545999999999</v>
      </c>
      <c r="M121" s="351" t="n">
        <f aca="false">(N120+M120)*(N119-M119)/2</f>
        <v>0.0534450000000001</v>
      </c>
      <c r="N121" s="351" t="n">
        <f aca="false">(O120+N120)*(O119-N119)/2</f>
        <v>0</v>
      </c>
      <c r="O121" s="351" t="n">
        <f aca="false">(P120+O120)*(P119-O119)/2</f>
        <v>0</v>
      </c>
      <c r="P121" s="351" t="n">
        <f aca="false">(Q120+P120)*(Q119-P119)/2</f>
        <v>0</v>
      </c>
      <c r="Q121" s="351" t="n">
        <f aca="false">(R120+Q120)*(R119-Q119)/2</f>
        <v>0</v>
      </c>
      <c r="R121" s="351" t="n">
        <f aca="false">(S120+R120)*(S119-R119)/2</f>
        <v>0</v>
      </c>
      <c r="S121" s="351" t="n">
        <f aca="false">(T120+S120)*(T119-S119)/2</f>
        <v>0</v>
      </c>
      <c r="T121" s="351" t="n">
        <f aca="false">(U120+T120)*(U119-T119)/2</f>
        <v>0</v>
      </c>
      <c r="U121" s="351" t="n">
        <f aca="false">(V120+U120)*(V119-U119)/2</f>
        <v>0</v>
      </c>
      <c r="V121" s="351" t="n">
        <f aca="false">(W120+V120)*(W119-V119)/2</f>
        <v>0</v>
      </c>
      <c r="W121" s="351" t="n">
        <f aca="false">(X120+W120)*(X119-W119)/2</f>
        <v>0</v>
      </c>
      <c r="X121" s="351" t="n">
        <f aca="false">(Y120+X120)*(Y119-X119)/2</f>
        <v>0</v>
      </c>
      <c r="Y121" s="337"/>
    </row>
    <row r="122" customFormat="false" ht="13.5" hidden="false" customHeight="false" outlineLevel="0" collapsed="false">
      <c r="A122" s="171" t="s">
        <v>254</v>
      </c>
    </row>
    <row r="123" customFormat="false" ht="13.5" hidden="false" customHeight="false" outlineLevel="0" collapsed="false">
      <c r="A123" s="339" t="s">
        <v>255</v>
      </c>
      <c r="B123" s="340" t="n">
        <f aca="false">ROW(A123)</f>
        <v>123</v>
      </c>
      <c r="C123" s="323" t="s">
        <v>212</v>
      </c>
      <c r="D123" s="324" t="n">
        <f aca="false">SUM(B126:Y126)</f>
        <v>49.7887655</v>
      </c>
      <c r="E123" s="323" t="s">
        <v>213</v>
      </c>
      <c r="F123" s="325" t="n">
        <v>231</v>
      </c>
      <c r="G123" s="323" t="s">
        <v>214</v>
      </c>
      <c r="H123" s="341" t="n">
        <v>0.073</v>
      </c>
      <c r="I123" s="323" t="s">
        <v>225</v>
      </c>
      <c r="J123" s="326" t="n">
        <f aca="false">H123-L123</f>
        <v>0.028</v>
      </c>
      <c r="K123" s="323" t="s">
        <v>226</v>
      </c>
      <c r="L123" s="341" t="n">
        <v>0.045</v>
      </c>
      <c r="M123" s="323" t="s">
        <v>217</v>
      </c>
      <c r="N123" s="354" t="n">
        <v>50</v>
      </c>
      <c r="O123" s="323" t="s">
        <v>218</v>
      </c>
      <c r="P123" s="354" t="n">
        <v>50</v>
      </c>
      <c r="Q123" s="323" t="s">
        <v>219</v>
      </c>
      <c r="R123" s="342" t="n">
        <v>101</v>
      </c>
      <c r="S123" s="323" t="s">
        <v>220</v>
      </c>
      <c r="T123" s="342" t="n">
        <v>24</v>
      </c>
      <c r="U123" s="323" t="s">
        <v>8</v>
      </c>
      <c r="V123" s="343" t="s">
        <v>256</v>
      </c>
      <c r="W123" s="329" t="s">
        <v>221</v>
      </c>
      <c r="X123" s="352" t="n">
        <v>1</v>
      </c>
      <c r="Y123" s="329" t="s">
        <v>222</v>
      </c>
      <c r="Z123" s="328" t="n">
        <v>13</v>
      </c>
    </row>
    <row r="124" customFormat="false" ht="12" hidden="false" customHeight="false" outlineLevel="0" collapsed="false">
      <c r="A124" s="321" t="s">
        <v>227</v>
      </c>
      <c r="B124" s="355" t="n">
        <v>0</v>
      </c>
      <c r="C124" s="355" t="n">
        <v>0.001</v>
      </c>
      <c r="D124" s="355" t="n">
        <v>0.027</v>
      </c>
      <c r="E124" s="355" t="n">
        <v>0.051</v>
      </c>
      <c r="F124" s="355" t="n">
        <v>0.06</v>
      </c>
      <c r="G124" s="355" t="n">
        <v>0.092</v>
      </c>
      <c r="H124" s="355" t="n">
        <v>0.119</v>
      </c>
      <c r="I124" s="355" t="n">
        <v>0.17</v>
      </c>
      <c r="J124" s="355" t="n">
        <v>0.3</v>
      </c>
      <c r="K124" s="355" t="n">
        <v>0.462</v>
      </c>
      <c r="L124" s="355" t="n">
        <v>0.569</v>
      </c>
      <c r="M124" s="355" t="n">
        <v>0.675</v>
      </c>
      <c r="N124" s="355" t="n">
        <v>0.778</v>
      </c>
      <c r="O124" s="355" t="n">
        <v>0.846</v>
      </c>
      <c r="P124" s="355" t="n">
        <v>0.917</v>
      </c>
      <c r="Q124" s="355" t="n">
        <v>1.009</v>
      </c>
      <c r="R124" s="355" t="n">
        <v>1.032</v>
      </c>
      <c r="S124" s="355" t="n">
        <v>1.045</v>
      </c>
      <c r="T124" s="345" t="n">
        <v>2</v>
      </c>
      <c r="U124" s="345" t="n">
        <v>2</v>
      </c>
      <c r="V124" s="345" t="n">
        <v>2</v>
      </c>
      <c r="W124" s="345" t="n">
        <v>2</v>
      </c>
      <c r="X124" s="345" t="n">
        <v>2</v>
      </c>
      <c r="Y124" s="333" t="n">
        <v>1000</v>
      </c>
    </row>
    <row r="125" customFormat="false" ht="12" hidden="false" customHeight="false" outlineLevel="0" collapsed="false">
      <c r="A125" s="346" t="s">
        <v>228</v>
      </c>
      <c r="B125" s="355" t="n">
        <v>0</v>
      </c>
      <c r="C125" s="355" t="n">
        <v>5.145</v>
      </c>
      <c r="D125" s="355" t="n">
        <v>67.976</v>
      </c>
      <c r="E125" s="355" t="n">
        <v>53.807</v>
      </c>
      <c r="F125" s="355" t="n">
        <v>52.88</v>
      </c>
      <c r="G125" s="355" t="n">
        <v>55.916</v>
      </c>
      <c r="H125" s="355" t="n">
        <v>57.94</v>
      </c>
      <c r="I125" s="355" t="n">
        <v>59.711</v>
      </c>
      <c r="J125" s="355" t="n">
        <v>61.145</v>
      </c>
      <c r="K125" s="355" t="n">
        <v>58.952</v>
      </c>
      <c r="L125" s="355" t="n">
        <v>55.578</v>
      </c>
      <c r="M125" s="355" t="n">
        <v>52.205</v>
      </c>
      <c r="N125" s="355" t="n">
        <v>46.386</v>
      </c>
      <c r="O125" s="355" t="n">
        <v>38.12</v>
      </c>
      <c r="P125" s="355" t="n">
        <v>20.325</v>
      </c>
      <c r="Q125" s="355" t="n">
        <v>3.542</v>
      </c>
      <c r="R125" s="355" t="n">
        <v>1.602</v>
      </c>
      <c r="S125" s="355" t="n">
        <v>0</v>
      </c>
      <c r="T125" s="348" t="n">
        <f aca="false">S125</f>
        <v>0</v>
      </c>
      <c r="U125" s="348" t="n">
        <f aca="false">T125</f>
        <v>0</v>
      </c>
      <c r="V125" s="348" t="n">
        <f aca="false">U125</f>
        <v>0</v>
      </c>
      <c r="W125" s="348" t="n">
        <f aca="false">V125</f>
        <v>0</v>
      </c>
      <c r="X125" s="348" t="n">
        <f aca="false">W125</f>
        <v>0</v>
      </c>
      <c r="Y125" s="349" t="n">
        <v>0</v>
      </c>
    </row>
    <row r="126" customFormat="false" ht="12.75" hidden="false" customHeight="false" outlineLevel="0" collapsed="false">
      <c r="A126" s="334" t="s">
        <v>229</v>
      </c>
      <c r="B126" s="350" t="n">
        <f aca="false">(C125+B125)*(C124-B124)/2</f>
        <v>0.0025725</v>
      </c>
      <c r="C126" s="351" t="n">
        <f aca="false">(D125+C125)*(D124-C124)/2</f>
        <v>0.950573</v>
      </c>
      <c r="D126" s="351" t="n">
        <f aca="false">(E125+D125)*(E124-D124)/2</f>
        <v>1.461396</v>
      </c>
      <c r="E126" s="351" t="n">
        <f aca="false">(F125+E125)*(F124-E124)/2</f>
        <v>0.4800915</v>
      </c>
      <c r="F126" s="351" t="n">
        <f aca="false">(G125+F125)*(G124-F124)/2</f>
        <v>1.740736</v>
      </c>
      <c r="G126" s="351" t="n">
        <f aca="false">(H125+G125)*(H124-G124)/2</f>
        <v>1.537056</v>
      </c>
      <c r="H126" s="351" t="n">
        <f aca="false">(I125+H125)*(I124-H124)/2</f>
        <v>3.0001005</v>
      </c>
      <c r="I126" s="351" t="n">
        <f aca="false">(J125+I125)*(J124-I124)/2</f>
        <v>7.85564</v>
      </c>
      <c r="J126" s="351" t="n">
        <f aca="false">(K125+J125)*(K124-J124)/2</f>
        <v>9.727857</v>
      </c>
      <c r="K126" s="351" t="n">
        <f aca="false">(L125+K125)*(L124-K124)/2</f>
        <v>6.127355</v>
      </c>
      <c r="L126" s="351" t="n">
        <f aca="false">(M125+L125)*(M124-L124)/2</f>
        <v>5.71249900000001</v>
      </c>
      <c r="M126" s="351" t="n">
        <f aca="false">(N125+M125)*(N124-M124)/2</f>
        <v>5.0774365</v>
      </c>
      <c r="N126" s="351" t="n">
        <f aca="false">(O125+N125)*(O124-N124)/2</f>
        <v>2.873204</v>
      </c>
      <c r="O126" s="351" t="n">
        <f aca="false">(P125+O125)*(P124-O124)/2</f>
        <v>2.0747975</v>
      </c>
      <c r="P126" s="351" t="n">
        <f aca="false">(Q125+P125)*(Q124-P124)/2</f>
        <v>1.097882</v>
      </c>
      <c r="Q126" s="351" t="n">
        <f aca="false">(R125+Q125)*(R124-Q124)/2</f>
        <v>0.0591560000000003</v>
      </c>
      <c r="R126" s="351" t="n">
        <f aca="false">(S125+R125)*(S124-R124)/2</f>
        <v>0.0104129999999999</v>
      </c>
      <c r="S126" s="351" t="n">
        <f aca="false">(T125+S125)*(T124-S124)/2</f>
        <v>0</v>
      </c>
      <c r="T126" s="351" t="n">
        <f aca="false">(U125+T125)*(U124-T124)/2</f>
        <v>0</v>
      </c>
      <c r="U126" s="351" t="n">
        <f aca="false">(V125+U125)*(V124-U124)/2</f>
        <v>0</v>
      </c>
      <c r="V126" s="351" t="n">
        <f aca="false">(W125+V125)*(W124-V124)/2</f>
        <v>0</v>
      </c>
      <c r="W126" s="351" t="n">
        <f aca="false">(X125+W125)*(X124-W124)/2</f>
        <v>0</v>
      </c>
      <c r="X126" s="351" t="n">
        <f aca="false">(Y125+X125)*(Y124-X124)/2</f>
        <v>0</v>
      </c>
      <c r="Y126" s="337"/>
    </row>
    <row r="127" customFormat="false" ht="12.75" hidden="false" customHeight="false" outlineLevel="0" collapsed="false"/>
    <row r="128" customFormat="false" ht="13.5" hidden="false" customHeight="false" outlineLevel="0" collapsed="false">
      <c r="A128" s="339" t="s">
        <v>257</v>
      </c>
      <c r="B128" s="340" t="n">
        <f aca="false">ROW(A128)</f>
        <v>128</v>
      </c>
      <c r="C128" s="323" t="s">
        <v>212</v>
      </c>
      <c r="D128" s="324" t="n">
        <f aca="false">SUM(B131:Y131)</f>
        <v>52.815674</v>
      </c>
      <c r="E128" s="323" t="s">
        <v>213</v>
      </c>
      <c r="F128" s="325" t="n">
        <v>239</v>
      </c>
      <c r="G128" s="323" t="s">
        <v>214</v>
      </c>
      <c r="H128" s="341" t="n">
        <v>0.073</v>
      </c>
      <c r="I128" s="323" t="s">
        <v>225</v>
      </c>
      <c r="J128" s="326" t="n">
        <f aca="false">H128-L128</f>
        <v>0.029</v>
      </c>
      <c r="K128" s="323" t="s">
        <v>226</v>
      </c>
      <c r="L128" s="341" t="n">
        <v>0.044</v>
      </c>
      <c r="M128" s="323" t="s">
        <v>217</v>
      </c>
      <c r="N128" s="354" t="n">
        <v>50</v>
      </c>
      <c r="O128" s="323" t="s">
        <v>218</v>
      </c>
      <c r="P128" s="354" t="n">
        <v>50</v>
      </c>
      <c r="Q128" s="323" t="s">
        <v>219</v>
      </c>
      <c r="R128" s="342" t="n">
        <v>101</v>
      </c>
      <c r="S128" s="323" t="s">
        <v>220</v>
      </c>
      <c r="T128" s="342" t="n">
        <v>24</v>
      </c>
      <c r="U128" s="323" t="s">
        <v>8</v>
      </c>
      <c r="V128" s="343" t="s">
        <v>256</v>
      </c>
      <c r="W128" s="329" t="s">
        <v>221</v>
      </c>
      <c r="X128" s="352" t="n">
        <v>0.77</v>
      </c>
      <c r="Y128" s="329" t="s">
        <v>222</v>
      </c>
      <c r="Z128" s="328" t="n">
        <v>14</v>
      </c>
    </row>
    <row r="129" customFormat="false" ht="12" hidden="false" customHeight="false" outlineLevel="0" collapsed="false">
      <c r="A129" s="321" t="s">
        <v>227</v>
      </c>
      <c r="B129" s="355" t="n">
        <v>0</v>
      </c>
      <c r="C129" s="355" t="n">
        <v>0.001</v>
      </c>
      <c r="D129" s="355" t="n">
        <v>0.013</v>
      </c>
      <c r="E129" s="355" t="n">
        <v>0.023</v>
      </c>
      <c r="F129" s="355" t="n">
        <v>0.052</v>
      </c>
      <c r="G129" s="355" t="n">
        <v>0.1</v>
      </c>
      <c r="H129" s="355" t="n">
        <v>0.379</v>
      </c>
      <c r="I129" s="355" t="n">
        <v>0.641</v>
      </c>
      <c r="J129" s="355" t="n">
        <v>0.665</v>
      </c>
      <c r="K129" s="355" t="n">
        <v>0.706</v>
      </c>
      <c r="L129" s="355" t="n">
        <v>0.744</v>
      </c>
      <c r="M129" s="355" t="n">
        <v>0.787</v>
      </c>
      <c r="N129" s="355" t="n">
        <v>0.816</v>
      </c>
      <c r="O129" s="345" t="n">
        <v>1</v>
      </c>
      <c r="P129" s="345" t="n">
        <v>1</v>
      </c>
      <c r="Q129" s="345" t="n">
        <v>1</v>
      </c>
      <c r="R129" s="345" t="n">
        <v>1</v>
      </c>
      <c r="S129" s="345" t="n">
        <v>1</v>
      </c>
      <c r="T129" s="345" t="n">
        <v>1</v>
      </c>
      <c r="U129" s="345" t="n">
        <v>1</v>
      </c>
      <c r="V129" s="345" t="n">
        <v>1</v>
      </c>
      <c r="W129" s="345" t="n">
        <v>2</v>
      </c>
      <c r="X129" s="345" t="n">
        <v>2</v>
      </c>
      <c r="Y129" s="333" t="n">
        <v>1000</v>
      </c>
    </row>
    <row r="130" customFormat="false" ht="12" hidden="false" customHeight="false" outlineLevel="0" collapsed="false">
      <c r="A130" s="346" t="s">
        <v>228</v>
      </c>
      <c r="B130" s="355" t="n">
        <v>0</v>
      </c>
      <c r="C130" s="355" t="n">
        <v>8.303</v>
      </c>
      <c r="D130" s="355" t="n">
        <v>85.68</v>
      </c>
      <c r="E130" s="355" t="n">
        <v>96.149</v>
      </c>
      <c r="F130" s="355" t="n">
        <v>78.821</v>
      </c>
      <c r="G130" s="355" t="n">
        <v>83.634</v>
      </c>
      <c r="H130" s="355" t="n">
        <v>77.858</v>
      </c>
      <c r="I130" s="355" t="n">
        <v>62.575</v>
      </c>
      <c r="J130" s="355" t="n">
        <v>55.716</v>
      </c>
      <c r="K130" s="355" t="n">
        <v>23.947</v>
      </c>
      <c r="L130" s="355" t="n">
        <v>9.146</v>
      </c>
      <c r="M130" s="355" t="n">
        <v>2.768</v>
      </c>
      <c r="N130" s="355" t="n">
        <v>0</v>
      </c>
      <c r="O130" s="348" t="n">
        <v>0</v>
      </c>
      <c r="P130" s="348" t="n">
        <v>0</v>
      </c>
      <c r="Q130" s="348" t="n">
        <v>0</v>
      </c>
      <c r="R130" s="348" t="n">
        <v>0</v>
      </c>
      <c r="S130" s="348" t="n">
        <v>0</v>
      </c>
      <c r="T130" s="348" t="n">
        <v>0</v>
      </c>
      <c r="U130" s="348" t="n">
        <v>0</v>
      </c>
      <c r="V130" s="348" t="n">
        <f aca="false">U130</f>
        <v>0</v>
      </c>
      <c r="W130" s="348" t="n">
        <f aca="false">V130</f>
        <v>0</v>
      </c>
      <c r="X130" s="348" t="n">
        <f aca="false">W130</f>
        <v>0</v>
      </c>
      <c r="Y130" s="349" t="n">
        <v>0</v>
      </c>
    </row>
    <row r="131" customFormat="false" ht="12.75" hidden="false" customHeight="false" outlineLevel="0" collapsed="false">
      <c r="A131" s="334" t="s">
        <v>229</v>
      </c>
      <c r="B131" s="350" t="n">
        <f aca="false">(C130+B130)*(C129-B129)/2</f>
        <v>0.0041515</v>
      </c>
      <c r="C131" s="351" t="n">
        <f aca="false">(D130+C130)*(D129-C129)/2</f>
        <v>0.563898</v>
      </c>
      <c r="D131" s="351" t="n">
        <f aca="false">(E130+D130)*(E129-D129)/2</f>
        <v>0.909145</v>
      </c>
      <c r="E131" s="351" t="n">
        <f aca="false">(F130+E130)*(F129-E129)/2</f>
        <v>2.537065</v>
      </c>
      <c r="F131" s="351" t="n">
        <f aca="false">(G130+F130)*(G129-F129)/2</f>
        <v>3.89892</v>
      </c>
      <c r="G131" s="351" t="n">
        <f aca="false">(H130+G130)*(H129-G129)/2</f>
        <v>22.528134</v>
      </c>
      <c r="H131" s="351" t="n">
        <f aca="false">(I130+H130)*(I129-H129)/2</f>
        <v>18.396723</v>
      </c>
      <c r="I131" s="351" t="n">
        <f aca="false">(J130+I130)*(J129-I129)/2</f>
        <v>1.419492</v>
      </c>
      <c r="J131" s="351" t="n">
        <f aca="false">(K130+J130)*(K129-J129)/2</f>
        <v>1.6330915</v>
      </c>
      <c r="K131" s="351" t="n">
        <f aca="false">(L130+K130)*(L129-K129)/2</f>
        <v>0.628767000000001</v>
      </c>
      <c r="L131" s="351" t="n">
        <f aca="false">(M130+L130)*(M129-L129)/2</f>
        <v>0.256151</v>
      </c>
      <c r="M131" s="351" t="n">
        <f aca="false">(N130+M130)*(N129-M129)/2</f>
        <v>0.0401359999999999</v>
      </c>
      <c r="N131" s="351" t="n">
        <f aca="false">(O130+N130)*(O129-N129)/2</f>
        <v>0</v>
      </c>
      <c r="O131" s="351" t="n">
        <f aca="false">(P130+O130)*(P129-O129)/2</f>
        <v>0</v>
      </c>
      <c r="P131" s="351" t="n">
        <f aca="false">(Q130+P130)*(Q129-P129)/2</f>
        <v>0</v>
      </c>
      <c r="Q131" s="351" t="n">
        <f aca="false">(R130+Q130)*(R129-Q129)/2</f>
        <v>0</v>
      </c>
      <c r="R131" s="351" t="n">
        <f aca="false">(S130+R130)*(S129-R129)/2</f>
        <v>0</v>
      </c>
      <c r="S131" s="351" t="n">
        <f aca="false">(T130+S130)*(T129-S129)/2</f>
        <v>0</v>
      </c>
      <c r="T131" s="351" t="n">
        <f aca="false">(U130+T130)*(U129-T129)/2</f>
        <v>0</v>
      </c>
      <c r="U131" s="351" t="n">
        <f aca="false">(V130+U130)*(V129-U129)/2</f>
        <v>0</v>
      </c>
      <c r="V131" s="351" t="n">
        <f aca="false">(W130+V130)*(W129-V129)/2</f>
        <v>0</v>
      </c>
      <c r="W131" s="351" t="n">
        <f aca="false">(X130+W130)*(X129-W129)/2</f>
        <v>0</v>
      </c>
      <c r="X131" s="351" t="n">
        <f aca="false">(Y130+X130)*(Y129-X129)/2</f>
        <v>0</v>
      </c>
      <c r="Y131" s="337"/>
    </row>
    <row r="132" customFormat="false" ht="13.5" hidden="false" customHeight="false" outlineLevel="0" collapsed="false">
      <c r="A132" s="171" t="s">
        <v>258</v>
      </c>
    </row>
    <row r="133" customFormat="false" ht="13.5" hidden="false" customHeight="false" outlineLevel="0" collapsed="false">
      <c r="A133" s="339" t="s">
        <v>259</v>
      </c>
      <c r="B133" s="340" t="n">
        <f aca="false">ROW(A133)</f>
        <v>133</v>
      </c>
      <c r="C133" s="323" t="s">
        <v>212</v>
      </c>
      <c r="D133" s="324" t="n">
        <f aca="false">SUM(B136:Y136)</f>
        <v>41.835</v>
      </c>
      <c r="E133" s="323" t="s">
        <v>213</v>
      </c>
      <c r="F133" s="325" t="n">
        <f aca="false">D133/g/J133</f>
        <v>121.843599825251</v>
      </c>
      <c r="G133" s="323" t="s">
        <v>214</v>
      </c>
      <c r="H133" s="341" t="n">
        <v>0.104</v>
      </c>
      <c r="I133" s="323" t="s">
        <v>225</v>
      </c>
      <c r="J133" s="326" t="n">
        <f aca="false">H133-L133</f>
        <v>0.035</v>
      </c>
      <c r="K133" s="323" t="s">
        <v>226</v>
      </c>
      <c r="L133" s="341" t="n">
        <v>0.069</v>
      </c>
      <c r="M133" s="323" t="s">
        <v>217</v>
      </c>
      <c r="N133" s="342" t="n">
        <v>49</v>
      </c>
      <c r="O133" s="323" t="s">
        <v>218</v>
      </c>
      <c r="P133" s="342" t="n">
        <v>49</v>
      </c>
      <c r="Q133" s="323" t="s">
        <v>219</v>
      </c>
      <c r="R133" s="342" t="n">
        <v>98</v>
      </c>
      <c r="S133" s="323" t="s">
        <v>220</v>
      </c>
      <c r="T133" s="342" t="n">
        <v>29</v>
      </c>
      <c r="U133" s="323" t="s">
        <v>8</v>
      </c>
      <c r="V133" s="343" t="s">
        <v>250</v>
      </c>
      <c r="W133" s="329" t="s">
        <v>221</v>
      </c>
      <c r="X133" s="352" t="n">
        <v>1.07</v>
      </c>
      <c r="Y133" s="329" t="s">
        <v>222</v>
      </c>
      <c r="Z133" s="328" t="n">
        <v>11</v>
      </c>
    </row>
    <row r="134" customFormat="false" ht="12" hidden="false" customHeight="false" outlineLevel="0" collapsed="false">
      <c r="A134" s="321" t="s">
        <v>227</v>
      </c>
      <c r="B134" s="344" t="n">
        <v>0</v>
      </c>
      <c r="C134" s="345" t="n">
        <v>0.01</v>
      </c>
      <c r="D134" s="345" t="n">
        <v>0.02</v>
      </c>
      <c r="E134" s="345" t="n">
        <v>0.03</v>
      </c>
      <c r="F134" s="345" t="n">
        <v>0.04</v>
      </c>
      <c r="G134" s="345" t="n">
        <v>0.06</v>
      </c>
      <c r="H134" s="345" t="n">
        <v>0.07</v>
      </c>
      <c r="I134" s="345" t="n">
        <v>0.08</v>
      </c>
      <c r="J134" s="345" t="n">
        <v>0.1</v>
      </c>
      <c r="K134" s="345" t="n">
        <v>0.2</v>
      </c>
      <c r="L134" s="345" t="n">
        <v>0.3</v>
      </c>
      <c r="M134" s="345" t="n">
        <v>0.4</v>
      </c>
      <c r="N134" s="345" t="n">
        <v>0.5</v>
      </c>
      <c r="O134" s="345" t="n">
        <v>0.6</v>
      </c>
      <c r="P134" s="345" t="n">
        <v>0.7</v>
      </c>
      <c r="Q134" s="345" t="n">
        <v>0.8</v>
      </c>
      <c r="R134" s="345" t="n">
        <v>0.85</v>
      </c>
      <c r="S134" s="345" t="n">
        <v>0.92</v>
      </c>
      <c r="T134" s="345" t="n">
        <v>0.95</v>
      </c>
      <c r="U134" s="345" t="n">
        <v>0.99</v>
      </c>
      <c r="V134" s="345" t="n">
        <v>1.05</v>
      </c>
      <c r="W134" s="345" t="n">
        <v>1.05</v>
      </c>
      <c r="X134" s="345" t="n">
        <v>2</v>
      </c>
      <c r="Y134" s="333" t="n">
        <v>1000</v>
      </c>
    </row>
    <row r="135" customFormat="false" ht="12" hidden="false" customHeight="false" outlineLevel="0" collapsed="false">
      <c r="A135" s="346" t="s">
        <v>228</v>
      </c>
      <c r="B135" s="347" t="n">
        <v>0</v>
      </c>
      <c r="C135" s="348" t="n">
        <v>12</v>
      </c>
      <c r="D135" s="348" t="n">
        <v>46</v>
      </c>
      <c r="E135" s="348" t="n">
        <v>75</v>
      </c>
      <c r="F135" s="348" t="n">
        <v>79</v>
      </c>
      <c r="G135" s="348" t="n">
        <v>77</v>
      </c>
      <c r="H135" s="348" t="n">
        <v>62</v>
      </c>
      <c r="I135" s="348" t="n">
        <v>32</v>
      </c>
      <c r="J135" s="348" t="n">
        <v>35</v>
      </c>
      <c r="K135" s="348" t="n">
        <v>38</v>
      </c>
      <c r="L135" s="348" t="n">
        <v>39</v>
      </c>
      <c r="M135" s="348" t="n">
        <v>41</v>
      </c>
      <c r="N135" s="348" t="n">
        <v>43</v>
      </c>
      <c r="O135" s="348" t="n">
        <v>43</v>
      </c>
      <c r="P135" s="348" t="n">
        <v>43</v>
      </c>
      <c r="Q135" s="348" t="n">
        <v>43</v>
      </c>
      <c r="R135" s="348" t="n">
        <v>47</v>
      </c>
      <c r="S135" s="348" t="n">
        <v>54</v>
      </c>
      <c r="T135" s="348" t="n">
        <v>32</v>
      </c>
      <c r="U135" s="348" t="n">
        <v>8</v>
      </c>
      <c r="V135" s="348" t="n">
        <v>0</v>
      </c>
      <c r="W135" s="348" t="n">
        <v>0</v>
      </c>
      <c r="X135" s="348" t="n">
        <v>0</v>
      </c>
      <c r="Y135" s="349" t="n">
        <v>0</v>
      </c>
    </row>
    <row r="136" customFormat="false" ht="12.75" hidden="false" customHeight="false" outlineLevel="0" collapsed="false">
      <c r="A136" s="334" t="s">
        <v>229</v>
      </c>
      <c r="B136" s="350" t="n">
        <f aca="false">(C135+B135)*(C134-B134)/2</f>
        <v>0.06</v>
      </c>
      <c r="C136" s="351" t="n">
        <f aca="false">(D135+C135)*(D134-C134)/2</f>
        <v>0.29</v>
      </c>
      <c r="D136" s="351" t="n">
        <f aca="false">(E135+D135)*(E134-D134)/2</f>
        <v>0.605</v>
      </c>
      <c r="E136" s="351" t="n">
        <f aca="false">(F135+E135)*(F134-E134)/2</f>
        <v>0.77</v>
      </c>
      <c r="F136" s="351" t="n">
        <f aca="false">(G135+F135)*(G134-F134)/2</f>
        <v>1.56</v>
      </c>
      <c r="G136" s="351" t="n">
        <f aca="false">(H135+G135)*(H134-G134)/2</f>
        <v>0.695000000000001</v>
      </c>
      <c r="H136" s="351" t="n">
        <f aca="false">(I135+H135)*(I134-H134)/2</f>
        <v>0.47</v>
      </c>
      <c r="I136" s="351" t="n">
        <f aca="false">(J135+I135)*(J134-I134)/2</f>
        <v>0.67</v>
      </c>
      <c r="J136" s="351" t="n">
        <f aca="false">(K135+J135)*(K134-J134)/2</f>
        <v>3.65</v>
      </c>
      <c r="K136" s="351" t="n">
        <f aca="false">(L135+K135)*(L134-K134)/2</f>
        <v>3.85</v>
      </c>
      <c r="L136" s="351" t="n">
        <f aca="false">(M135+L135)*(M134-L134)/2</f>
        <v>4</v>
      </c>
      <c r="M136" s="351" t="n">
        <f aca="false">(N135+M135)*(N134-M134)/2</f>
        <v>4.2</v>
      </c>
      <c r="N136" s="351" t="n">
        <f aca="false">(O135+N135)*(O134-N134)/2</f>
        <v>4.3</v>
      </c>
      <c r="O136" s="351" t="n">
        <f aca="false">(P135+O135)*(P134-O134)/2</f>
        <v>4.3</v>
      </c>
      <c r="P136" s="351" t="n">
        <f aca="false">(Q135+P135)*(Q134-P134)/2</f>
        <v>4.3</v>
      </c>
      <c r="Q136" s="351" t="n">
        <f aca="false">(R135+Q135)*(R134-Q134)/2</f>
        <v>2.25</v>
      </c>
      <c r="R136" s="351" t="n">
        <f aca="false">(S135+R135)*(S134-R134)/2</f>
        <v>3.535</v>
      </c>
      <c r="S136" s="351" t="n">
        <f aca="false">(T135+S135)*(T134-S134)/2</f>
        <v>1.29</v>
      </c>
      <c r="T136" s="351" t="n">
        <f aca="false">(U135+T135)*(U134-T134)/2</f>
        <v>0.800000000000001</v>
      </c>
      <c r="U136" s="351" t="n">
        <f aca="false">(V135+U135)*(V134-U134)/2</f>
        <v>0.24</v>
      </c>
      <c r="V136" s="351" t="n">
        <f aca="false">(W135+V135)*(W134-V134)/2</f>
        <v>0</v>
      </c>
      <c r="W136" s="351" t="n">
        <f aca="false">(X135+W135)*(X134-W134)/2</f>
        <v>0</v>
      </c>
      <c r="X136" s="351" t="n">
        <f aca="false">(Y135+X135)*(Y134-X134)/2</f>
        <v>0</v>
      </c>
      <c r="Y136" s="337"/>
    </row>
    <row r="137" customFormat="false" ht="12.75" hidden="false" customHeight="false" outlineLevel="0" collapsed="false">
      <c r="B137" s="338"/>
      <c r="C137" s="338"/>
      <c r="D137" s="338"/>
      <c r="E137" s="338"/>
      <c r="F137" s="338"/>
      <c r="G137" s="338"/>
      <c r="H137" s="338"/>
      <c r="I137" s="338"/>
      <c r="J137" s="338"/>
      <c r="K137" s="338"/>
      <c r="L137" s="338"/>
      <c r="M137" s="338"/>
      <c r="N137" s="338"/>
      <c r="O137" s="338"/>
      <c r="P137" s="338"/>
      <c r="Q137" s="338"/>
      <c r="R137" s="338"/>
      <c r="S137" s="338"/>
      <c r="T137" s="338"/>
      <c r="U137" s="338"/>
      <c r="V137" s="338"/>
      <c r="W137" s="338"/>
      <c r="X137" s="338"/>
      <c r="Y137" s="338"/>
    </row>
    <row r="138" customFormat="false" ht="13.5" hidden="false" customHeight="false" outlineLevel="0" collapsed="false">
      <c r="A138" s="339" t="s">
        <v>260</v>
      </c>
      <c r="B138" s="340" t="n">
        <f aca="false">ROW(A138)</f>
        <v>138</v>
      </c>
      <c r="C138" s="323" t="s">
        <v>212</v>
      </c>
      <c r="D138" s="324" t="n">
        <f aca="false">SUM(B141:Y141)</f>
        <v>52.565</v>
      </c>
      <c r="E138" s="323" t="s">
        <v>213</v>
      </c>
      <c r="F138" s="325" t="n">
        <f aca="false">D138/g/J138</f>
        <v>167.447120285423</v>
      </c>
      <c r="G138" s="323" t="s">
        <v>214</v>
      </c>
      <c r="H138" s="341" t="n">
        <v>0.101</v>
      </c>
      <c r="I138" s="323" t="s">
        <v>225</v>
      </c>
      <c r="J138" s="326" t="n">
        <f aca="false">H138-L138</f>
        <v>0.032</v>
      </c>
      <c r="K138" s="323" t="s">
        <v>226</v>
      </c>
      <c r="L138" s="341" t="n">
        <v>0.069</v>
      </c>
      <c r="M138" s="323" t="s">
        <v>217</v>
      </c>
      <c r="N138" s="342" t="n">
        <v>49</v>
      </c>
      <c r="O138" s="323" t="s">
        <v>218</v>
      </c>
      <c r="P138" s="342" t="n">
        <v>49</v>
      </c>
      <c r="Q138" s="323" t="s">
        <v>219</v>
      </c>
      <c r="R138" s="342" t="n">
        <v>98</v>
      </c>
      <c r="S138" s="323" t="s">
        <v>220</v>
      </c>
      <c r="T138" s="342" t="n">
        <v>29</v>
      </c>
      <c r="U138" s="323" t="s">
        <v>8</v>
      </c>
      <c r="V138" s="343" t="s">
        <v>252</v>
      </c>
      <c r="W138" s="329" t="s">
        <v>221</v>
      </c>
      <c r="X138" s="352" t="n">
        <v>1.8</v>
      </c>
      <c r="Y138" s="329" t="s">
        <v>222</v>
      </c>
      <c r="Z138" s="328" t="n">
        <v>12</v>
      </c>
    </row>
    <row r="139" customFormat="false" ht="12" hidden="false" customHeight="false" outlineLevel="0" collapsed="false">
      <c r="A139" s="321" t="s">
        <v>227</v>
      </c>
      <c r="B139" s="344" t="n">
        <v>0</v>
      </c>
      <c r="C139" s="345" t="n">
        <v>0.01</v>
      </c>
      <c r="D139" s="345" t="n">
        <v>0.03</v>
      </c>
      <c r="E139" s="345" t="n">
        <v>0.04</v>
      </c>
      <c r="F139" s="345" t="n">
        <v>0.05</v>
      </c>
      <c r="G139" s="345" t="n">
        <v>0.06</v>
      </c>
      <c r="H139" s="345" t="n">
        <v>0.07</v>
      </c>
      <c r="I139" s="345" t="n">
        <v>0.08</v>
      </c>
      <c r="J139" s="345" t="n">
        <v>0.09</v>
      </c>
      <c r="K139" s="345" t="n">
        <v>0.1</v>
      </c>
      <c r="L139" s="345" t="n">
        <v>0.2</v>
      </c>
      <c r="M139" s="345" t="n">
        <v>0.3</v>
      </c>
      <c r="N139" s="345" t="n">
        <v>0.4</v>
      </c>
      <c r="O139" s="345" t="n">
        <v>0.5</v>
      </c>
      <c r="P139" s="345" t="n">
        <v>0.7</v>
      </c>
      <c r="Q139" s="345" t="n">
        <v>0.8</v>
      </c>
      <c r="R139" s="345" t="n">
        <v>0.9</v>
      </c>
      <c r="S139" s="345" t="n">
        <v>1</v>
      </c>
      <c r="T139" s="345" t="n">
        <v>1.1</v>
      </c>
      <c r="U139" s="345" t="n">
        <v>1.24</v>
      </c>
      <c r="V139" s="345" t="n">
        <v>1.3</v>
      </c>
      <c r="W139" s="345" t="n">
        <v>1.5</v>
      </c>
      <c r="X139" s="345" t="n">
        <v>2</v>
      </c>
      <c r="Y139" s="333" t="n">
        <v>1000</v>
      </c>
    </row>
    <row r="140" customFormat="false" ht="12" hidden="false" customHeight="false" outlineLevel="0" collapsed="false">
      <c r="A140" s="346" t="s">
        <v>228</v>
      </c>
      <c r="B140" s="347" t="n">
        <v>0</v>
      </c>
      <c r="C140" s="348" t="n">
        <v>12</v>
      </c>
      <c r="D140" s="348" t="n">
        <v>41</v>
      </c>
      <c r="E140" s="348" t="n">
        <v>42</v>
      </c>
      <c r="F140" s="348" t="n">
        <v>42</v>
      </c>
      <c r="G140" s="348" t="n">
        <v>40</v>
      </c>
      <c r="H140" s="348" t="n">
        <v>34</v>
      </c>
      <c r="I140" s="348" t="n">
        <v>34</v>
      </c>
      <c r="J140" s="348" t="n">
        <v>35</v>
      </c>
      <c r="K140" s="348" t="n">
        <v>36</v>
      </c>
      <c r="L140" s="348" t="n">
        <v>40</v>
      </c>
      <c r="M140" s="348" t="n">
        <v>42</v>
      </c>
      <c r="N140" s="348" t="n">
        <v>43</v>
      </c>
      <c r="O140" s="348" t="n">
        <v>43</v>
      </c>
      <c r="P140" s="348" t="n">
        <v>43</v>
      </c>
      <c r="Q140" s="348" t="n">
        <v>42</v>
      </c>
      <c r="R140" s="348" t="n">
        <v>41</v>
      </c>
      <c r="S140" s="348" t="n">
        <v>40</v>
      </c>
      <c r="T140" s="348" t="n">
        <v>38</v>
      </c>
      <c r="U140" s="348" t="n">
        <v>37</v>
      </c>
      <c r="V140" s="348" t="n">
        <v>12</v>
      </c>
      <c r="W140" s="348" t="n">
        <v>0</v>
      </c>
      <c r="X140" s="348" t="n">
        <v>0</v>
      </c>
      <c r="Y140" s="349" t="n">
        <v>0</v>
      </c>
    </row>
    <row r="141" customFormat="false" ht="12.75" hidden="false" customHeight="false" outlineLevel="0" collapsed="false">
      <c r="A141" s="334" t="s">
        <v>229</v>
      </c>
      <c r="B141" s="350" t="n">
        <f aca="false">(C140+B140)*(C139-B139)/2</f>
        <v>0.06</v>
      </c>
      <c r="C141" s="351" t="n">
        <f aca="false">(D140+C140)*(D139-C139)/2</f>
        <v>0.53</v>
      </c>
      <c r="D141" s="351" t="n">
        <f aca="false">(E140+D140)*(E139-D139)/2</f>
        <v>0.415</v>
      </c>
      <c r="E141" s="351" t="n">
        <f aca="false">(F140+E140)*(F139-E139)/2</f>
        <v>0.42</v>
      </c>
      <c r="F141" s="351" t="n">
        <f aca="false">(G140+F140)*(G139-F139)/2</f>
        <v>0.41</v>
      </c>
      <c r="G141" s="351" t="n">
        <f aca="false">(H140+G140)*(H139-G139)/2</f>
        <v>0.37</v>
      </c>
      <c r="H141" s="351" t="n">
        <f aca="false">(I140+H140)*(I139-H139)/2</f>
        <v>0.34</v>
      </c>
      <c r="I141" s="351" t="n">
        <f aca="false">(J140+I140)*(J139-I139)/2</f>
        <v>0.345</v>
      </c>
      <c r="J141" s="351" t="n">
        <f aca="false">(K140+J140)*(K139-J139)/2</f>
        <v>0.355</v>
      </c>
      <c r="K141" s="351" t="n">
        <f aca="false">(L140+K140)*(L139-K139)/2</f>
        <v>3.8</v>
      </c>
      <c r="L141" s="351" t="n">
        <f aca="false">(M140+L140)*(M139-L139)/2</f>
        <v>4.1</v>
      </c>
      <c r="M141" s="351" t="n">
        <f aca="false">(N140+M140)*(N139-M139)/2</f>
        <v>4.25</v>
      </c>
      <c r="N141" s="351" t="n">
        <f aca="false">(O140+N140)*(O139-N139)/2</f>
        <v>4.3</v>
      </c>
      <c r="O141" s="351" t="n">
        <f aca="false">(P140+O140)*(P139-O139)/2</f>
        <v>8.6</v>
      </c>
      <c r="P141" s="351" t="n">
        <f aca="false">(Q140+P140)*(Q139-P139)/2</f>
        <v>4.25</v>
      </c>
      <c r="Q141" s="351" t="n">
        <f aca="false">(R140+Q140)*(R139-Q139)/2</f>
        <v>4.15</v>
      </c>
      <c r="R141" s="351" t="n">
        <f aca="false">(S140+R140)*(S139-R139)/2</f>
        <v>4.05</v>
      </c>
      <c r="S141" s="351" t="n">
        <f aca="false">(T140+S140)*(T139-S139)/2</f>
        <v>3.9</v>
      </c>
      <c r="T141" s="351" t="n">
        <f aca="false">(U140+T140)*(U139-T139)/2</f>
        <v>5.25</v>
      </c>
      <c r="U141" s="351" t="n">
        <f aca="false">(V140+U140)*(V139-U139)/2</f>
        <v>1.47</v>
      </c>
      <c r="V141" s="351" t="n">
        <f aca="false">(W140+V140)*(W139-V139)/2</f>
        <v>1.2</v>
      </c>
      <c r="W141" s="351" t="n">
        <f aca="false">(X140+W140)*(X139-W139)/2</f>
        <v>0</v>
      </c>
      <c r="X141" s="351" t="n">
        <f aca="false">(Y140+X140)*(Y139-X139)/2</f>
        <v>0</v>
      </c>
      <c r="Y141" s="337"/>
    </row>
    <row r="142" customFormat="false" ht="12.75" hidden="false" customHeight="false" outlineLevel="0" collapsed="false">
      <c r="B142" s="338"/>
      <c r="C142" s="338"/>
      <c r="D142" s="338"/>
      <c r="E142" s="338"/>
      <c r="F142" s="338"/>
      <c r="G142" s="338"/>
      <c r="H142" s="338"/>
      <c r="I142" s="338"/>
      <c r="J142" s="338"/>
      <c r="K142" s="338"/>
      <c r="L142" s="338"/>
      <c r="M142" s="338"/>
      <c r="N142" s="338"/>
      <c r="O142" s="338"/>
      <c r="P142" s="338"/>
      <c r="Q142" s="338"/>
      <c r="R142" s="338"/>
      <c r="S142" s="338"/>
      <c r="T142" s="338"/>
      <c r="U142" s="338"/>
      <c r="V142" s="338"/>
      <c r="W142" s="338"/>
      <c r="X142" s="338"/>
      <c r="Y142" s="338"/>
    </row>
    <row r="143" customFormat="false" ht="13.5" hidden="false" customHeight="false" outlineLevel="0" collapsed="false">
      <c r="A143" s="339" t="s">
        <v>261</v>
      </c>
      <c r="B143" s="340" t="n">
        <f aca="false">ROW(A143)</f>
        <v>143</v>
      </c>
      <c r="C143" s="323" t="s">
        <v>212</v>
      </c>
      <c r="D143" s="324" t="n">
        <f aca="false">SUM(B146:Y146)</f>
        <v>54.1100161221195</v>
      </c>
      <c r="E143" s="323" t="s">
        <v>213</v>
      </c>
      <c r="F143" s="325" t="n">
        <f aca="false">D143/g/J143</f>
        <v>146.696857641246</v>
      </c>
      <c r="G143" s="323" t="s">
        <v>214</v>
      </c>
      <c r="H143" s="341" t="n">
        <v>0.1058</v>
      </c>
      <c r="I143" s="323" t="s">
        <v>225</v>
      </c>
      <c r="J143" s="326" t="n">
        <f aca="false">H143-L143</f>
        <v>0.0376</v>
      </c>
      <c r="K143" s="323" t="s">
        <v>226</v>
      </c>
      <c r="L143" s="341" t="n">
        <v>0.0682</v>
      </c>
      <c r="M143" s="323" t="s">
        <v>217</v>
      </c>
      <c r="N143" s="342" t="n">
        <v>49</v>
      </c>
      <c r="O143" s="323" t="s">
        <v>218</v>
      </c>
      <c r="P143" s="342" t="n">
        <v>49</v>
      </c>
      <c r="Q143" s="323" t="s">
        <v>219</v>
      </c>
      <c r="R143" s="342" t="n">
        <v>98</v>
      </c>
      <c r="S143" s="323" t="s">
        <v>220</v>
      </c>
      <c r="T143" s="342" t="n">
        <v>29</v>
      </c>
      <c r="U143" s="323" t="s">
        <v>8</v>
      </c>
      <c r="V143" s="343" t="s">
        <v>250</v>
      </c>
      <c r="W143" s="329" t="s">
        <v>221</v>
      </c>
      <c r="X143" s="352" t="n">
        <v>1.9</v>
      </c>
      <c r="Y143" s="329" t="s">
        <v>222</v>
      </c>
      <c r="Z143" s="328" t="n">
        <v>12</v>
      </c>
    </row>
    <row r="144" customFormat="false" ht="12" hidden="false" customHeight="false" outlineLevel="0" collapsed="false">
      <c r="A144" s="321" t="s">
        <v>227</v>
      </c>
      <c r="B144" s="344" t="n">
        <v>0</v>
      </c>
      <c r="C144" s="345" t="n">
        <v>0.025</v>
      </c>
      <c r="D144" s="345" t="n">
        <v>0.05</v>
      </c>
      <c r="E144" s="345" t="n">
        <v>0.075</v>
      </c>
      <c r="F144" s="345" t="n">
        <v>0.1</v>
      </c>
      <c r="G144" s="345" t="n">
        <v>0.15</v>
      </c>
      <c r="H144" s="345" t="n">
        <v>0.175</v>
      </c>
      <c r="I144" s="345" t="n">
        <v>0.2</v>
      </c>
      <c r="J144" s="345" t="n">
        <v>0.3</v>
      </c>
      <c r="K144" s="345" t="n">
        <v>0.4</v>
      </c>
      <c r="L144" s="345" t="n">
        <v>0.5</v>
      </c>
      <c r="M144" s="345" t="n">
        <v>0.6</v>
      </c>
      <c r="N144" s="345" t="n">
        <v>0.7</v>
      </c>
      <c r="O144" s="345" t="n">
        <v>0.8</v>
      </c>
      <c r="P144" s="345" t="n">
        <v>0.9</v>
      </c>
      <c r="Q144" s="345" t="n">
        <v>1.1</v>
      </c>
      <c r="R144" s="345" t="n">
        <v>1.2</v>
      </c>
      <c r="S144" s="345" t="n">
        <v>1.6</v>
      </c>
      <c r="T144" s="345" t="n">
        <v>1.7</v>
      </c>
      <c r="U144" s="345" t="n">
        <v>1.8</v>
      </c>
      <c r="V144" s="345" t="n">
        <v>1.9</v>
      </c>
      <c r="W144" s="345" t="n">
        <v>1.9999</v>
      </c>
      <c r="X144" s="345" t="n">
        <v>2</v>
      </c>
      <c r="Y144" s="333" t="n">
        <v>1000</v>
      </c>
    </row>
    <row r="145" customFormat="false" ht="12" hidden="false" customHeight="false" outlineLevel="0" collapsed="false">
      <c r="A145" s="346" t="s">
        <v>228</v>
      </c>
      <c r="B145" s="347" t="n">
        <v>0</v>
      </c>
      <c r="C145" s="356" t="n">
        <v>15.2574001848975</v>
      </c>
      <c r="D145" s="356" t="n">
        <v>26.3779542555225</v>
      </c>
      <c r="E145" s="356" t="n">
        <v>21.4849104644475</v>
      </c>
      <c r="F145" s="356" t="n">
        <v>24.02039679255</v>
      </c>
      <c r="G145" s="356" t="n">
        <v>28.11276069054</v>
      </c>
      <c r="H145" s="356" t="n">
        <v>28.6910295022125</v>
      </c>
      <c r="I145" s="356" t="n">
        <v>29.18033388132</v>
      </c>
      <c r="J145" s="356" t="n">
        <v>31.49340912801</v>
      </c>
      <c r="K145" s="356" t="n">
        <v>32.56098231879</v>
      </c>
      <c r="L145" s="356" t="n">
        <v>32.827875616485</v>
      </c>
      <c r="M145" s="356" t="n">
        <v>32.649946751355</v>
      </c>
      <c r="N145" s="356" t="n">
        <v>32.38305345366</v>
      </c>
      <c r="O145" s="356" t="n">
        <v>32.2496068048125</v>
      </c>
      <c r="P145" s="356" t="n">
        <v>31.8047846419875</v>
      </c>
      <c r="Q145" s="356" t="n">
        <v>30.5592825860775</v>
      </c>
      <c r="R145" s="356" t="n">
        <v>30.06997820697</v>
      </c>
      <c r="S145" s="356" t="n">
        <v>26.3779542555225</v>
      </c>
      <c r="T145" s="356" t="n">
        <v>24.8655589019175</v>
      </c>
      <c r="U145" s="356" t="n">
        <v>18.4601197572375</v>
      </c>
      <c r="V145" s="356" t="n">
        <v>7.5174945517425</v>
      </c>
      <c r="W145" s="356" t="n">
        <v>1.3789487047575</v>
      </c>
      <c r="X145" s="348" t="n">
        <v>0</v>
      </c>
      <c r="Y145" s="349" t="n">
        <v>0</v>
      </c>
    </row>
    <row r="146" customFormat="false" ht="12.75" hidden="false" customHeight="false" outlineLevel="0" collapsed="false">
      <c r="A146" s="334" t="s">
        <v>229</v>
      </c>
      <c r="B146" s="350" t="n">
        <f aca="false">(C145+B145)*(C144-B144)/2</f>
        <v>0.190717502311219</v>
      </c>
      <c r="C146" s="351" t="n">
        <f aca="false">(D145+C145)*(D144-C144)/2</f>
        <v>0.52044193050525</v>
      </c>
      <c r="D146" s="351" t="n">
        <f aca="false">(E145+D145)*(E144-D144)/2</f>
        <v>0.598285808999625</v>
      </c>
      <c r="E146" s="351" t="n">
        <f aca="false">(F145+E145)*(F144-E144)/2</f>
        <v>0.568816340712469</v>
      </c>
      <c r="F146" s="351" t="n">
        <f aca="false">(G145+F145)*(G144-F144)/2</f>
        <v>1.30332893707725</v>
      </c>
      <c r="G146" s="351" t="n">
        <f aca="false">(H145+G145)*(H144-G144)/2</f>
        <v>0.710047377409406</v>
      </c>
      <c r="H146" s="351" t="n">
        <f aca="false">(I145+H145)*(I144-H144)/2</f>
        <v>0.723392042294157</v>
      </c>
      <c r="I146" s="351" t="n">
        <f aca="false">(J145+I145)*(J144-I144)/2</f>
        <v>3.0336871504665</v>
      </c>
      <c r="J146" s="351" t="n">
        <f aca="false">(K145+J145)*(K144-J144)/2</f>
        <v>3.20271957234</v>
      </c>
      <c r="K146" s="351" t="n">
        <f aca="false">(L145+K145)*(L144-K144)/2</f>
        <v>3.26944289676375</v>
      </c>
      <c r="L146" s="351" t="n">
        <f aca="false">(M145+L145)*(M144-L144)/2</f>
        <v>3.273891118392</v>
      </c>
      <c r="M146" s="351" t="n">
        <f aca="false">(N145+M145)*(N144-M144)/2</f>
        <v>3.25165001025075</v>
      </c>
      <c r="N146" s="351" t="n">
        <f aca="false">(O145+N145)*(O144-N144)/2</f>
        <v>3.23163301292363</v>
      </c>
      <c r="O146" s="351" t="n">
        <f aca="false">(P145+O145)*(P144-O144)/2</f>
        <v>3.20271957234</v>
      </c>
      <c r="P146" s="351" t="n">
        <f aca="false">(Q145+P145)*(Q144-P144)/2</f>
        <v>6.2364067228065</v>
      </c>
      <c r="Q146" s="351" t="n">
        <f aca="false">(R145+Q145)*(R144-Q144)/2</f>
        <v>3.03146303965237</v>
      </c>
      <c r="R146" s="351" t="n">
        <f aca="false">(S145+R145)*(S144-R144)/2</f>
        <v>11.2895864924985</v>
      </c>
      <c r="S146" s="351" t="n">
        <f aca="false">(T145+S145)*(T144-S144)/2</f>
        <v>2.562175657872</v>
      </c>
      <c r="T146" s="351" t="n">
        <f aca="false">(U145+T145)*(U144-T144)/2</f>
        <v>2.16628393295775</v>
      </c>
      <c r="U146" s="351" t="n">
        <f aca="false">(V145+U145)*(V144-U144)/2</f>
        <v>1.298880715449</v>
      </c>
      <c r="V146" s="351" t="n">
        <f aca="false">(W145+V145)*(W144-V144)/2</f>
        <v>0.444377340662175</v>
      </c>
      <c r="W146" s="351" t="n">
        <f aca="false">(X145+W145)*(X144-W144)/2</f>
        <v>6.89474352378674E-005</v>
      </c>
      <c r="X146" s="351" t="n">
        <f aca="false">(Y145+X145)*(Y144-X144)/2</f>
        <v>0</v>
      </c>
      <c r="Y146" s="337"/>
    </row>
    <row r="147" customFormat="false" ht="12.75" hidden="false" customHeight="false" outlineLevel="0" collapsed="false">
      <c r="B147" s="338"/>
      <c r="C147" s="338"/>
      <c r="D147" s="338"/>
      <c r="E147" s="338"/>
      <c r="F147" s="338"/>
      <c r="G147" s="338"/>
      <c r="H147" s="338"/>
      <c r="I147" s="338"/>
      <c r="J147" s="338"/>
      <c r="K147" s="338"/>
      <c r="L147" s="338"/>
      <c r="M147" s="338"/>
      <c r="N147" s="338"/>
      <c r="O147" s="338"/>
      <c r="P147" s="338"/>
      <c r="Q147" s="338"/>
      <c r="R147" s="338"/>
      <c r="S147" s="338"/>
      <c r="T147" s="338"/>
      <c r="U147" s="338"/>
      <c r="V147" s="338"/>
      <c r="W147" s="338"/>
      <c r="X147" s="338"/>
      <c r="Y147" s="338"/>
    </row>
    <row r="148" customFormat="false" ht="13.5" hidden="false" customHeight="false" outlineLevel="0" collapsed="false">
      <c r="A148" s="339" t="s">
        <v>262</v>
      </c>
      <c r="B148" s="340" t="n">
        <f aca="false">ROW(A148)</f>
        <v>148</v>
      </c>
      <c r="C148" s="323" t="s">
        <v>212</v>
      </c>
      <c r="D148" s="324" t="n">
        <f aca="false">SUM(B151:Y151)</f>
        <v>55.589492</v>
      </c>
      <c r="E148" s="323" t="s">
        <v>213</v>
      </c>
      <c r="F148" s="325" t="n">
        <f aca="false">D148/g/J148</f>
        <v>177.081715086646</v>
      </c>
      <c r="G148" s="323" t="s">
        <v>214</v>
      </c>
      <c r="H148" s="341" t="n">
        <v>0.102</v>
      </c>
      <c r="I148" s="323" t="s">
        <v>225</v>
      </c>
      <c r="J148" s="326" t="n">
        <f aca="false">H148-L148</f>
        <v>0.032</v>
      </c>
      <c r="K148" s="323" t="s">
        <v>226</v>
      </c>
      <c r="L148" s="341" t="n">
        <v>0.07</v>
      </c>
      <c r="M148" s="323" t="s">
        <v>217</v>
      </c>
      <c r="N148" s="342" t="n">
        <v>49</v>
      </c>
      <c r="O148" s="323" t="s">
        <v>218</v>
      </c>
      <c r="P148" s="342" t="n">
        <v>49</v>
      </c>
      <c r="Q148" s="323" t="s">
        <v>219</v>
      </c>
      <c r="R148" s="342" t="n">
        <v>98</v>
      </c>
      <c r="S148" s="323" t="s">
        <v>220</v>
      </c>
      <c r="T148" s="342" t="n">
        <v>29</v>
      </c>
      <c r="U148" s="323" t="s">
        <v>8</v>
      </c>
      <c r="V148" s="343" t="s">
        <v>252</v>
      </c>
      <c r="W148" s="329" t="s">
        <v>221</v>
      </c>
      <c r="X148" s="352" t="n">
        <v>0.45</v>
      </c>
      <c r="Y148" s="329" t="s">
        <v>222</v>
      </c>
      <c r="Z148" s="328" t="n">
        <v>12</v>
      </c>
    </row>
    <row r="149" customFormat="false" ht="12" hidden="false" customHeight="false" outlineLevel="0" collapsed="false">
      <c r="A149" s="321" t="s">
        <v>227</v>
      </c>
      <c r="B149" s="344" t="n">
        <v>0</v>
      </c>
      <c r="C149" s="345" t="n">
        <v>0.001</v>
      </c>
      <c r="D149" s="345" t="n">
        <v>0.023</v>
      </c>
      <c r="E149" s="345" t="n">
        <v>0.05</v>
      </c>
      <c r="F149" s="345" t="n">
        <v>0.059</v>
      </c>
      <c r="G149" s="345" t="n">
        <v>0.095</v>
      </c>
      <c r="H149" s="345" t="n">
        <v>0.212</v>
      </c>
      <c r="I149" s="345" t="n">
        <v>0.344</v>
      </c>
      <c r="J149" s="345" t="n">
        <v>1.567</v>
      </c>
      <c r="K149" s="345" t="n">
        <v>1.631</v>
      </c>
      <c r="L149" s="345" t="n">
        <v>1.663</v>
      </c>
      <c r="M149" s="345" t="n">
        <v>1.785</v>
      </c>
      <c r="N149" s="345" t="n">
        <v>1.828</v>
      </c>
      <c r="O149" s="345" t="n">
        <v>2</v>
      </c>
      <c r="P149" s="345" t="n">
        <v>2</v>
      </c>
      <c r="Q149" s="345" t="n">
        <v>2</v>
      </c>
      <c r="R149" s="345" t="n">
        <v>2</v>
      </c>
      <c r="S149" s="345" t="n">
        <v>2</v>
      </c>
      <c r="T149" s="345" t="n">
        <v>2</v>
      </c>
      <c r="U149" s="345" t="n">
        <v>2</v>
      </c>
      <c r="V149" s="345" t="n">
        <v>2</v>
      </c>
      <c r="W149" s="345" t="n">
        <v>2</v>
      </c>
      <c r="X149" s="345" t="n">
        <v>2</v>
      </c>
      <c r="Y149" s="333" t="n">
        <v>1000</v>
      </c>
    </row>
    <row r="150" customFormat="false" ht="12" hidden="false" customHeight="false" outlineLevel="0" collapsed="false">
      <c r="A150" s="346" t="s">
        <v>228</v>
      </c>
      <c r="B150" s="347" t="n">
        <v>0</v>
      </c>
      <c r="C150" s="348" t="n">
        <v>3.483</v>
      </c>
      <c r="D150" s="348" t="n">
        <v>64.053</v>
      </c>
      <c r="E150" s="348" t="n">
        <v>31.347</v>
      </c>
      <c r="F150" s="348" t="n">
        <v>28.459</v>
      </c>
      <c r="G150" s="348" t="n">
        <v>32.027</v>
      </c>
      <c r="H150" s="348" t="n">
        <v>36.189</v>
      </c>
      <c r="I150" s="348" t="n">
        <v>37.549</v>
      </c>
      <c r="J150" s="348" t="n">
        <v>26.165</v>
      </c>
      <c r="K150" s="348" t="n">
        <v>26.93</v>
      </c>
      <c r="L150" s="348" t="n">
        <v>25.316</v>
      </c>
      <c r="M150" s="348" t="n">
        <v>3.653</v>
      </c>
      <c r="N150" s="348" t="n">
        <v>0</v>
      </c>
      <c r="O150" s="348" t="n">
        <v>0</v>
      </c>
      <c r="P150" s="348" t="n">
        <v>0</v>
      </c>
      <c r="Q150" s="348" t="n">
        <v>0</v>
      </c>
      <c r="R150" s="348" t="n">
        <v>0</v>
      </c>
      <c r="S150" s="348" t="n">
        <v>0</v>
      </c>
      <c r="T150" s="348" t="n">
        <v>0</v>
      </c>
      <c r="U150" s="348" t="n">
        <v>0</v>
      </c>
      <c r="V150" s="348" t="n">
        <v>0</v>
      </c>
      <c r="W150" s="348" t="n">
        <v>0</v>
      </c>
      <c r="X150" s="348" t="n">
        <v>0</v>
      </c>
      <c r="Y150" s="349" t="n">
        <v>0</v>
      </c>
    </row>
    <row r="151" customFormat="false" ht="12.75" hidden="false" customHeight="false" outlineLevel="0" collapsed="false">
      <c r="A151" s="334" t="s">
        <v>229</v>
      </c>
      <c r="B151" s="350" t="n">
        <f aca="false">(C150+B150)*(C149-B149)/2</f>
        <v>0.0017415</v>
      </c>
      <c r="C151" s="351" t="n">
        <f aca="false">(D150+C150)*(D149-C149)/2</f>
        <v>0.742896</v>
      </c>
      <c r="D151" s="351" t="n">
        <f aca="false">(E150+D150)*(E149-D149)/2</f>
        <v>1.2879</v>
      </c>
      <c r="E151" s="351" t="n">
        <f aca="false">(F150+E150)*(F149-E149)/2</f>
        <v>0.269127</v>
      </c>
      <c r="F151" s="351" t="n">
        <f aca="false">(G150+F150)*(G149-F149)/2</f>
        <v>1.088748</v>
      </c>
      <c r="G151" s="351" t="n">
        <f aca="false">(H150+G150)*(H149-G149)/2</f>
        <v>3.990636</v>
      </c>
      <c r="H151" s="351" t="n">
        <f aca="false">(I150+H150)*(I149-H149)/2</f>
        <v>4.866708</v>
      </c>
      <c r="I151" s="351" t="n">
        <f aca="false">(J150+I150)*(J149-I149)/2</f>
        <v>38.961111</v>
      </c>
      <c r="J151" s="351" t="n">
        <f aca="false">(K150+J150)*(K149-J149)/2</f>
        <v>1.69904</v>
      </c>
      <c r="K151" s="351" t="n">
        <f aca="false">(L150+K150)*(L149-K149)/2</f>
        <v>0.835936000000001</v>
      </c>
      <c r="L151" s="351" t="n">
        <f aca="false">(M150+L150)*(M149-L149)/2</f>
        <v>1.767109</v>
      </c>
      <c r="M151" s="351" t="n">
        <f aca="false">(N150+M150)*(N149-M149)/2</f>
        <v>0.0785395000000003</v>
      </c>
      <c r="N151" s="351" t="n">
        <f aca="false">(O150+N150)*(O149-N149)/2</f>
        <v>0</v>
      </c>
      <c r="O151" s="351" t="n">
        <f aca="false">(P150+O150)*(P149-O149)/2</f>
        <v>0</v>
      </c>
      <c r="P151" s="351" t="n">
        <f aca="false">(Q150+P150)*(Q149-P149)/2</f>
        <v>0</v>
      </c>
      <c r="Q151" s="351" t="n">
        <f aca="false">(R150+Q150)*(R149-Q149)/2</f>
        <v>0</v>
      </c>
      <c r="R151" s="351" t="n">
        <f aca="false">(S150+R150)*(S149-R149)/2</f>
        <v>0</v>
      </c>
      <c r="S151" s="351" t="n">
        <f aca="false">(T150+S150)*(T149-S149)/2</f>
        <v>0</v>
      </c>
      <c r="T151" s="351" t="n">
        <f aca="false">(U150+T150)*(U149-T149)/2</f>
        <v>0</v>
      </c>
      <c r="U151" s="351" t="n">
        <f aca="false">(V150+U150)*(V149-U149)/2</f>
        <v>0</v>
      </c>
      <c r="V151" s="351" t="n">
        <f aca="false">(W150+V150)*(W149-V149)/2</f>
        <v>0</v>
      </c>
      <c r="W151" s="351" t="n">
        <f aca="false">(X150+W150)*(X149-W149)/2</f>
        <v>0</v>
      </c>
      <c r="X151" s="351" t="n">
        <f aca="false">(Y150+X150)*(Y149-X149)/2</f>
        <v>0</v>
      </c>
      <c r="Y151" s="337"/>
    </row>
    <row r="152" customFormat="false" ht="12.75" hidden="false" customHeight="false" outlineLevel="0" collapsed="false">
      <c r="B152" s="338"/>
      <c r="C152" s="338"/>
      <c r="D152" s="338"/>
      <c r="E152" s="338"/>
      <c r="F152" s="338"/>
      <c r="G152" s="338"/>
      <c r="H152" s="338"/>
      <c r="I152" s="338"/>
      <c r="J152" s="338"/>
      <c r="K152" s="338"/>
      <c r="L152" s="338"/>
      <c r="M152" s="338"/>
      <c r="N152" s="338"/>
      <c r="O152" s="338"/>
      <c r="P152" s="338"/>
      <c r="Q152" s="338"/>
      <c r="R152" s="338"/>
      <c r="S152" s="338"/>
      <c r="T152" s="338"/>
      <c r="U152" s="338"/>
      <c r="V152" s="338"/>
      <c r="W152" s="338"/>
      <c r="X152" s="338"/>
      <c r="Y152" s="338"/>
    </row>
    <row r="153" customFormat="false" ht="13.5" hidden="false" customHeight="false" outlineLevel="0" collapsed="false">
      <c r="A153" s="339" t="s">
        <v>263</v>
      </c>
      <c r="B153" s="340" t="n">
        <f aca="false">ROW(A153)</f>
        <v>153</v>
      </c>
      <c r="C153" s="323" t="s">
        <v>212</v>
      </c>
      <c r="D153" s="324" t="n">
        <f aca="false">SUM(B156:Y156)</f>
        <v>55.7058845</v>
      </c>
      <c r="E153" s="323" t="s">
        <v>213</v>
      </c>
      <c r="F153" s="325" t="n">
        <f aca="false">D153/g/J153</f>
        <v>180.843298142413</v>
      </c>
      <c r="G153" s="323" t="s">
        <v>214</v>
      </c>
      <c r="H153" s="341" t="n">
        <v>0.1062</v>
      </c>
      <c r="I153" s="323" t="s">
        <v>225</v>
      </c>
      <c r="J153" s="326" t="n">
        <f aca="false">H153-L153</f>
        <v>0.0314</v>
      </c>
      <c r="K153" s="323" t="s">
        <v>226</v>
      </c>
      <c r="L153" s="341" t="n">
        <v>0.0748</v>
      </c>
      <c r="M153" s="323" t="s">
        <v>217</v>
      </c>
      <c r="N153" s="342" t="n">
        <v>49</v>
      </c>
      <c r="O153" s="323" t="s">
        <v>218</v>
      </c>
      <c r="P153" s="342" t="n">
        <v>49</v>
      </c>
      <c r="Q153" s="323" t="s">
        <v>219</v>
      </c>
      <c r="R153" s="342" t="n">
        <v>98</v>
      </c>
      <c r="S153" s="323" t="s">
        <v>220</v>
      </c>
      <c r="T153" s="342" t="n">
        <v>29</v>
      </c>
      <c r="U153" s="323" t="s">
        <v>8</v>
      </c>
      <c r="V153" s="343" t="s">
        <v>252</v>
      </c>
      <c r="W153" s="329" t="s">
        <v>221</v>
      </c>
      <c r="X153" s="352" t="n">
        <v>0.45</v>
      </c>
      <c r="Y153" s="329" t="s">
        <v>222</v>
      </c>
      <c r="Z153" s="328" t="n">
        <v>14</v>
      </c>
    </row>
    <row r="154" customFormat="false" ht="12" hidden="false" customHeight="false" outlineLevel="0" collapsed="false">
      <c r="A154" s="321" t="s">
        <v>227</v>
      </c>
      <c r="B154" s="344" t="n">
        <v>0</v>
      </c>
      <c r="C154" s="345" t="n">
        <v>0.013</v>
      </c>
      <c r="D154" s="345" t="n">
        <v>0.017</v>
      </c>
      <c r="E154" s="345" t="n">
        <v>0.04</v>
      </c>
      <c r="F154" s="345" t="n">
        <v>0.125</v>
      </c>
      <c r="G154" s="345" t="n">
        <v>0.179</v>
      </c>
      <c r="H154" s="345" t="n">
        <v>0.222</v>
      </c>
      <c r="I154" s="345" t="n">
        <v>0.289</v>
      </c>
      <c r="J154" s="345" t="n">
        <v>0.354</v>
      </c>
      <c r="K154" s="345" t="n">
        <v>0.394</v>
      </c>
      <c r="L154" s="345" t="n">
        <v>0.406</v>
      </c>
      <c r="M154" s="345" t="n">
        <v>0.416</v>
      </c>
      <c r="N154" s="345" t="n">
        <v>0.423</v>
      </c>
      <c r="O154" s="345" t="n">
        <v>0.431</v>
      </c>
      <c r="P154" s="345" t="n">
        <v>0.447</v>
      </c>
      <c r="Q154" s="345" t="n">
        <v>0.453</v>
      </c>
      <c r="R154" s="345" t="n">
        <v>0.455</v>
      </c>
      <c r="S154" s="345" t="n">
        <v>0.455</v>
      </c>
      <c r="T154" s="345" t="n">
        <v>0.455</v>
      </c>
      <c r="U154" s="345" t="n">
        <v>0.455</v>
      </c>
      <c r="V154" s="345" t="n">
        <v>0.455</v>
      </c>
      <c r="W154" s="345" t="n">
        <v>0.455</v>
      </c>
      <c r="X154" s="345" t="n">
        <v>2</v>
      </c>
      <c r="Y154" s="333" t="n">
        <v>1000</v>
      </c>
    </row>
    <row r="155" customFormat="false" ht="12" hidden="false" customHeight="false" outlineLevel="0" collapsed="false">
      <c r="A155" s="346" t="s">
        <v>228</v>
      </c>
      <c r="B155" s="347" t="n">
        <v>0</v>
      </c>
      <c r="C155" s="348" t="n">
        <v>79.242</v>
      </c>
      <c r="D155" s="348" t="n">
        <v>90.427</v>
      </c>
      <c r="E155" s="348" t="n">
        <v>101.422</v>
      </c>
      <c r="F155" s="348" t="n">
        <v>127.583</v>
      </c>
      <c r="G155" s="348" t="n">
        <v>136.114</v>
      </c>
      <c r="H155" s="348" t="n">
        <v>139.905</v>
      </c>
      <c r="I155" s="348" t="n">
        <v>143.507</v>
      </c>
      <c r="J155" s="348" t="n">
        <v>138.578</v>
      </c>
      <c r="K155" s="348" t="n">
        <v>125.498</v>
      </c>
      <c r="L155" s="348" t="n">
        <v>123.602</v>
      </c>
      <c r="M155" s="348" t="n">
        <v>125.118</v>
      </c>
      <c r="N155" s="348" t="n">
        <v>130.047</v>
      </c>
      <c r="O155" s="348" t="n">
        <v>120.569</v>
      </c>
      <c r="P155" s="348" t="n">
        <v>25.592</v>
      </c>
      <c r="Q155" s="348" t="n">
        <v>8.72</v>
      </c>
      <c r="R155" s="348" t="n">
        <v>0</v>
      </c>
      <c r="S155" s="348" t="n">
        <v>0</v>
      </c>
      <c r="T155" s="348" t="n">
        <v>0</v>
      </c>
      <c r="U155" s="348" t="n">
        <v>0</v>
      </c>
      <c r="V155" s="348" t="n">
        <v>0</v>
      </c>
      <c r="W155" s="348" t="n">
        <v>0</v>
      </c>
      <c r="X155" s="348" t="n">
        <v>0</v>
      </c>
      <c r="Y155" s="349" t="n">
        <v>0</v>
      </c>
    </row>
    <row r="156" customFormat="false" ht="12.75" hidden="false" customHeight="false" outlineLevel="0" collapsed="false">
      <c r="A156" s="334" t="s">
        <v>229</v>
      </c>
      <c r="B156" s="350" t="n">
        <f aca="false">(C155+B155)*(C154-B154)/2</f>
        <v>0.515073</v>
      </c>
      <c r="C156" s="351" t="n">
        <f aca="false">(D155+C155)*(D154-C154)/2</f>
        <v>0.339338</v>
      </c>
      <c r="D156" s="351" t="n">
        <f aca="false">(E155+D155)*(E154-D154)/2</f>
        <v>2.2062635</v>
      </c>
      <c r="E156" s="351" t="n">
        <f aca="false">(F155+E155)*(F154-E154)/2</f>
        <v>9.7327125</v>
      </c>
      <c r="F156" s="351" t="n">
        <f aca="false">(G155+F155)*(G154-F154)/2</f>
        <v>7.119819</v>
      </c>
      <c r="G156" s="351" t="n">
        <f aca="false">(H155+G155)*(H154-G154)/2</f>
        <v>5.9344085</v>
      </c>
      <c r="H156" s="351" t="n">
        <f aca="false">(I155+H155)*(I154-H154)/2</f>
        <v>9.494302</v>
      </c>
      <c r="I156" s="351" t="n">
        <f aca="false">(J155+I155)*(J154-I154)/2</f>
        <v>9.1677625</v>
      </c>
      <c r="J156" s="351" t="n">
        <f aca="false">(K155+J155)*(K154-J154)/2</f>
        <v>5.28152000000001</v>
      </c>
      <c r="K156" s="351" t="n">
        <f aca="false">(L155+K155)*(L154-K154)/2</f>
        <v>1.4946</v>
      </c>
      <c r="L156" s="351" t="n">
        <f aca="false">(M155+L155)*(M154-L154)/2</f>
        <v>1.24359999999999</v>
      </c>
      <c r="M156" s="351" t="n">
        <f aca="false">(N155+M155)*(N154-M154)/2</f>
        <v>0.893077500000001</v>
      </c>
      <c r="N156" s="351" t="n">
        <f aca="false">(O155+N155)*(O154-N154)/2</f>
        <v>1.002464</v>
      </c>
      <c r="O156" s="351" t="n">
        <f aca="false">(P155+O155)*(P154-O154)/2</f>
        <v>1.169288</v>
      </c>
      <c r="P156" s="351" t="n">
        <f aca="false">(Q155+P155)*(Q154-P154)/2</f>
        <v>0.102936</v>
      </c>
      <c r="Q156" s="351" t="n">
        <f aca="false">(R155+Q155)*(R154-Q154)/2</f>
        <v>0.00872000000000001</v>
      </c>
      <c r="R156" s="351" t="n">
        <f aca="false">(S155+R155)*(S154-R154)/2</f>
        <v>0</v>
      </c>
      <c r="S156" s="351" t="n">
        <f aca="false">(T155+S155)*(T154-S154)/2</f>
        <v>0</v>
      </c>
      <c r="T156" s="351" t="n">
        <f aca="false">(U155+T155)*(U154-T154)/2</f>
        <v>0</v>
      </c>
      <c r="U156" s="351" t="n">
        <f aca="false">(V155+U155)*(V154-U154)/2</f>
        <v>0</v>
      </c>
      <c r="V156" s="351" t="n">
        <f aca="false">(W155+V155)*(W154-V154)/2</f>
        <v>0</v>
      </c>
      <c r="W156" s="351" t="n">
        <f aca="false">(X155+W155)*(X154-W154)/2</f>
        <v>0</v>
      </c>
      <c r="X156" s="351" t="n">
        <f aca="false">(Y155+X155)*(Y154-X154)/2</f>
        <v>0</v>
      </c>
      <c r="Y156" s="337"/>
    </row>
    <row r="157" customFormat="false" ht="12.75" hidden="false" customHeight="false" outlineLevel="0" collapsed="false">
      <c r="B157" s="338"/>
      <c r="C157" s="338"/>
      <c r="D157" s="338"/>
      <c r="E157" s="338"/>
      <c r="F157" s="338"/>
      <c r="G157" s="338"/>
      <c r="H157" s="338"/>
      <c r="I157" s="338"/>
      <c r="J157" s="338"/>
      <c r="K157" s="338"/>
      <c r="L157" s="338"/>
      <c r="M157" s="338"/>
      <c r="N157" s="338"/>
      <c r="O157" s="338"/>
      <c r="P157" s="338"/>
      <c r="Q157" s="338"/>
      <c r="R157" s="338"/>
      <c r="S157" s="338"/>
      <c r="T157" s="338"/>
      <c r="U157" s="338"/>
      <c r="V157" s="338"/>
      <c r="W157" s="338"/>
      <c r="X157" s="338"/>
      <c r="Y157" s="338"/>
    </row>
    <row r="158" customFormat="false" ht="13.5" hidden="false" customHeight="false" outlineLevel="0" collapsed="false">
      <c r="A158" s="339" t="s">
        <v>264</v>
      </c>
      <c r="B158" s="340" t="n">
        <f aca="false">ROW(A158)</f>
        <v>158</v>
      </c>
      <c r="C158" s="323" t="s">
        <v>212</v>
      </c>
      <c r="D158" s="324" t="n">
        <f aca="false">SUM(B161:Y161)</f>
        <v>57.19</v>
      </c>
      <c r="E158" s="323" t="s">
        <v>213</v>
      </c>
      <c r="F158" s="325" t="n">
        <f aca="false">D158/g/J158</f>
        <v>188.05695307619</v>
      </c>
      <c r="G158" s="323" t="s">
        <v>214</v>
      </c>
      <c r="H158" s="341" t="n">
        <v>0.099</v>
      </c>
      <c r="I158" s="323" t="s">
        <v>225</v>
      </c>
      <c r="J158" s="326" t="n">
        <f aca="false">H158-L158</f>
        <v>0.031</v>
      </c>
      <c r="K158" s="323" t="s">
        <v>226</v>
      </c>
      <c r="L158" s="341" t="n">
        <v>0.068</v>
      </c>
      <c r="M158" s="323" t="s">
        <v>217</v>
      </c>
      <c r="N158" s="342" t="n">
        <v>49</v>
      </c>
      <c r="O158" s="323" t="s">
        <v>218</v>
      </c>
      <c r="P158" s="342" t="n">
        <v>49</v>
      </c>
      <c r="Q158" s="323" t="s">
        <v>219</v>
      </c>
      <c r="R158" s="342" t="n">
        <v>98</v>
      </c>
      <c r="S158" s="323" t="s">
        <v>220</v>
      </c>
      <c r="T158" s="342" t="n">
        <v>29</v>
      </c>
      <c r="U158" s="323" t="s">
        <v>8</v>
      </c>
      <c r="V158" s="343" t="s">
        <v>252</v>
      </c>
      <c r="W158" s="329" t="s">
        <v>221</v>
      </c>
      <c r="X158" s="352" t="n">
        <v>0.96</v>
      </c>
      <c r="Y158" s="329" t="s">
        <v>222</v>
      </c>
      <c r="Z158" s="328" t="n">
        <v>12</v>
      </c>
    </row>
    <row r="159" customFormat="false" ht="12" hidden="false" customHeight="false" outlineLevel="0" collapsed="false">
      <c r="A159" s="321" t="s">
        <v>227</v>
      </c>
      <c r="B159" s="344" t="n">
        <v>0</v>
      </c>
      <c r="C159" s="345" t="n">
        <v>0.01</v>
      </c>
      <c r="D159" s="345" t="n">
        <v>0.02</v>
      </c>
      <c r="E159" s="345" t="n">
        <v>0.03</v>
      </c>
      <c r="F159" s="345" t="n">
        <v>0.04</v>
      </c>
      <c r="G159" s="345" t="n">
        <v>0.07</v>
      </c>
      <c r="H159" s="345" t="n">
        <v>0.1</v>
      </c>
      <c r="I159" s="345" t="n">
        <v>0.2</v>
      </c>
      <c r="J159" s="345" t="n">
        <v>0.3</v>
      </c>
      <c r="K159" s="345" t="n">
        <v>0.4</v>
      </c>
      <c r="L159" s="345" t="n">
        <v>0.5</v>
      </c>
      <c r="M159" s="345" t="n">
        <v>0.6</v>
      </c>
      <c r="N159" s="345" t="n">
        <v>0.7</v>
      </c>
      <c r="O159" s="345" t="n">
        <v>0.87</v>
      </c>
      <c r="P159" s="345" t="n">
        <v>0.9</v>
      </c>
      <c r="Q159" s="345" t="n">
        <v>0.97</v>
      </c>
      <c r="R159" s="345" t="n">
        <v>0.97</v>
      </c>
      <c r="S159" s="345" t="n">
        <v>0.97</v>
      </c>
      <c r="T159" s="345" t="n">
        <v>0.97</v>
      </c>
      <c r="U159" s="345" t="n">
        <v>0.97</v>
      </c>
      <c r="V159" s="345" t="n">
        <v>0.97</v>
      </c>
      <c r="W159" s="345" t="n">
        <v>0.97</v>
      </c>
      <c r="X159" s="345" t="n">
        <v>2</v>
      </c>
      <c r="Y159" s="333" t="n">
        <v>1000</v>
      </c>
    </row>
    <row r="160" customFormat="false" ht="12" hidden="false" customHeight="false" outlineLevel="0" collapsed="false">
      <c r="A160" s="346" t="s">
        <v>228</v>
      </c>
      <c r="B160" s="347" t="n">
        <v>0</v>
      </c>
      <c r="C160" s="348" t="n">
        <v>16</v>
      </c>
      <c r="D160" s="348" t="n">
        <v>62</v>
      </c>
      <c r="E160" s="348" t="n">
        <v>67</v>
      </c>
      <c r="F160" s="348" t="n">
        <v>71</v>
      </c>
      <c r="G160" s="348" t="n">
        <v>58</v>
      </c>
      <c r="H160" s="348" t="n">
        <v>63</v>
      </c>
      <c r="I160" s="348" t="n">
        <v>67</v>
      </c>
      <c r="J160" s="348" t="n">
        <v>69</v>
      </c>
      <c r="K160" s="348" t="n">
        <v>67</v>
      </c>
      <c r="L160" s="348" t="n">
        <v>65</v>
      </c>
      <c r="M160" s="348" t="n">
        <v>63</v>
      </c>
      <c r="N160" s="348" t="n">
        <v>61</v>
      </c>
      <c r="O160" s="348" t="n">
        <v>60</v>
      </c>
      <c r="P160" s="348" t="n">
        <v>23</v>
      </c>
      <c r="Q160" s="348" t="n">
        <v>0</v>
      </c>
      <c r="R160" s="348" t="n">
        <v>0</v>
      </c>
      <c r="S160" s="348" t="n">
        <v>0</v>
      </c>
      <c r="T160" s="348" t="n">
        <v>0</v>
      </c>
      <c r="U160" s="348" t="n">
        <v>0</v>
      </c>
      <c r="V160" s="348" t="n">
        <v>0</v>
      </c>
      <c r="W160" s="348" t="n">
        <v>0</v>
      </c>
      <c r="X160" s="348" t="n">
        <v>0</v>
      </c>
      <c r="Y160" s="349" t="n">
        <v>0</v>
      </c>
    </row>
    <row r="161" customFormat="false" ht="12.75" hidden="false" customHeight="false" outlineLevel="0" collapsed="false">
      <c r="A161" s="334" t="s">
        <v>229</v>
      </c>
      <c r="B161" s="350" t="n">
        <f aca="false">(C160+B160)*(C159-B159)/2</f>
        <v>0.08</v>
      </c>
      <c r="C161" s="351" t="n">
        <f aca="false">(D160+C160)*(D159-C159)/2</f>
        <v>0.39</v>
      </c>
      <c r="D161" s="351" t="n">
        <f aca="false">(E160+D160)*(E159-D159)/2</f>
        <v>0.645</v>
      </c>
      <c r="E161" s="351" t="n">
        <f aca="false">(F160+E160)*(F159-E159)/2</f>
        <v>0.69</v>
      </c>
      <c r="F161" s="351" t="n">
        <f aca="false">(G160+F160)*(G159-F159)/2</f>
        <v>1.935</v>
      </c>
      <c r="G161" s="351" t="n">
        <f aca="false">(H160+G160)*(H159-G159)/2</f>
        <v>1.815</v>
      </c>
      <c r="H161" s="351" t="n">
        <f aca="false">(I160+H160)*(I159-H159)/2</f>
        <v>6.5</v>
      </c>
      <c r="I161" s="351" t="n">
        <f aca="false">(J160+I160)*(J159-I159)/2</f>
        <v>6.8</v>
      </c>
      <c r="J161" s="351" t="n">
        <f aca="false">(K160+J160)*(K159-J159)/2</f>
        <v>6.8</v>
      </c>
      <c r="K161" s="351" t="n">
        <f aca="false">(L160+K160)*(L159-K159)/2</f>
        <v>6.6</v>
      </c>
      <c r="L161" s="351" t="n">
        <f aca="false">(M160+L160)*(M159-L159)/2</f>
        <v>6.4</v>
      </c>
      <c r="M161" s="351" t="n">
        <f aca="false">(N160+M160)*(N159-M159)/2</f>
        <v>6.2</v>
      </c>
      <c r="N161" s="351" t="n">
        <f aca="false">(O160+N160)*(O159-N159)/2</f>
        <v>10.285</v>
      </c>
      <c r="O161" s="351" t="n">
        <f aca="false">(P160+O160)*(P159-O159)/2</f>
        <v>1.245</v>
      </c>
      <c r="P161" s="351" t="n">
        <f aca="false">(Q160+P160)*(Q159-P159)/2</f>
        <v>0.805</v>
      </c>
      <c r="Q161" s="351" t="n">
        <f aca="false">(R160+Q160)*(R159-Q159)/2</f>
        <v>0</v>
      </c>
      <c r="R161" s="351" t="n">
        <f aca="false">(S160+R160)*(S159-R159)/2</f>
        <v>0</v>
      </c>
      <c r="S161" s="351" t="n">
        <f aca="false">(T160+S160)*(T159-S159)/2</f>
        <v>0</v>
      </c>
      <c r="T161" s="351" t="n">
        <f aca="false">(U160+T160)*(U159-T159)/2</f>
        <v>0</v>
      </c>
      <c r="U161" s="351" t="n">
        <f aca="false">(V160+U160)*(V159-U159)/2</f>
        <v>0</v>
      </c>
      <c r="V161" s="351" t="n">
        <f aca="false">(W160+V160)*(W159-V159)/2</f>
        <v>0</v>
      </c>
      <c r="W161" s="351" t="n">
        <f aca="false">(X160+W160)*(X159-W159)/2</f>
        <v>0</v>
      </c>
      <c r="X161" s="351" t="n">
        <f aca="false">(Y160+X160)*(Y159-X159)/2</f>
        <v>0</v>
      </c>
      <c r="Y161" s="337"/>
    </row>
    <row r="162" customFormat="false" ht="13.5" hidden="false" customHeight="false" outlineLevel="0" collapsed="false">
      <c r="A162" s="171" t="s">
        <v>265</v>
      </c>
      <c r="B162" s="338"/>
      <c r="C162" s="338"/>
      <c r="D162" s="338"/>
      <c r="E162" s="338"/>
      <c r="F162" s="338"/>
      <c r="G162" s="338"/>
      <c r="H162" s="338"/>
      <c r="I162" s="338"/>
      <c r="J162" s="338"/>
      <c r="K162" s="338"/>
      <c r="L162" s="338"/>
      <c r="M162" s="338"/>
      <c r="N162" s="338"/>
      <c r="O162" s="338"/>
      <c r="P162" s="338"/>
      <c r="Q162" s="338"/>
      <c r="R162" s="338"/>
      <c r="S162" s="338"/>
      <c r="T162" s="338"/>
      <c r="U162" s="338"/>
      <c r="V162" s="338"/>
      <c r="W162" s="338"/>
      <c r="X162" s="338"/>
      <c r="Y162" s="338"/>
    </row>
    <row r="163" customFormat="false" ht="13.5" hidden="false" customHeight="false" outlineLevel="0" collapsed="false">
      <c r="A163" s="339" t="s">
        <v>266</v>
      </c>
      <c r="B163" s="340" t="n">
        <f aca="false">ROW(A163)</f>
        <v>163</v>
      </c>
      <c r="C163" s="323" t="s">
        <v>212</v>
      </c>
      <c r="D163" s="324" t="n">
        <f aca="false">SUM(B166:Y166)</f>
        <v>59.702267</v>
      </c>
      <c r="E163" s="323" t="s">
        <v>213</v>
      </c>
      <c r="F163" s="325" t="n">
        <f aca="false">D163/g/J163</f>
        <v>190.779247712813</v>
      </c>
      <c r="G163" s="323" t="s">
        <v>214</v>
      </c>
      <c r="H163" s="341" t="n">
        <v>0.0939</v>
      </c>
      <c r="I163" s="323" t="s">
        <v>225</v>
      </c>
      <c r="J163" s="326" t="n">
        <f aca="false">H163-L163</f>
        <v>0.0319</v>
      </c>
      <c r="K163" s="323" t="s">
        <v>226</v>
      </c>
      <c r="L163" s="341" t="n">
        <f aca="false">0.095-0.033</f>
        <v>0.062</v>
      </c>
      <c r="M163" s="323" t="s">
        <v>217</v>
      </c>
      <c r="N163" s="354" t="n">
        <v>66.5</v>
      </c>
      <c r="O163" s="323" t="s">
        <v>218</v>
      </c>
      <c r="P163" s="354" t="n">
        <v>66.5</v>
      </c>
      <c r="Q163" s="323" t="s">
        <v>219</v>
      </c>
      <c r="R163" s="342" t="n">
        <v>133</v>
      </c>
      <c r="S163" s="323" t="s">
        <v>220</v>
      </c>
      <c r="T163" s="342" t="n">
        <v>24</v>
      </c>
      <c r="U163" s="323" t="s">
        <v>8</v>
      </c>
      <c r="V163" s="343" t="s">
        <v>250</v>
      </c>
      <c r="W163" s="329" t="s">
        <v>221</v>
      </c>
      <c r="X163" s="352" t="n">
        <v>1.2</v>
      </c>
      <c r="Y163" s="329" t="s">
        <v>222</v>
      </c>
      <c r="Z163" s="328" t="n">
        <v>13</v>
      </c>
    </row>
    <row r="164" customFormat="false" ht="12" hidden="false" customHeight="false" outlineLevel="0" collapsed="false">
      <c r="A164" s="321" t="s">
        <v>227</v>
      </c>
      <c r="B164" s="344" t="n">
        <v>0</v>
      </c>
      <c r="C164" s="345" t="n">
        <v>0.015</v>
      </c>
      <c r="D164" s="345" t="n">
        <v>0.022</v>
      </c>
      <c r="E164" s="345" t="n">
        <v>0.064</v>
      </c>
      <c r="F164" s="345" t="n">
        <v>0.118</v>
      </c>
      <c r="G164" s="345" t="n">
        <v>0.342</v>
      </c>
      <c r="H164" s="345" t="n">
        <v>0.536</v>
      </c>
      <c r="I164" s="345" t="n">
        <v>0.743</v>
      </c>
      <c r="J164" s="345" t="n">
        <v>0.884</v>
      </c>
      <c r="K164" s="345" t="n">
        <v>0.976</v>
      </c>
      <c r="L164" s="345" t="n">
        <v>1.096</v>
      </c>
      <c r="M164" s="345" t="n">
        <v>1.246</v>
      </c>
      <c r="N164" s="345" t="n">
        <v>1.298</v>
      </c>
      <c r="O164" s="345" t="n">
        <v>2</v>
      </c>
      <c r="P164" s="345" t="n">
        <v>2</v>
      </c>
      <c r="Q164" s="345" t="n">
        <v>2</v>
      </c>
      <c r="R164" s="345" t="n">
        <v>2</v>
      </c>
      <c r="S164" s="345" t="n">
        <v>2</v>
      </c>
      <c r="T164" s="345" t="n">
        <v>2</v>
      </c>
      <c r="U164" s="345" t="n">
        <v>2</v>
      </c>
      <c r="V164" s="345" t="n">
        <v>2</v>
      </c>
      <c r="W164" s="345" t="n">
        <v>2</v>
      </c>
      <c r="X164" s="345" t="n">
        <f aca="false">W164</f>
        <v>2</v>
      </c>
      <c r="Y164" s="333" t="n">
        <v>1000</v>
      </c>
    </row>
    <row r="165" customFormat="false" ht="12" hidden="false" customHeight="false" outlineLevel="0" collapsed="false">
      <c r="A165" s="346" t="s">
        <v>228</v>
      </c>
      <c r="B165" s="347" t="n">
        <v>0</v>
      </c>
      <c r="C165" s="348" t="n">
        <v>64.982</v>
      </c>
      <c r="D165" s="348" t="n">
        <v>69.516</v>
      </c>
      <c r="E165" s="348" t="n">
        <v>55.537</v>
      </c>
      <c r="F165" s="348" t="n">
        <v>62.81</v>
      </c>
      <c r="G165" s="348" t="n">
        <v>62.149</v>
      </c>
      <c r="H165" s="348" t="n">
        <v>59.41</v>
      </c>
      <c r="I165" s="348" t="n">
        <v>53.837</v>
      </c>
      <c r="J165" s="348" t="n">
        <v>46.942</v>
      </c>
      <c r="K165" s="348" t="n">
        <v>40.047</v>
      </c>
      <c r="L165" s="348" t="n">
        <v>12.562</v>
      </c>
      <c r="M165" s="348" t="n">
        <v>2.078</v>
      </c>
      <c r="N165" s="348" t="n">
        <v>0</v>
      </c>
      <c r="O165" s="348" t="n">
        <v>0</v>
      </c>
      <c r="P165" s="348" t="n">
        <v>0</v>
      </c>
      <c r="Q165" s="348" t="n">
        <v>0</v>
      </c>
      <c r="R165" s="348" t="n">
        <v>0</v>
      </c>
      <c r="S165" s="348" t="n">
        <v>0</v>
      </c>
      <c r="T165" s="348" t="n">
        <f aca="false">S165</f>
        <v>0</v>
      </c>
      <c r="U165" s="348" t="n">
        <f aca="false">T165</f>
        <v>0</v>
      </c>
      <c r="V165" s="348" t="n">
        <f aca="false">U165</f>
        <v>0</v>
      </c>
      <c r="W165" s="348" t="n">
        <f aca="false">V165</f>
        <v>0</v>
      </c>
      <c r="X165" s="348" t="n">
        <f aca="false">W165</f>
        <v>0</v>
      </c>
      <c r="Y165" s="349" t="n">
        <v>0</v>
      </c>
    </row>
    <row r="166" customFormat="false" ht="12.75" hidden="false" customHeight="false" outlineLevel="0" collapsed="false">
      <c r="A166" s="334" t="s">
        <v>229</v>
      </c>
      <c r="B166" s="350" t="n">
        <f aca="false">(C165+B165)*(C164-B164)/2</f>
        <v>0.487365</v>
      </c>
      <c r="C166" s="351" t="n">
        <f aca="false">(D165+C165)*(D164-C164)/2</f>
        <v>0.470743</v>
      </c>
      <c r="D166" s="351" t="n">
        <f aca="false">(E165+D165)*(E164-D164)/2</f>
        <v>2.626113</v>
      </c>
      <c r="E166" s="351" t="n">
        <f aca="false">(F165+E165)*(F164-E164)/2</f>
        <v>3.195369</v>
      </c>
      <c r="F166" s="351" t="n">
        <f aca="false">(G165+F165)*(G164-F164)/2</f>
        <v>13.995408</v>
      </c>
      <c r="G166" s="351" t="n">
        <f aca="false">(H165+G165)*(H164-G164)/2</f>
        <v>11.791223</v>
      </c>
      <c r="H166" s="351" t="n">
        <f aca="false">(I165+H165)*(I164-H164)/2</f>
        <v>11.7210645</v>
      </c>
      <c r="I166" s="351" t="n">
        <f aca="false">(J165+I165)*(J164-I164)/2</f>
        <v>7.1049195</v>
      </c>
      <c r="J166" s="351" t="n">
        <f aca="false">(K165+J165)*(K164-J164)/2</f>
        <v>4.001494</v>
      </c>
      <c r="K166" s="351" t="n">
        <f aca="false">(L165+K165)*(L164-K164)/2</f>
        <v>3.15654</v>
      </c>
      <c r="L166" s="351" t="n">
        <f aca="false">(M165+L165)*(M164-L164)/2</f>
        <v>1.098</v>
      </c>
      <c r="M166" s="351" t="n">
        <f aca="false">(N165+M165)*(N164-M164)/2</f>
        <v>0.054028</v>
      </c>
      <c r="N166" s="351" t="n">
        <f aca="false">(O165+N165)*(O164-N164)/2</f>
        <v>0</v>
      </c>
      <c r="O166" s="351" t="n">
        <f aca="false">(P165+O165)*(P164-O164)/2</f>
        <v>0</v>
      </c>
      <c r="P166" s="351" t="n">
        <f aca="false">(Q165+P165)*(Q164-P164)/2</f>
        <v>0</v>
      </c>
      <c r="Q166" s="351" t="n">
        <f aca="false">(R165+Q165)*(R164-Q164)/2</f>
        <v>0</v>
      </c>
      <c r="R166" s="351" t="n">
        <f aca="false">(S165+R165)*(S164-R164)/2</f>
        <v>0</v>
      </c>
      <c r="S166" s="351" t="n">
        <f aca="false">(T165+S165)*(T164-S164)/2</f>
        <v>0</v>
      </c>
      <c r="T166" s="351" t="n">
        <f aca="false">(U165+T165)*(U164-T164)/2</f>
        <v>0</v>
      </c>
      <c r="U166" s="351" t="n">
        <f aca="false">(V165+U165)*(V164-U164)/2</f>
        <v>0</v>
      </c>
      <c r="V166" s="351" t="n">
        <f aca="false">(W165+V165)*(W164-V164)/2</f>
        <v>0</v>
      </c>
      <c r="W166" s="351" t="n">
        <f aca="false">(X165+W165)*(X164-W164)/2</f>
        <v>0</v>
      </c>
      <c r="X166" s="351" t="n">
        <f aca="false">(Y165+X165)*(Y164-X164)/2</f>
        <v>0</v>
      </c>
      <c r="Y166" s="337"/>
    </row>
    <row r="167" customFormat="false" ht="12.75" hidden="false" customHeight="false" outlineLevel="0" collapsed="false"/>
    <row r="168" customFormat="false" ht="13.5" hidden="false" customHeight="false" outlineLevel="0" collapsed="false">
      <c r="A168" s="339" t="s">
        <v>267</v>
      </c>
      <c r="B168" s="340" t="n">
        <f aca="false">ROW(A168)</f>
        <v>168</v>
      </c>
      <c r="C168" s="323" t="s">
        <v>212</v>
      </c>
      <c r="D168" s="324" t="n">
        <f aca="false">SUM(B171:Y171)</f>
        <v>68.380603</v>
      </c>
      <c r="E168" s="323" t="s">
        <v>213</v>
      </c>
      <c r="F168" s="325" t="n">
        <f aca="false">D168/g/J168</f>
        <v>134.048073002431</v>
      </c>
      <c r="G168" s="323" t="s">
        <v>214</v>
      </c>
      <c r="H168" s="341" t="n">
        <v>0.1075</v>
      </c>
      <c r="I168" s="323" t="s">
        <v>225</v>
      </c>
      <c r="J168" s="326" t="n">
        <f aca="false">H168-L168</f>
        <v>0.052</v>
      </c>
      <c r="K168" s="323" t="s">
        <v>226</v>
      </c>
      <c r="L168" s="341" t="n">
        <v>0.0555</v>
      </c>
      <c r="M168" s="323" t="s">
        <v>217</v>
      </c>
      <c r="N168" s="354" t="n">
        <v>66.5</v>
      </c>
      <c r="O168" s="323" t="s">
        <v>218</v>
      </c>
      <c r="P168" s="354" t="n">
        <v>66.5</v>
      </c>
      <c r="Q168" s="323" t="s">
        <v>219</v>
      </c>
      <c r="R168" s="342" t="n">
        <v>133</v>
      </c>
      <c r="S168" s="323" t="s">
        <v>220</v>
      </c>
      <c r="T168" s="342" t="n">
        <v>24</v>
      </c>
      <c r="U168" s="323" t="s">
        <v>8</v>
      </c>
      <c r="V168" s="343" t="s">
        <v>250</v>
      </c>
      <c r="W168" s="329" t="s">
        <v>221</v>
      </c>
      <c r="X168" s="352" t="n">
        <v>0.86</v>
      </c>
      <c r="Y168" s="329" t="s">
        <v>222</v>
      </c>
      <c r="Z168" s="328" t="n">
        <v>13</v>
      </c>
    </row>
    <row r="169" customFormat="false" ht="12" hidden="false" customHeight="false" outlineLevel="0" collapsed="false">
      <c r="A169" s="321" t="s">
        <v>227</v>
      </c>
      <c r="B169" s="344" t="n">
        <v>0</v>
      </c>
      <c r="C169" s="345" t="n">
        <v>0.005</v>
      </c>
      <c r="D169" s="345" t="n">
        <v>0.013</v>
      </c>
      <c r="E169" s="345" t="n">
        <v>0.022</v>
      </c>
      <c r="F169" s="345" t="n">
        <v>0.043</v>
      </c>
      <c r="G169" s="345" t="n">
        <v>0.119</v>
      </c>
      <c r="H169" s="345" t="n">
        <v>0.198</v>
      </c>
      <c r="I169" s="345" t="n">
        <v>0.267</v>
      </c>
      <c r="J169" s="345" t="n">
        <v>0.343</v>
      </c>
      <c r="K169" s="345" t="n">
        <v>0.404</v>
      </c>
      <c r="L169" s="345" t="n">
        <v>0.498</v>
      </c>
      <c r="M169" s="345" t="n">
        <v>0.555</v>
      </c>
      <c r="N169" s="345" t="n">
        <v>0.622</v>
      </c>
      <c r="O169" s="345" t="n">
        <v>0.663</v>
      </c>
      <c r="P169" s="345" t="n">
        <v>0.704</v>
      </c>
      <c r="Q169" s="345" t="n">
        <v>0.729</v>
      </c>
      <c r="R169" s="345" t="n">
        <v>0.747</v>
      </c>
      <c r="S169" s="345" t="n">
        <v>0.768</v>
      </c>
      <c r="T169" s="345" t="n">
        <v>0.821</v>
      </c>
      <c r="U169" s="345" t="n">
        <v>0.852</v>
      </c>
      <c r="V169" s="345" t="n">
        <v>0.892</v>
      </c>
      <c r="W169" s="345" t="n">
        <v>1</v>
      </c>
      <c r="X169" s="345" t="n">
        <v>2</v>
      </c>
      <c r="Y169" s="333" t="n">
        <v>1000</v>
      </c>
    </row>
    <row r="170" customFormat="false" ht="12" hidden="false" customHeight="false" outlineLevel="0" collapsed="false">
      <c r="A170" s="346" t="s">
        <v>228</v>
      </c>
      <c r="B170" s="347" t="n">
        <v>0</v>
      </c>
      <c r="C170" s="348" t="n">
        <v>60</v>
      </c>
      <c r="D170" s="348" t="n">
        <v>89.007</v>
      </c>
      <c r="E170" s="348" t="n">
        <v>96.291</v>
      </c>
      <c r="F170" s="348" t="n">
        <v>81.722</v>
      </c>
      <c r="G170" s="348" t="n">
        <v>85.563</v>
      </c>
      <c r="H170" s="348" t="n">
        <v>87.947</v>
      </c>
      <c r="I170" s="348" t="n">
        <v>89.272</v>
      </c>
      <c r="J170" s="348" t="n">
        <v>89.934</v>
      </c>
      <c r="K170" s="348" t="n">
        <v>90.861</v>
      </c>
      <c r="L170" s="348" t="n">
        <v>91.523</v>
      </c>
      <c r="M170" s="348" t="n">
        <v>89.669</v>
      </c>
      <c r="N170" s="348" t="n">
        <v>83.974</v>
      </c>
      <c r="O170" s="348" t="n">
        <v>80.53</v>
      </c>
      <c r="P170" s="348" t="n">
        <v>78.94</v>
      </c>
      <c r="Q170" s="348" t="n">
        <v>74.172</v>
      </c>
      <c r="R170" s="348" t="n">
        <v>66.887</v>
      </c>
      <c r="S170" s="348" t="n">
        <v>53.775</v>
      </c>
      <c r="T170" s="348" t="n">
        <v>18.543</v>
      </c>
      <c r="U170" s="348" t="n">
        <v>7.815</v>
      </c>
      <c r="V170" s="348" t="n">
        <v>2.119</v>
      </c>
      <c r="W170" s="348" t="n">
        <v>0</v>
      </c>
      <c r="X170" s="348" t="n">
        <v>0</v>
      </c>
      <c r="Y170" s="349" t="n">
        <v>0</v>
      </c>
    </row>
    <row r="171" customFormat="false" ht="12.75" hidden="false" customHeight="false" outlineLevel="0" collapsed="false">
      <c r="A171" s="334" t="s">
        <v>229</v>
      </c>
      <c r="B171" s="350" t="n">
        <f aca="false">(C170+B170)*(C169-B169)/2</f>
        <v>0.15</v>
      </c>
      <c r="C171" s="351" t="n">
        <f aca="false">(D170+C170)*(D169-C169)/2</f>
        <v>0.596028</v>
      </c>
      <c r="D171" s="351" t="n">
        <f aca="false">(E170+D170)*(E169-D169)/2</f>
        <v>0.833841</v>
      </c>
      <c r="E171" s="351" t="n">
        <f aca="false">(F170+E170)*(F169-E169)/2</f>
        <v>1.8691365</v>
      </c>
      <c r="F171" s="351" t="n">
        <f aca="false">(G170+F170)*(G169-F169)/2</f>
        <v>6.35683</v>
      </c>
      <c r="G171" s="351" t="n">
        <f aca="false">(H170+G170)*(H169-G169)/2</f>
        <v>6.853645</v>
      </c>
      <c r="H171" s="351" t="n">
        <f aca="false">(I170+H170)*(I169-H169)/2</f>
        <v>6.1140555</v>
      </c>
      <c r="I171" s="351" t="n">
        <f aca="false">(J170+I170)*(J169-I169)/2</f>
        <v>6.809828</v>
      </c>
      <c r="J171" s="351" t="n">
        <f aca="false">(K170+J170)*(K169-J169)/2</f>
        <v>5.5142475</v>
      </c>
      <c r="K171" s="351" t="n">
        <f aca="false">(L170+K170)*(L169-K169)/2</f>
        <v>8.572048</v>
      </c>
      <c r="L171" s="351" t="n">
        <f aca="false">(M170+L170)*(M169-L169)/2</f>
        <v>5.16397200000001</v>
      </c>
      <c r="M171" s="351" t="n">
        <f aca="false">(N170+M170)*(N169-M169)/2</f>
        <v>5.8170405</v>
      </c>
      <c r="N171" s="351" t="n">
        <f aca="false">(O170+N170)*(O169-N169)/2</f>
        <v>3.372332</v>
      </c>
      <c r="O171" s="351" t="n">
        <f aca="false">(P170+O170)*(P169-O169)/2</f>
        <v>3.26913499999999</v>
      </c>
      <c r="P171" s="351" t="n">
        <f aca="false">(Q170+P170)*(Q169-P169)/2</f>
        <v>1.9139</v>
      </c>
      <c r="Q171" s="351" t="n">
        <f aca="false">(R170+Q170)*(R169-Q169)/2</f>
        <v>1.269531</v>
      </c>
      <c r="R171" s="351" t="n">
        <f aca="false">(S170+R170)*(S169-R169)/2</f>
        <v>1.266951</v>
      </c>
      <c r="S171" s="351" t="n">
        <f aca="false">(T170+S170)*(T169-S169)/2</f>
        <v>1.916427</v>
      </c>
      <c r="T171" s="351" t="n">
        <f aca="false">(U170+T170)*(U169-T169)/2</f>
        <v>0.408549</v>
      </c>
      <c r="U171" s="351" t="n">
        <f aca="false">(V170+U170)*(V169-U169)/2</f>
        <v>0.19868</v>
      </c>
      <c r="V171" s="351" t="n">
        <f aca="false">(W170+V170)*(W169-V169)/2</f>
        <v>0.114426</v>
      </c>
      <c r="W171" s="351" t="n">
        <f aca="false">(X170+W170)*(X169-W169)/2</f>
        <v>0</v>
      </c>
      <c r="X171" s="351" t="n">
        <f aca="false">(Y170+X170)*(Y169-X169)/2</f>
        <v>0</v>
      </c>
      <c r="Y171" s="337"/>
    </row>
    <row r="172" customFormat="false" ht="12.75" hidden="false" customHeight="false" outlineLevel="0" collapsed="false">
      <c r="B172" s="338"/>
      <c r="C172" s="338"/>
      <c r="D172" s="338"/>
      <c r="E172" s="338"/>
      <c r="F172" s="338"/>
      <c r="G172" s="338"/>
      <c r="H172" s="338"/>
      <c r="I172" s="338"/>
      <c r="J172" s="338"/>
      <c r="K172" s="338"/>
      <c r="L172" s="338"/>
      <c r="M172" s="338"/>
      <c r="N172" s="338"/>
      <c r="O172" s="338"/>
      <c r="P172" s="338"/>
      <c r="Q172" s="338"/>
      <c r="R172" s="338"/>
      <c r="S172" s="338"/>
      <c r="T172" s="338"/>
      <c r="U172" s="338"/>
      <c r="V172" s="338"/>
      <c r="W172" s="338"/>
      <c r="X172" s="338"/>
      <c r="Y172" s="338"/>
    </row>
    <row r="173" customFormat="false" ht="13.5" hidden="false" customHeight="false" outlineLevel="0" collapsed="false">
      <c r="A173" s="339" t="s">
        <v>268</v>
      </c>
      <c r="B173" s="340" t="n">
        <f aca="false">ROW(A173)</f>
        <v>173</v>
      </c>
      <c r="C173" s="323" t="s">
        <v>212</v>
      </c>
      <c r="D173" s="324" t="n">
        <f aca="false">SUM(B176:Y176)</f>
        <v>67.9854285</v>
      </c>
      <c r="E173" s="323" t="s">
        <v>213</v>
      </c>
      <c r="F173" s="325" t="n">
        <f aca="false">D173/g/J173</f>
        <v>181.895458595199</v>
      </c>
      <c r="G173" s="323" t="s">
        <v>214</v>
      </c>
      <c r="H173" s="341" t="n">
        <v>0.0918</v>
      </c>
      <c r="I173" s="323" t="s">
        <v>225</v>
      </c>
      <c r="J173" s="326" t="n">
        <f aca="false">H173-L173</f>
        <v>0.0381</v>
      </c>
      <c r="K173" s="323" t="s">
        <v>226</v>
      </c>
      <c r="L173" s="341" t="n">
        <v>0.0537</v>
      </c>
      <c r="M173" s="323" t="s">
        <v>217</v>
      </c>
      <c r="N173" s="354" t="n">
        <v>66.5</v>
      </c>
      <c r="O173" s="323" t="s">
        <v>218</v>
      </c>
      <c r="P173" s="354" t="n">
        <v>66.5</v>
      </c>
      <c r="Q173" s="323" t="s">
        <v>219</v>
      </c>
      <c r="R173" s="342" t="n">
        <v>133</v>
      </c>
      <c r="S173" s="323" t="s">
        <v>220</v>
      </c>
      <c r="T173" s="342" t="n">
        <v>24</v>
      </c>
      <c r="U173" s="323" t="s">
        <v>8</v>
      </c>
      <c r="V173" s="343" t="s">
        <v>250</v>
      </c>
      <c r="W173" s="329" t="s">
        <v>221</v>
      </c>
      <c r="X173" s="352" t="n">
        <v>0.33</v>
      </c>
      <c r="Y173" s="329" t="s">
        <v>222</v>
      </c>
      <c r="Z173" s="328" t="n">
        <v>15</v>
      </c>
    </row>
    <row r="174" customFormat="false" ht="12" hidden="false" customHeight="false" outlineLevel="0" collapsed="false">
      <c r="A174" s="321" t="s">
        <v>227</v>
      </c>
      <c r="B174" s="344" t="n">
        <v>0</v>
      </c>
      <c r="C174" s="345" t="n">
        <v>0.004</v>
      </c>
      <c r="D174" s="345" t="n">
        <v>0.007</v>
      </c>
      <c r="E174" s="345" t="n">
        <v>0.01</v>
      </c>
      <c r="F174" s="345" t="n">
        <v>0.022</v>
      </c>
      <c r="G174" s="345" t="n">
        <v>0.028</v>
      </c>
      <c r="H174" s="345" t="n">
        <v>0.041</v>
      </c>
      <c r="I174" s="345" t="n">
        <v>0.058</v>
      </c>
      <c r="J174" s="345" t="n">
        <v>0.077</v>
      </c>
      <c r="K174" s="345" t="n">
        <v>0.089</v>
      </c>
      <c r="L174" s="345" t="n">
        <v>0.097</v>
      </c>
      <c r="M174" s="345" t="n">
        <v>0.119</v>
      </c>
      <c r="N174" s="345" t="n">
        <v>0.147</v>
      </c>
      <c r="O174" s="345" t="n">
        <v>0.177</v>
      </c>
      <c r="P174" s="345" t="n">
        <v>0.207</v>
      </c>
      <c r="Q174" s="345" t="n">
        <v>0.253</v>
      </c>
      <c r="R174" s="345" t="n">
        <v>0.259</v>
      </c>
      <c r="S174" s="345" t="n">
        <v>0.272</v>
      </c>
      <c r="T174" s="345" t="n">
        <v>0.28</v>
      </c>
      <c r="U174" s="345" t="n">
        <v>0.286</v>
      </c>
      <c r="V174" s="345" t="n">
        <v>0.294</v>
      </c>
      <c r="W174" s="345" t="n">
        <v>0.328</v>
      </c>
      <c r="X174" s="345" t="n">
        <v>2</v>
      </c>
      <c r="Y174" s="333" t="n">
        <v>1000</v>
      </c>
    </row>
    <row r="175" customFormat="false" ht="12" hidden="false" customHeight="false" outlineLevel="0" collapsed="false">
      <c r="A175" s="346" t="s">
        <v>228</v>
      </c>
      <c r="B175" s="347" t="n">
        <v>0</v>
      </c>
      <c r="C175" s="356" t="n">
        <v>100.528</v>
      </c>
      <c r="D175" s="356" t="n">
        <v>197.493</v>
      </c>
      <c r="E175" s="356" t="n">
        <v>222.032</v>
      </c>
      <c r="F175" s="356" t="n">
        <v>241.425</v>
      </c>
      <c r="G175" s="356" t="n">
        <v>237.863</v>
      </c>
      <c r="H175" s="356" t="n">
        <v>239.446</v>
      </c>
      <c r="I175" s="356" t="n">
        <v>252.507</v>
      </c>
      <c r="J175" s="356" t="n">
        <v>263.984</v>
      </c>
      <c r="K175" s="356" t="n">
        <v>275.462</v>
      </c>
      <c r="L175" s="356" t="n">
        <v>271.504</v>
      </c>
      <c r="M175" s="356" t="n">
        <v>278.628</v>
      </c>
      <c r="N175" s="356" t="n">
        <v>281.398</v>
      </c>
      <c r="O175" s="356" t="n">
        <v>272.296</v>
      </c>
      <c r="P175" s="356" t="n">
        <v>258.443</v>
      </c>
      <c r="Q175" s="356" t="n">
        <v>218.47</v>
      </c>
      <c r="R175" s="356" t="n">
        <v>188.786</v>
      </c>
      <c r="S175" s="356" t="n">
        <v>74.802</v>
      </c>
      <c r="T175" s="356" t="n">
        <v>31.266</v>
      </c>
      <c r="U175" s="356" t="n">
        <v>15.831</v>
      </c>
      <c r="V175" s="356" t="n">
        <v>8.707</v>
      </c>
      <c r="W175" s="356" t="n">
        <v>0</v>
      </c>
      <c r="X175" s="348" t="n">
        <v>0</v>
      </c>
      <c r="Y175" s="349" t="n">
        <v>0</v>
      </c>
    </row>
    <row r="176" customFormat="false" ht="12.75" hidden="false" customHeight="false" outlineLevel="0" collapsed="false">
      <c r="A176" s="334" t="s">
        <v>229</v>
      </c>
      <c r="B176" s="350" t="n">
        <f aca="false">(C175+B175)*(C174-B174)/2</f>
        <v>0.201056</v>
      </c>
      <c r="C176" s="351" t="n">
        <f aca="false">(D175+C175)*(D174-C174)/2</f>
        <v>0.4470315</v>
      </c>
      <c r="D176" s="351" t="n">
        <f aca="false">(E175+D175)*(E174-D174)/2</f>
        <v>0.6292875</v>
      </c>
      <c r="E176" s="351" t="n">
        <f aca="false">(F175+E175)*(F174-E174)/2</f>
        <v>2.780742</v>
      </c>
      <c r="F176" s="351" t="n">
        <f aca="false">(G175+F175)*(G174-F174)/2</f>
        <v>1.437864</v>
      </c>
      <c r="G176" s="351" t="n">
        <f aca="false">(H175+G175)*(H174-G174)/2</f>
        <v>3.1025085</v>
      </c>
      <c r="H176" s="351" t="n">
        <f aca="false">(I175+H175)*(I174-H174)/2</f>
        <v>4.1816005</v>
      </c>
      <c r="I176" s="351" t="n">
        <f aca="false">(J175+I175)*(J174-I174)/2</f>
        <v>4.9066645</v>
      </c>
      <c r="J176" s="351" t="n">
        <f aca="false">(K175+J175)*(K174-J174)/2</f>
        <v>3.236676</v>
      </c>
      <c r="K176" s="351" t="n">
        <f aca="false">(L175+K175)*(L174-K174)/2</f>
        <v>2.187864</v>
      </c>
      <c r="L176" s="351" t="n">
        <f aca="false">(M175+L175)*(M174-L174)/2</f>
        <v>6.051452</v>
      </c>
      <c r="M176" s="351" t="n">
        <f aca="false">(N175+M175)*(N174-M174)/2</f>
        <v>7.840364</v>
      </c>
      <c r="N176" s="351" t="n">
        <f aca="false">(O175+N175)*(O174-N174)/2</f>
        <v>8.30541</v>
      </c>
      <c r="O176" s="351" t="n">
        <f aca="false">(P175+O175)*(P174-O174)/2</f>
        <v>7.961085</v>
      </c>
      <c r="P176" s="351" t="n">
        <f aca="false">(Q175+P175)*(Q174-P174)/2</f>
        <v>10.968999</v>
      </c>
      <c r="Q176" s="351" t="n">
        <f aca="false">(R175+Q175)*(R174-Q174)/2</f>
        <v>1.221768</v>
      </c>
      <c r="R176" s="351" t="n">
        <f aca="false">(S175+R175)*(S174-R174)/2</f>
        <v>1.713322</v>
      </c>
      <c r="S176" s="351" t="n">
        <f aca="false">(T175+S175)*(T174-S174)/2</f>
        <v>0.424272</v>
      </c>
      <c r="T176" s="351" t="n">
        <f aca="false">(U175+T175)*(U174-T174)/2</f>
        <v>0.141290999999999</v>
      </c>
      <c r="U176" s="351" t="n">
        <f aca="false">(V175+U175)*(V174-U174)/2</f>
        <v>0.0981520000000001</v>
      </c>
      <c r="V176" s="351" t="n">
        <f aca="false">(W175+V175)*(W174-V174)/2</f>
        <v>0.148019</v>
      </c>
      <c r="W176" s="351" t="n">
        <f aca="false">(X175+W175)*(X174-W174)/2</f>
        <v>0</v>
      </c>
      <c r="X176" s="351" t="n">
        <f aca="false">(Y175+X175)*(Y174-X174)/2</f>
        <v>0</v>
      </c>
      <c r="Y176" s="337"/>
    </row>
    <row r="177" customFormat="false" ht="12.75" hidden="false" customHeight="false" outlineLevel="0" collapsed="false">
      <c r="B177" s="338"/>
      <c r="C177" s="338"/>
      <c r="D177" s="338"/>
      <c r="E177" s="338"/>
      <c r="F177" s="338"/>
      <c r="G177" s="338"/>
      <c r="H177" s="338"/>
      <c r="I177" s="338"/>
      <c r="J177" s="338"/>
      <c r="K177" s="338"/>
      <c r="L177" s="338"/>
      <c r="M177" s="338"/>
      <c r="N177" s="338"/>
      <c r="O177" s="338"/>
      <c r="P177" s="338"/>
      <c r="Q177" s="338"/>
      <c r="R177" s="338"/>
      <c r="S177" s="338"/>
      <c r="T177" s="338"/>
      <c r="U177" s="338"/>
      <c r="V177" s="338"/>
      <c r="W177" s="338"/>
      <c r="X177" s="338"/>
      <c r="Y177" s="338"/>
    </row>
    <row r="178" customFormat="false" ht="13.5" hidden="false" customHeight="false" outlineLevel="0" collapsed="false">
      <c r="A178" s="339" t="s">
        <v>269</v>
      </c>
      <c r="B178" s="340" t="n">
        <f aca="false">ROW(A178)</f>
        <v>178</v>
      </c>
      <c r="C178" s="323" t="s">
        <v>212</v>
      </c>
      <c r="D178" s="324" t="n">
        <f aca="false">SUM(B181:Y181)</f>
        <v>73.5573815</v>
      </c>
      <c r="E178" s="323" t="s">
        <v>213</v>
      </c>
      <c r="F178" s="325" t="n">
        <f aca="false">D178/g/J178</f>
        <v>156.866193023087</v>
      </c>
      <c r="G178" s="323" t="s">
        <v>214</v>
      </c>
      <c r="H178" s="341" t="n">
        <v>0.1022</v>
      </c>
      <c r="I178" s="323" t="s">
        <v>225</v>
      </c>
      <c r="J178" s="326" t="n">
        <f aca="false">H178-L178</f>
        <v>0.0478</v>
      </c>
      <c r="K178" s="323" t="s">
        <v>226</v>
      </c>
      <c r="L178" s="341" t="n">
        <v>0.0544</v>
      </c>
      <c r="M178" s="323" t="s">
        <v>217</v>
      </c>
      <c r="N178" s="354" t="n">
        <v>66.5</v>
      </c>
      <c r="O178" s="323" t="s">
        <v>218</v>
      </c>
      <c r="P178" s="354" t="n">
        <v>66.5</v>
      </c>
      <c r="Q178" s="323" t="s">
        <v>219</v>
      </c>
      <c r="R178" s="342" t="n">
        <v>133</v>
      </c>
      <c r="S178" s="323" t="s">
        <v>220</v>
      </c>
      <c r="T178" s="342" t="n">
        <v>24</v>
      </c>
      <c r="U178" s="323" t="s">
        <v>8</v>
      </c>
      <c r="V178" s="343" t="s">
        <v>250</v>
      </c>
      <c r="W178" s="329" t="s">
        <v>221</v>
      </c>
      <c r="X178" s="352" t="n">
        <v>2.36</v>
      </c>
      <c r="Y178" s="329" t="s">
        <v>222</v>
      </c>
      <c r="Z178" s="328" t="n">
        <v>6</v>
      </c>
    </row>
    <row r="179" customFormat="false" ht="12" hidden="false" customHeight="false" outlineLevel="0" collapsed="false">
      <c r="A179" s="321" t="s">
        <v>227</v>
      </c>
      <c r="B179" s="344" t="n">
        <v>0</v>
      </c>
      <c r="C179" s="345" t="n">
        <v>0.014</v>
      </c>
      <c r="D179" s="345" t="n">
        <v>0.056</v>
      </c>
      <c r="E179" s="345" t="n">
        <v>0.092</v>
      </c>
      <c r="F179" s="345" t="n">
        <v>0.16</v>
      </c>
      <c r="G179" s="345" t="n">
        <v>0.232</v>
      </c>
      <c r="H179" s="345" t="n">
        <v>0.363</v>
      </c>
      <c r="I179" s="345" t="n">
        <v>0.499</v>
      </c>
      <c r="J179" s="345" t="n">
        <v>0.655</v>
      </c>
      <c r="K179" s="345" t="n">
        <v>0.843</v>
      </c>
      <c r="L179" s="345" t="n">
        <v>1.216</v>
      </c>
      <c r="M179" s="345" t="n">
        <v>1.368</v>
      </c>
      <c r="N179" s="345" t="n">
        <v>1.54</v>
      </c>
      <c r="O179" s="345" t="n">
        <v>1.675</v>
      </c>
      <c r="P179" s="345" t="n">
        <v>1.861</v>
      </c>
      <c r="Q179" s="345" t="n">
        <v>2.013</v>
      </c>
      <c r="R179" s="345" t="n">
        <v>2.159</v>
      </c>
      <c r="S179" s="345" t="n">
        <v>2.302</v>
      </c>
      <c r="T179" s="345" t="n">
        <v>2.462</v>
      </c>
      <c r="U179" s="345" t="n">
        <v>2.598</v>
      </c>
      <c r="V179" s="345" t="n">
        <v>2.598</v>
      </c>
      <c r="W179" s="345" t="n">
        <v>2.598</v>
      </c>
      <c r="X179" s="345" t="n">
        <v>2.598</v>
      </c>
      <c r="Y179" s="333" t="n">
        <v>1000</v>
      </c>
    </row>
    <row r="180" customFormat="false" ht="12" hidden="false" customHeight="false" outlineLevel="0" collapsed="false">
      <c r="A180" s="346" t="s">
        <v>228</v>
      </c>
      <c r="B180" s="347" t="n">
        <v>0</v>
      </c>
      <c r="C180" s="356" t="n">
        <v>54.222</v>
      </c>
      <c r="D180" s="356" t="n">
        <v>43.456</v>
      </c>
      <c r="E180" s="356" t="n">
        <v>50.185</v>
      </c>
      <c r="F180" s="356" t="n">
        <v>54.063</v>
      </c>
      <c r="G180" s="356" t="n">
        <v>48.364</v>
      </c>
      <c r="H180" s="356" t="n">
        <v>45.752</v>
      </c>
      <c r="I180" s="356" t="n">
        <v>43.14</v>
      </c>
      <c r="J180" s="356" t="n">
        <v>40.29</v>
      </c>
      <c r="K180" s="356" t="n">
        <v>37.836</v>
      </c>
      <c r="L180" s="356" t="n">
        <v>32.612</v>
      </c>
      <c r="M180" s="356" t="n">
        <v>30.317</v>
      </c>
      <c r="N180" s="356" t="n">
        <v>26.359</v>
      </c>
      <c r="O180" s="356" t="n">
        <v>23.509</v>
      </c>
      <c r="P180" s="356" t="n">
        <v>19.077</v>
      </c>
      <c r="Q180" s="356" t="n">
        <v>14.565</v>
      </c>
      <c r="R180" s="356" t="n">
        <v>10.053</v>
      </c>
      <c r="S180" s="356" t="n">
        <v>4.828</v>
      </c>
      <c r="T180" s="356" t="n">
        <v>1.504</v>
      </c>
      <c r="U180" s="348" t="n">
        <v>0</v>
      </c>
      <c r="V180" s="348" t="n">
        <v>0</v>
      </c>
      <c r="W180" s="348" t="n">
        <v>0</v>
      </c>
      <c r="X180" s="348" t="n">
        <v>0</v>
      </c>
      <c r="Y180" s="349" t="n">
        <v>0</v>
      </c>
    </row>
    <row r="181" customFormat="false" ht="12.75" hidden="false" customHeight="false" outlineLevel="0" collapsed="false">
      <c r="A181" s="334" t="s">
        <v>229</v>
      </c>
      <c r="B181" s="350" t="n">
        <f aca="false">(C180+B180)*(C179-B179)/2</f>
        <v>0.379554</v>
      </c>
      <c r="C181" s="351" t="n">
        <f aca="false">(D180+C180)*(D179-C179)/2</f>
        <v>2.051238</v>
      </c>
      <c r="D181" s="351" t="n">
        <f aca="false">(E180+D180)*(E179-D179)/2</f>
        <v>1.685538</v>
      </c>
      <c r="E181" s="351" t="n">
        <f aca="false">(F180+E180)*(F179-E179)/2</f>
        <v>3.544432</v>
      </c>
      <c r="F181" s="351" t="n">
        <f aca="false">(G180+F180)*(G179-F179)/2</f>
        <v>3.687372</v>
      </c>
      <c r="G181" s="351" t="n">
        <f aca="false">(H180+G180)*(H179-G179)/2</f>
        <v>6.164598</v>
      </c>
      <c r="H181" s="351" t="n">
        <f aca="false">(I180+H180)*(I179-H179)/2</f>
        <v>6.044656</v>
      </c>
      <c r="I181" s="351" t="n">
        <f aca="false">(J180+I180)*(J179-I179)/2</f>
        <v>6.50754</v>
      </c>
      <c r="J181" s="351" t="n">
        <f aca="false">(K180+J180)*(K179-J179)/2</f>
        <v>7.343844</v>
      </c>
      <c r="K181" s="351" t="n">
        <f aca="false">(L180+K180)*(L179-K179)/2</f>
        <v>13.138552</v>
      </c>
      <c r="L181" s="351" t="n">
        <f aca="false">(M180+L180)*(M179-L179)/2</f>
        <v>4.782604</v>
      </c>
      <c r="M181" s="351" t="n">
        <f aca="false">(N180+M180)*(N179-M179)/2</f>
        <v>4.874136</v>
      </c>
      <c r="N181" s="351" t="n">
        <f aca="false">(O180+N180)*(O179-N179)/2</f>
        <v>3.36609</v>
      </c>
      <c r="O181" s="351" t="n">
        <f aca="false">(P180+O180)*(P179-O179)/2</f>
        <v>3.960498</v>
      </c>
      <c r="P181" s="351" t="n">
        <f aca="false">(Q180+P180)*(Q179-P179)/2</f>
        <v>2.556792</v>
      </c>
      <c r="Q181" s="351" t="n">
        <f aca="false">(R180+Q180)*(R179-Q179)/2</f>
        <v>1.797114</v>
      </c>
      <c r="R181" s="351" t="n">
        <f aca="false">(S180+R180)*(S179-R179)/2</f>
        <v>1.0639915</v>
      </c>
      <c r="S181" s="351" t="n">
        <f aca="false">(T180+S180)*(T179-S179)/2</f>
        <v>0.506560000000001</v>
      </c>
      <c r="T181" s="351" t="n">
        <f aca="false">(U180+T180)*(U179-T179)/2</f>
        <v>0.102272</v>
      </c>
      <c r="U181" s="351" t="n">
        <f aca="false">(V180+U180)*(V179-U179)/2</f>
        <v>0</v>
      </c>
      <c r="V181" s="351" t="n">
        <f aca="false">(W180+V180)*(W179-V179)/2</f>
        <v>0</v>
      </c>
      <c r="W181" s="351" t="n">
        <f aca="false">(X180+W180)*(X179-W179)/2</f>
        <v>0</v>
      </c>
      <c r="X181" s="351" t="n">
        <f aca="false">(Y180+X180)*(Y179-X179)/2</f>
        <v>0</v>
      </c>
      <c r="Y181" s="337"/>
    </row>
    <row r="182" customFormat="false" ht="12.75" hidden="false" customHeight="false" outlineLevel="0" collapsed="false">
      <c r="B182" s="338"/>
      <c r="C182" s="338"/>
      <c r="D182" s="338"/>
      <c r="E182" s="338"/>
      <c r="F182" s="338"/>
      <c r="G182" s="338"/>
      <c r="H182" s="338"/>
      <c r="I182" s="338"/>
      <c r="J182" s="338"/>
      <c r="K182" s="338"/>
      <c r="L182" s="338"/>
      <c r="M182" s="338"/>
      <c r="N182" s="338"/>
      <c r="O182" s="338"/>
      <c r="P182" s="338"/>
      <c r="Q182" s="338"/>
      <c r="R182" s="338"/>
      <c r="S182" s="338"/>
      <c r="T182" s="338"/>
      <c r="U182" s="338"/>
      <c r="V182" s="338"/>
      <c r="W182" s="338"/>
      <c r="X182" s="338"/>
      <c r="Y182" s="338"/>
    </row>
    <row r="183" customFormat="false" ht="13.5" hidden="false" customHeight="false" outlineLevel="0" collapsed="false">
      <c r="A183" s="339" t="s">
        <v>270</v>
      </c>
      <c r="B183" s="340" t="n">
        <f aca="false">ROW(A183)</f>
        <v>183</v>
      </c>
      <c r="C183" s="323" t="s">
        <v>212</v>
      </c>
      <c r="D183" s="324" t="n">
        <f aca="false">SUM(B186:Y186)</f>
        <v>73.169518</v>
      </c>
      <c r="E183" s="323" t="s">
        <v>213</v>
      </c>
      <c r="F183" s="325" t="n">
        <f aca="false">D183/g/J183</f>
        <v>177.587296733168</v>
      </c>
      <c r="G183" s="323" t="s">
        <v>214</v>
      </c>
      <c r="H183" s="341" t="n">
        <v>0.096</v>
      </c>
      <c r="I183" s="323" t="s">
        <v>225</v>
      </c>
      <c r="J183" s="326" t="n">
        <f aca="false">H183-L183</f>
        <v>0.042</v>
      </c>
      <c r="K183" s="323" t="s">
        <v>226</v>
      </c>
      <c r="L183" s="341" t="n">
        <v>0.054</v>
      </c>
      <c r="M183" s="323" t="s">
        <v>217</v>
      </c>
      <c r="N183" s="354" t="n">
        <v>66.5</v>
      </c>
      <c r="O183" s="323" t="s">
        <v>218</v>
      </c>
      <c r="P183" s="354" t="n">
        <v>66.5</v>
      </c>
      <c r="Q183" s="323" t="s">
        <v>219</v>
      </c>
      <c r="R183" s="342" t="n">
        <v>133</v>
      </c>
      <c r="S183" s="323" t="s">
        <v>220</v>
      </c>
      <c r="T183" s="342" t="n">
        <v>24</v>
      </c>
      <c r="U183" s="323" t="s">
        <v>8</v>
      </c>
      <c r="V183" s="343" t="s">
        <v>250</v>
      </c>
      <c r="W183" s="329" t="s">
        <v>221</v>
      </c>
      <c r="X183" s="352" t="n">
        <v>0.87</v>
      </c>
      <c r="Y183" s="329" t="s">
        <v>222</v>
      </c>
      <c r="Z183" s="328" t="n">
        <v>15</v>
      </c>
    </row>
    <row r="184" customFormat="false" ht="12" hidden="false" customHeight="false" outlineLevel="0" collapsed="false">
      <c r="A184" s="321" t="s">
        <v>227</v>
      </c>
      <c r="B184" s="344" t="n">
        <v>0</v>
      </c>
      <c r="C184" s="345" t="n">
        <v>0.01</v>
      </c>
      <c r="D184" s="345" t="n">
        <v>0.023</v>
      </c>
      <c r="E184" s="345" t="n">
        <v>0.04</v>
      </c>
      <c r="F184" s="345" t="n">
        <v>0.118</v>
      </c>
      <c r="G184" s="345" t="n">
        <v>0.283</v>
      </c>
      <c r="H184" s="345" t="n">
        <v>0.51</v>
      </c>
      <c r="I184" s="345" t="n">
        <v>0.688</v>
      </c>
      <c r="J184" s="345" t="n">
        <v>0.787</v>
      </c>
      <c r="K184" s="345" t="n">
        <v>0.852</v>
      </c>
      <c r="L184" s="345" t="n">
        <v>0.873</v>
      </c>
      <c r="M184" s="345" t="n">
        <v>0.873</v>
      </c>
      <c r="N184" s="345" t="n">
        <v>0.873</v>
      </c>
      <c r="O184" s="345" t="n">
        <v>0.873</v>
      </c>
      <c r="P184" s="345" t="n">
        <v>0.873</v>
      </c>
      <c r="Q184" s="345" t="n">
        <v>0.873</v>
      </c>
      <c r="R184" s="345" t="n">
        <v>0.873</v>
      </c>
      <c r="S184" s="345" t="n">
        <v>0.873</v>
      </c>
      <c r="T184" s="345" t="n">
        <v>0.873</v>
      </c>
      <c r="U184" s="345" t="n">
        <v>0.873</v>
      </c>
      <c r="V184" s="345" t="n">
        <v>0.873</v>
      </c>
      <c r="W184" s="345" t="n">
        <v>0.873</v>
      </c>
      <c r="X184" s="345" t="n">
        <v>2</v>
      </c>
      <c r="Y184" s="333" t="n">
        <v>1000</v>
      </c>
    </row>
    <row r="185" customFormat="false" ht="12" hidden="false" customHeight="false" outlineLevel="0" collapsed="false">
      <c r="A185" s="346" t="s">
        <v>228</v>
      </c>
      <c r="B185" s="347" t="n">
        <v>0</v>
      </c>
      <c r="C185" s="356" t="n">
        <v>76.074</v>
      </c>
      <c r="D185" s="356" t="n">
        <v>100.185</v>
      </c>
      <c r="E185" s="356" t="n">
        <v>92.425</v>
      </c>
      <c r="F185" s="356" t="n">
        <v>100.878</v>
      </c>
      <c r="G185" s="356" t="n">
        <v>102.402</v>
      </c>
      <c r="H185" s="356" t="n">
        <v>96.443</v>
      </c>
      <c r="I185" s="356" t="n">
        <v>87.436</v>
      </c>
      <c r="J185" s="356" t="n">
        <v>25.912</v>
      </c>
      <c r="K185" s="356" t="n">
        <v>7.206</v>
      </c>
      <c r="L185" s="348" t="n">
        <v>0</v>
      </c>
      <c r="M185" s="348" t="n">
        <v>0</v>
      </c>
      <c r="N185" s="348" t="n">
        <v>0</v>
      </c>
      <c r="O185" s="348" t="n">
        <v>0</v>
      </c>
      <c r="P185" s="348" t="n">
        <v>0</v>
      </c>
      <c r="Q185" s="348" t="n">
        <v>0</v>
      </c>
      <c r="R185" s="348" t="n">
        <v>0</v>
      </c>
      <c r="S185" s="348" t="n">
        <v>0</v>
      </c>
      <c r="T185" s="348" t="n">
        <v>0</v>
      </c>
      <c r="U185" s="348" t="n">
        <v>0</v>
      </c>
      <c r="V185" s="348" t="n">
        <v>0</v>
      </c>
      <c r="W185" s="348" t="n">
        <v>0</v>
      </c>
      <c r="X185" s="348" t="n">
        <v>0</v>
      </c>
      <c r="Y185" s="349" t="n">
        <v>0</v>
      </c>
    </row>
    <row r="186" customFormat="false" ht="12.75" hidden="false" customHeight="false" outlineLevel="0" collapsed="false">
      <c r="A186" s="334" t="s">
        <v>229</v>
      </c>
      <c r="B186" s="350" t="n">
        <f aca="false">(C185+B185)*(C184-B184)/2</f>
        <v>0.38037</v>
      </c>
      <c r="C186" s="351" t="n">
        <f aca="false">(D185+C185)*(D184-C184)/2</f>
        <v>1.1456835</v>
      </c>
      <c r="D186" s="351" t="n">
        <f aca="false">(E185+D185)*(E184-D184)/2</f>
        <v>1.637185</v>
      </c>
      <c r="E186" s="351" t="n">
        <f aca="false">(F185+E185)*(F184-E184)/2</f>
        <v>7.538817</v>
      </c>
      <c r="F186" s="351" t="n">
        <f aca="false">(G185+F185)*(G184-F184)/2</f>
        <v>16.7706</v>
      </c>
      <c r="G186" s="351" t="n">
        <f aca="false">(H185+G185)*(H184-G184)/2</f>
        <v>22.5689075</v>
      </c>
      <c r="H186" s="351" t="n">
        <f aca="false">(I185+H185)*(I184-H184)/2</f>
        <v>16.365231</v>
      </c>
      <c r="I186" s="351" t="n">
        <f aca="false">(J185+I185)*(J184-I184)/2</f>
        <v>5.61072600000001</v>
      </c>
      <c r="J186" s="351" t="n">
        <f aca="false">(K185+J185)*(K184-J184)/2</f>
        <v>1.076335</v>
      </c>
      <c r="K186" s="351" t="n">
        <f aca="false">(L185+K185)*(L184-K184)/2</f>
        <v>0.0756630000000001</v>
      </c>
      <c r="L186" s="351" t="n">
        <f aca="false">(M185+L185)*(M184-L184)/2</f>
        <v>0</v>
      </c>
      <c r="M186" s="351" t="n">
        <f aca="false">(N185+M185)*(N184-M184)/2</f>
        <v>0</v>
      </c>
      <c r="N186" s="351" t="n">
        <f aca="false">(O185+N185)*(O184-N184)/2</f>
        <v>0</v>
      </c>
      <c r="O186" s="351" t="n">
        <f aca="false">(P185+O185)*(P184-O184)/2</f>
        <v>0</v>
      </c>
      <c r="P186" s="351" t="n">
        <f aca="false">(Q185+P185)*(Q184-P184)/2</f>
        <v>0</v>
      </c>
      <c r="Q186" s="351" t="n">
        <f aca="false">(R185+Q185)*(R184-Q184)/2</f>
        <v>0</v>
      </c>
      <c r="R186" s="351" t="n">
        <f aca="false">(S185+R185)*(S184-R184)/2</f>
        <v>0</v>
      </c>
      <c r="S186" s="351" t="n">
        <f aca="false">(T185+S185)*(T184-S184)/2</f>
        <v>0</v>
      </c>
      <c r="T186" s="351" t="n">
        <f aca="false">(U185+T185)*(U184-T184)/2</f>
        <v>0</v>
      </c>
      <c r="U186" s="351" t="n">
        <f aca="false">(V185+U185)*(V184-U184)/2</f>
        <v>0</v>
      </c>
      <c r="V186" s="351" t="n">
        <f aca="false">(W185+V185)*(W184-V184)/2</f>
        <v>0</v>
      </c>
      <c r="W186" s="351" t="n">
        <f aca="false">(X185+W185)*(X184-W184)/2</f>
        <v>0</v>
      </c>
      <c r="X186" s="351" t="n">
        <f aca="false">(Y185+X185)*(Y184-X184)/2</f>
        <v>0</v>
      </c>
      <c r="Y186" s="337"/>
    </row>
    <row r="187" customFormat="false" ht="12.75" hidden="false" customHeight="false" outlineLevel="0" collapsed="false">
      <c r="B187" s="338"/>
      <c r="C187" s="338"/>
      <c r="D187" s="338"/>
      <c r="E187" s="338"/>
      <c r="F187" s="338"/>
      <c r="G187" s="338"/>
      <c r="H187" s="338"/>
      <c r="I187" s="338"/>
      <c r="J187" s="338"/>
      <c r="K187" s="338"/>
      <c r="L187" s="338"/>
      <c r="M187" s="338"/>
      <c r="N187" s="338"/>
      <c r="O187" s="338"/>
      <c r="P187" s="338"/>
      <c r="Q187" s="338"/>
      <c r="R187" s="338"/>
      <c r="S187" s="338"/>
      <c r="T187" s="338"/>
      <c r="U187" s="338"/>
      <c r="V187" s="338"/>
      <c r="W187" s="338"/>
      <c r="X187" s="338"/>
      <c r="Y187" s="338"/>
    </row>
    <row r="188" customFormat="false" ht="13.5" hidden="false" customHeight="false" outlineLevel="0" collapsed="false">
      <c r="A188" s="339" t="s">
        <v>271</v>
      </c>
      <c r="B188" s="340" t="n">
        <f aca="false">ROW(A188)</f>
        <v>188</v>
      </c>
      <c r="C188" s="323" t="s">
        <v>212</v>
      </c>
      <c r="D188" s="324" t="n">
        <f aca="false">SUM(B191:Y191)</f>
        <v>75.254384</v>
      </c>
      <c r="E188" s="323" t="s">
        <v>213</v>
      </c>
      <c r="F188" s="325" t="n">
        <f aca="false">D188/g/J188</f>
        <v>232.460334229142</v>
      </c>
      <c r="G188" s="323" t="s">
        <v>214</v>
      </c>
      <c r="H188" s="341" t="n">
        <v>0.095</v>
      </c>
      <c r="I188" s="323" t="s">
        <v>225</v>
      </c>
      <c r="J188" s="326" t="n">
        <f aca="false">H188-L188</f>
        <v>0.033</v>
      </c>
      <c r="K188" s="323" t="s">
        <v>226</v>
      </c>
      <c r="L188" s="341" t="n">
        <f aca="false">0.095-0.033</f>
        <v>0.062</v>
      </c>
      <c r="M188" s="323" t="s">
        <v>217</v>
      </c>
      <c r="N188" s="354" t="n">
        <v>66.5</v>
      </c>
      <c r="O188" s="323" t="s">
        <v>218</v>
      </c>
      <c r="P188" s="354" t="n">
        <v>66.5</v>
      </c>
      <c r="Q188" s="323" t="s">
        <v>219</v>
      </c>
      <c r="R188" s="342" t="n">
        <v>133</v>
      </c>
      <c r="S188" s="323" t="s">
        <v>220</v>
      </c>
      <c r="T188" s="342" t="n">
        <v>24</v>
      </c>
      <c r="U188" s="323" t="s">
        <v>8</v>
      </c>
      <c r="V188" s="343" t="s">
        <v>250</v>
      </c>
      <c r="W188" s="329" t="s">
        <v>221</v>
      </c>
      <c r="X188" s="352" t="n">
        <v>1.5</v>
      </c>
      <c r="Y188" s="329" t="s">
        <v>222</v>
      </c>
      <c r="Z188" s="328" t="n">
        <v>12</v>
      </c>
    </row>
    <row r="189" customFormat="false" ht="12" hidden="false" customHeight="false" outlineLevel="0" collapsed="false">
      <c r="A189" s="321" t="s">
        <v>227</v>
      </c>
      <c r="B189" s="344" t="n">
        <v>0</v>
      </c>
      <c r="C189" s="345" t="n">
        <v>0.02</v>
      </c>
      <c r="D189" s="345" t="n">
        <v>0.031</v>
      </c>
      <c r="E189" s="345" t="n">
        <v>0.062</v>
      </c>
      <c r="F189" s="345" t="n">
        <v>0.117</v>
      </c>
      <c r="G189" s="345" t="n">
        <v>1.211</v>
      </c>
      <c r="H189" s="345" t="n">
        <v>1.376</v>
      </c>
      <c r="I189" s="345" t="n">
        <v>1.456</v>
      </c>
      <c r="J189" s="345" t="n">
        <v>1.532</v>
      </c>
      <c r="K189" s="345" t="n">
        <v>1.577</v>
      </c>
      <c r="L189" s="345" t="n">
        <v>2</v>
      </c>
      <c r="M189" s="345" t="n">
        <v>2</v>
      </c>
      <c r="N189" s="345" t="n">
        <v>2</v>
      </c>
      <c r="O189" s="345" t="n">
        <v>2</v>
      </c>
      <c r="P189" s="345" t="n">
        <v>2</v>
      </c>
      <c r="Q189" s="345" t="n">
        <v>2</v>
      </c>
      <c r="R189" s="345" t="n">
        <v>2</v>
      </c>
      <c r="S189" s="345" t="n">
        <v>2</v>
      </c>
      <c r="T189" s="345" t="n">
        <v>2</v>
      </c>
      <c r="U189" s="345" t="n">
        <v>2</v>
      </c>
      <c r="V189" s="345" t="n">
        <v>2</v>
      </c>
      <c r="W189" s="345" t="n">
        <v>2</v>
      </c>
      <c r="X189" s="345" t="n">
        <f aca="false">W189</f>
        <v>2</v>
      </c>
      <c r="Y189" s="333" t="n">
        <v>1000</v>
      </c>
    </row>
    <row r="190" customFormat="false" ht="12" hidden="false" customHeight="false" outlineLevel="0" collapsed="false">
      <c r="A190" s="346" t="s">
        <v>228</v>
      </c>
      <c r="B190" s="347" t="n">
        <v>0</v>
      </c>
      <c r="C190" s="348" t="n">
        <v>75.924</v>
      </c>
      <c r="D190" s="348" t="n">
        <v>84.148</v>
      </c>
      <c r="E190" s="348" t="n">
        <v>70.441</v>
      </c>
      <c r="F190" s="348" t="n">
        <v>73.659</v>
      </c>
      <c r="G190" s="348" t="n">
        <v>38.737</v>
      </c>
      <c r="H190" s="348" t="n">
        <v>14.779</v>
      </c>
      <c r="I190" s="348" t="n">
        <v>7.271</v>
      </c>
      <c r="J190" s="348" t="n">
        <v>3.337</v>
      </c>
      <c r="K190" s="348" t="n">
        <v>0</v>
      </c>
      <c r="L190" s="348" t="n">
        <v>0</v>
      </c>
      <c r="M190" s="348" t="n">
        <v>0</v>
      </c>
      <c r="N190" s="348" t="n">
        <v>0</v>
      </c>
      <c r="O190" s="348" t="n">
        <v>0</v>
      </c>
      <c r="P190" s="348" t="n">
        <v>0</v>
      </c>
      <c r="Q190" s="348" t="n">
        <v>0</v>
      </c>
      <c r="R190" s="348" t="n">
        <v>0</v>
      </c>
      <c r="S190" s="348" t="n">
        <v>0</v>
      </c>
      <c r="T190" s="348" t="n">
        <f aca="false">S190</f>
        <v>0</v>
      </c>
      <c r="U190" s="348" t="n">
        <f aca="false">T190</f>
        <v>0</v>
      </c>
      <c r="V190" s="348" t="n">
        <f aca="false">U190</f>
        <v>0</v>
      </c>
      <c r="W190" s="348" t="n">
        <f aca="false">V190</f>
        <v>0</v>
      </c>
      <c r="X190" s="348" t="n">
        <f aca="false">W190</f>
        <v>0</v>
      </c>
      <c r="Y190" s="349" t="n">
        <v>0</v>
      </c>
    </row>
    <row r="191" customFormat="false" ht="12.75" hidden="false" customHeight="false" outlineLevel="0" collapsed="false">
      <c r="A191" s="334" t="s">
        <v>229</v>
      </c>
      <c r="B191" s="350" t="n">
        <f aca="false">(C190+B190)*(C189-B189)/2</f>
        <v>0.75924</v>
      </c>
      <c r="C191" s="351" t="n">
        <f aca="false">(D190+C190)*(D189-C189)/2</f>
        <v>0.880396</v>
      </c>
      <c r="D191" s="351" t="n">
        <f aca="false">(E190+D190)*(E189-D189)/2</f>
        <v>2.3961295</v>
      </c>
      <c r="E191" s="351" t="n">
        <f aca="false">(F190+E190)*(F189-E189)/2</f>
        <v>3.96275</v>
      </c>
      <c r="F191" s="351" t="n">
        <f aca="false">(G190+F190)*(G189-F189)/2</f>
        <v>61.480612</v>
      </c>
      <c r="G191" s="351" t="n">
        <f aca="false">(H190+G190)*(H189-G189)/2</f>
        <v>4.41507</v>
      </c>
      <c r="H191" s="351" t="n">
        <f aca="false">(I190+H190)*(I189-H189)/2</f>
        <v>0.882000000000001</v>
      </c>
      <c r="I191" s="351" t="n">
        <f aca="false">(J190+I190)*(J189-I189)/2</f>
        <v>0.403104</v>
      </c>
      <c r="J191" s="351" t="n">
        <f aca="false">(K190+J190)*(K189-J189)/2</f>
        <v>0.0750824999999999</v>
      </c>
      <c r="K191" s="351" t="n">
        <f aca="false">(L190+K190)*(L189-K189)/2</f>
        <v>0</v>
      </c>
      <c r="L191" s="351" t="n">
        <f aca="false">(M190+L190)*(M189-L189)/2</f>
        <v>0</v>
      </c>
      <c r="M191" s="351" t="n">
        <f aca="false">(N190+M190)*(N189-M189)/2</f>
        <v>0</v>
      </c>
      <c r="N191" s="351" t="n">
        <f aca="false">(O190+N190)*(O189-N189)/2</f>
        <v>0</v>
      </c>
      <c r="O191" s="351" t="n">
        <f aca="false">(P190+O190)*(P189-O189)/2</f>
        <v>0</v>
      </c>
      <c r="P191" s="351" t="n">
        <f aca="false">(Q190+P190)*(Q189-P189)/2</f>
        <v>0</v>
      </c>
      <c r="Q191" s="351" t="n">
        <f aca="false">(R190+Q190)*(R189-Q189)/2</f>
        <v>0</v>
      </c>
      <c r="R191" s="351" t="n">
        <f aca="false">(S190+R190)*(S189-R189)/2</f>
        <v>0</v>
      </c>
      <c r="S191" s="351" t="n">
        <f aca="false">(T190+S190)*(T189-S189)/2</f>
        <v>0</v>
      </c>
      <c r="T191" s="351" t="n">
        <f aca="false">(U190+T190)*(U189-T189)/2</f>
        <v>0</v>
      </c>
      <c r="U191" s="351" t="n">
        <f aca="false">(V190+U190)*(V189-U189)/2</f>
        <v>0</v>
      </c>
      <c r="V191" s="351" t="n">
        <f aca="false">(W190+V190)*(W189-V189)/2</f>
        <v>0</v>
      </c>
      <c r="W191" s="351" t="n">
        <f aca="false">(X190+W190)*(X189-W189)/2</f>
        <v>0</v>
      </c>
      <c r="X191" s="351" t="n">
        <f aca="false">(Y190+X190)*(Y189-X189)/2</f>
        <v>0</v>
      </c>
      <c r="Y191" s="337"/>
    </row>
    <row r="192" customFormat="false" ht="13.5" hidden="false" customHeight="false" outlineLevel="0" collapsed="false">
      <c r="A192" s="171" t="s">
        <v>272</v>
      </c>
      <c r="B192" s="338"/>
      <c r="C192" s="338"/>
      <c r="D192" s="338"/>
      <c r="E192" s="338"/>
      <c r="F192" s="338"/>
      <c r="G192" s="338"/>
      <c r="H192" s="338"/>
      <c r="I192" s="338"/>
      <c r="J192" s="338"/>
      <c r="K192" s="338"/>
      <c r="L192" s="338"/>
      <c r="M192" s="338"/>
      <c r="N192" s="338"/>
      <c r="O192" s="338"/>
      <c r="P192" s="338"/>
      <c r="Q192" s="338"/>
      <c r="R192" s="338"/>
      <c r="S192" s="338"/>
      <c r="T192" s="338"/>
      <c r="U192" s="338"/>
      <c r="V192" s="338"/>
      <c r="W192" s="338"/>
      <c r="X192" s="338"/>
      <c r="Y192" s="338"/>
    </row>
    <row r="193" customFormat="false" ht="13.5" hidden="false" customHeight="false" outlineLevel="0" collapsed="false">
      <c r="A193" s="339" t="s">
        <v>273</v>
      </c>
      <c r="B193" s="340" t="n">
        <f aca="false">ROW(A193)</f>
        <v>193</v>
      </c>
      <c r="C193" s="323" t="s">
        <v>212</v>
      </c>
      <c r="D193" s="324" t="n">
        <f aca="false">SUM(B196:Y196)</f>
        <v>141.05</v>
      </c>
      <c r="E193" s="323" t="s">
        <v>213</v>
      </c>
      <c r="F193" s="325" t="n">
        <f aca="false">D193/g/J193</f>
        <v>186.245926489307</v>
      </c>
      <c r="G193" s="323" t="s">
        <v>214</v>
      </c>
      <c r="H193" s="341" t="n">
        <v>0.1619</v>
      </c>
      <c r="I193" s="323" t="s">
        <v>225</v>
      </c>
      <c r="J193" s="326" t="n">
        <f aca="false">H193-L193</f>
        <v>0.0772</v>
      </c>
      <c r="K193" s="323" t="s">
        <v>226</v>
      </c>
      <c r="L193" s="341" t="n">
        <v>0.0847</v>
      </c>
      <c r="M193" s="323" t="s">
        <v>217</v>
      </c>
      <c r="N193" s="342" t="n">
        <v>114</v>
      </c>
      <c r="O193" s="323" t="s">
        <v>218</v>
      </c>
      <c r="P193" s="342" t="n">
        <v>114</v>
      </c>
      <c r="Q193" s="323" t="s">
        <v>219</v>
      </c>
      <c r="R193" s="342" t="n">
        <v>228</v>
      </c>
      <c r="S193" s="323" t="s">
        <v>220</v>
      </c>
      <c r="T193" s="342" t="n">
        <v>24</v>
      </c>
      <c r="U193" s="323" t="s">
        <v>8</v>
      </c>
      <c r="V193" s="343" t="s">
        <v>256</v>
      </c>
      <c r="W193" s="329" t="s">
        <v>221</v>
      </c>
      <c r="X193" s="352" t="n">
        <v>0.96</v>
      </c>
      <c r="Y193" s="329" t="s">
        <v>222</v>
      </c>
      <c r="Z193" s="328" t="n">
        <v>15</v>
      </c>
    </row>
    <row r="194" customFormat="false" ht="12" hidden="false" customHeight="false" outlineLevel="0" collapsed="false">
      <c r="A194" s="321" t="s">
        <v>227</v>
      </c>
      <c r="B194" s="344" t="n">
        <v>0</v>
      </c>
      <c r="C194" s="345" t="n">
        <v>0.02</v>
      </c>
      <c r="D194" s="345" t="n">
        <v>0.03</v>
      </c>
      <c r="E194" s="345" t="n">
        <v>0.05</v>
      </c>
      <c r="F194" s="345" t="n">
        <v>0.6</v>
      </c>
      <c r="G194" s="345" t="n">
        <v>0.67</v>
      </c>
      <c r="H194" s="345" t="n">
        <v>0.7</v>
      </c>
      <c r="I194" s="345" t="n">
        <v>0.8</v>
      </c>
      <c r="J194" s="345" t="n">
        <v>0.9</v>
      </c>
      <c r="K194" s="345" t="n">
        <v>1.05</v>
      </c>
      <c r="L194" s="345" t="n">
        <f aca="false">K194</f>
        <v>1.05</v>
      </c>
      <c r="M194" s="345" t="n">
        <f aca="false">L194</f>
        <v>1.05</v>
      </c>
      <c r="N194" s="345" t="n">
        <f aca="false">M194</f>
        <v>1.05</v>
      </c>
      <c r="O194" s="345" t="n">
        <f aca="false">N194</f>
        <v>1.05</v>
      </c>
      <c r="P194" s="345" t="n">
        <f aca="false">O194</f>
        <v>1.05</v>
      </c>
      <c r="Q194" s="345" t="n">
        <f aca="false">P194</f>
        <v>1.05</v>
      </c>
      <c r="R194" s="345" t="n">
        <f aca="false">Q194</f>
        <v>1.05</v>
      </c>
      <c r="S194" s="345" t="n">
        <f aca="false">R194</f>
        <v>1.05</v>
      </c>
      <c r="T194" s="345" t="n">
        <f aca="false">S194</f>
        <v>1.05</v>
      </c>
      <c r="U194" s="345" t="n">
        <f aca="false">T194</f>
        <v>1.05</v>
      </c>
      <c r="V194" s="345" t="n">
        <f aca="false">U194</f>
        <v>1.05</v>
      </c>
      <c r="W194" s="345" t="n">
        <f aca="false">V194</f>
        <v>1.05</v>
      </c>
      <c r="X194" s="345" t="n">
        <v>2</v>
      </c>
      <c r="Y194" s="333" t="n">
        <v>1000</v>
      </c>
    </row>
    <row r="195" customFormat="false" ht="12" hidden="false" customHeight="false" outlineLevel="0" collapsed="false">
      <c r="A195" s="346" t="s">
        <v>228</v>
      </c>
      <c r="B195" s="347" t="n">
        <v>0</v>
      </c>
      <c r="C195" s="348" t="n">
        <v>350</v>
      </c>
      <c r="D195" s="348" t="n">
        <v>250</v>
      </c>
      <c r="E195" s="348" t="n">
        <v>210</v>
      </c>
      <c r="F195" s="348" t="n">
        <v>150</v>
      </c>
      <c r="G195" s="348" t="n">
        <v>140</v>
      </c>
      <c r="H195" s="348" t="n">
        <v>130</v>
      </c>
      <c r="I195" s="348" t="n">
        <v>65</v>
      </c>
      <c r="J195" s="348" t="n">
        <v>30</v>
      </c>
      <c r="K195" s="348" t="n">
        <v>0</v>
      </c>
      <c r="L195" s="348" t="n">
        <v>0</v>
      </c>
      <c r="M195" s="348" t="n">
        <v>0</v>
      </c>
      <c r="N195" s="348" t="n">
        <v>0</v>
      </c>
      <c r="O195" s="348" t="n">
        <v>0</v>
      </c>
      <c r="P195" s="348" t="n">
        <v>0</v>
      </c>
      <c r="Q195" s="348" t="n">
        <v>0</v>
      </c>
      <c r="R195" s="348" t="n">
        <v>0</v>
      </c>
      <c r="S195" s="348" t="n">
        <f aca="false">R195</f>
        <v>0</v>
      </c>
      <c r="T195" s="348" t="n">
        <f aca="false">S195</f>
        <v>0</v>
      </c>
      <c r="U195" s="348" t="n">
        <f aca="false">T195</f>
        <v>0</v>
      </c>
      <c r="V195" s="348" t="n">
        <f aca="false">U195</f>
        <v>0</v>
      </c>
      <c r="W195" s="348" t="n">
        <f aca="false">V195</f>
        <v>0</v>
      </c>
      <c r="X195" s="348" t="n">
        <f aca="false">W195</f>
        <v>0</v>
      </c>
      <c r="Y195" s="349" t="n">
        <v>0</v>
      </c>
    </row>
    <row r="196" customFormat="false" ht="12.75" hidden="false" customHeight="false" outlineLevel="0" collapsed="false">
      <c r="A196" s="334" t="s">
        <v>229</v>
      </c>
      <c r="B196" s="350" t="n">
        <f aca="false">(C195+B195)*(C194-B194)/2</f>
        <v>3.5</v>
      </c>
      <c r="C196" s="351" t="n">
        <f aca="false">(D195+C195)*(D194-C194)/2</f>
        <v>3</v>
      </c>
      <c r="D196" s="351" t="n">
        <f aca="false">(E195+D195)*(E194-D194)/2</f>
        <v>4.6</v>
      </c>
      <c r="E196" s="351" t="n">
        <f aca="false">(F195+E195)*(F194-E194)/2</f>
        <v>99</v>
      </c>
      <c r="F196" s="351" t="n">
        <f aca="false">(G195+F195)*(G194-F194)/2</f>
        <v>10.15</v>
      </c>
      <c r="G196" s="351" t="n">
        <f aca="false">(H195+G195)*(H194-G194)/2</f>
        <v>4.04999999999999</v>
      </c>
      <c r="H196" s="351" t="n">
        <f aca="false">(I195+H195)*(I194-H194)/2</f>
        <v>9.75000000000001</v>
      </c>
      <c r="I196" s="351" t="n">
        <f aca="false">(J195+I195)*(J194-I194)/2</f>
        <v>4.75</v>
      </c>
      <c r="J196" s="351" t="n">
        <f aca="false">(K195+J195)*(K194-J194)/2</f>
        <v>2.25</v>
      </c>
      <c r="K196" s="351" t="n">
        <f aca="false">(L195+K195)*(L194-K194)/2</f>
        <v>0</v>
      </c>
      <c r="L196" s="351" t="n">
        <f aca="false">(M195+L195)*(M194-L194)/2</f>
        <v>0</v>
      </c>
      <c r="M196" s="351" t="n">
        <f aca="false">(N195+M195)*(N194-M194)/2</f>
        <v>0</v>
      </c>
      <c r="N196" s="351" t="n">
        <f aca="false">(O195+N195)*(O194-N194)/2</f>
        <v>0</v>
      </c>
      <c r="O196" s="351" t="n">
        <f aca="false">(P195+O195)*(P194-O194)/2</f>
        <v>0</v>
      </c>
      <c r="P196" s="351" t="n">
        <f aca="false">(Q195+P195)*(Q194-P194)/2</f>
        <v>0</v>
      </c>
      <c r="Q196" s="351" t="n">
        <f aca="false">(R195+Q195)*(R194-Q194)/2</f>
        <v>0</v>
      </c>
      <c r="R196" s="351" t="n">
        <f aca="false">(S195+R195)*(S194-R194)/2</f>
        <v>0</v>
      </c>
      <c r="S196" s="351" t="n">
        <f aca="false">(T195+S195)*(T194-S194)/2</f>
        <v>0</v>
      </c>
      <c r="T196" s="351" t="n">
        <f aca="false">(U195+T195)*(U194-T194)/2</f>
        <v>0</v>
      </c>
      <c r="U196" s="351" t="n">
        <f aca="false">(V195+U195)*(V194-U194)/2</f>
        <v>0</v>
      </c>
      <c r="V196" s="351" t="n">
        <f aca="false">(W195+V195)*(W194-V194)/2</f>
        <v>0</v>
      </c>
      <c r="W196" s="351" t="n">
        <f aca="false">(X195+W195)*(X194-W194)/2</f>
        <v>0</v>
      </c>
      <c r="X196" s="351" t="n">
        <f aca="false">(Y195+X195)*(Y194-X194)/2</f>
        <v>0</v>
      </c>
      <c r="Y196" s="337"/>
    </row>
    <row r="197" customFormat="false" ht="12.75" hidden="false" customHeight="false" outlineLevel="0" collapsed="false">
      <c r="A197" s="338" t="s">
        <v>274</v>
      </c>
      <c r="B197" s="338"/>
      <c r="C197" s="338"/>
      <c r="D197" s="338"/>
      <c r="E197" s="338"/>
      <c r="F197" s="338"/>
      <c r="G197" s="338"/>
      <c r="H197" s="338"/>
      <c r="I197" s="338"/>
      <c r="J197" s="338"/>
      <c r="K197" s="338"/>
      <c r="L197" s="338"/>
      <c r="M197" s="338"/>
      <c r="N197" s="338"/>
      <c r="O197" s="338"/>
      <c r="P197" s="338"/>
      <c r="Q197" s="338"/>
      <c r="R197" s="338"/>
      <c r="S197" s="338"/>
      <c r="T197" s="338"/>
      <c r="U197" s="338"/>
      <c r="V197" s="338"/>
      <c r="W197" s="338"/>
      <c r="X197" s="338"/>
      <c r="Y197" s="338"/>
    </row>
    <row r="198" customFormat="false" ht="13.5" hidden="false" customHeight="false" outlineLevel="0" collapsed="false">
      <c r="A198" s="339" t="s">
        <v>12</v>
      </c>
      <c r="B198" s="340" t="n">
        <f aca="false">ROW(A198)</f>
        <v>198</v>
      </c>
      <c r="C198" s="323" t="s">
        <v>212</v>
      </c>
      <c r="D198" s="324" t="n">
        <f aca="false">SUM(B201:Y201)</f>
        <v>142.44</v>
      </c>
      <c r="E198" s="323" t="s">
        <v>213</v>
      </c>
      <c r="F198" s="325" t="n">
        <f aca="false">D198/g/J198</f>
        <v>192.061874019061</v>
      </c>
      <c r="G198" s="323" t="s">
        <v>214</v>
      </c>
      <c r="H198" s="341" t="n">
        <v>0.1599</v>
      </c>
      <c r="I198" s="323" t="s">
        <v>225</v>
      </c>
      <c r="J198" s="326" t="n">
        <f aca="false">H198-L198</f>
        <v>0.0756</v>
      </c>
      <c r="K198" s="323" t="s">
        <v>226</v>
      </c>
      <c r="L198" s="341" t="n">
        <v>0.0843</v>
      </c>
      <c r="M198" s="323" t="s">
        <v>217</v>
      </c>
      <c r="N198" s="342" t="n">
        <v>114</v>
      </c>
      <c r="O198" s="323" t="s">
        <v>218</v>
      </c>
      <c r="P198" s="342" t="n">
        <v>114</v>
      </c>
      <c r="Q198" s="323" t="s">
        <v>219</v>
      </c>
      <c r="R198" s="342" t="n">
        <v>228</v>
      </c>
      <c r="S198" s="323" t="s">
        <v>220</v>
      </c>
      <c r="T198" s="342" t="n">
        <v>24</v>
      </c>
      <c r="U198" s="323" t="s">
        <v>8</v>
      </c>
      <c r="V198" s="343" t="s">
        <v>245</v>
      </c>
      <c r="W198" s="329" t="s">
        <v>221</v>
      </c>
      <c r="X198" s="352" t="n">
        <v>0.97</v>
      </c>
      <c r="Y198" s="329" t="s">
        <v>222</v>
      </c>
      <c r="Z198" s="328"/>
    </row>
    <row r="199" customFormat="false" ht="12" hidden="false" customHeight="false" outlineLevel="0" collapsed="false">
      <c r="A199" s="321" t="s">
        <v>227</v>
      </c>
      <c r="B199" s="344" t="n">
        <v>0</v>
      </c>
      <c r="C199" s="345" t="n">
        <v>0.02</v>
      </c>
      <c r="D199" s="345" t="n">
        <v>0.04</v>
      </c>
      <c r="E199" s="345" t="n">
        <v>0.62</v>
      </c>
      <c r="F199" s="345" t="n">
        <v>0.66</v>
      </c>
      <c r="G199" s="345" t="n">
        <v>0.68</v>
      </c>
      <c r="H199" s="345" t="n">
        <v>0.8</v>
      </c>
      <c r="I199" s="345" t="n">
        <v>0.84</v>
      </c>
      <c r="J199" s="345" t="n">
        <v>0.88</v>
      </c>
      <c r="K199" s="345" t="n">
        <v>0.92</v>
      </c>
      <c r="L199" s="345" t="n">
        <v>0.96</v>
      </c>
      <c r="M199" s="345" t="n">
        <v>1</v>
      </c>
      <c r="N199" s="345" t="n">
        <v>1.08</v>
      </c>
      <c r="O199" s="345" t="n">
        <v>2</v>
      </c>
      <c r="P199" s="345" t="n">
        <v>2</v>
      </c>
      <c r="Q199" s="345" t="n">
        <v>2</v>
      </c>
      <c r="R199" s="345" t="n">
        <v>2</v>
      </c>
      <c r="S199" s="345" t="n">
        <f aca="false">R199</f>
        <v>2</v>
      </c>
      <c r="T199" s="345" t="n">
        <f aca="false">S199</f>
        <v>2</v>
      </c>
      <c r="U199" s="345" t="n">
        <f aca="false">T199</f>
        <v>2</v>
      </c>
      <c r="V199" s="345" t="n">
        <f aca="false">U199</f>
        <v>2</v>
      </c>
      <c r="W199" s="345" t="n">
        <f aca="false">V199</f>
        <v>2</v>
      </c>
      <c r="X199" s="345" t="n">
        <f aca="false">W199</f>
        <v>2</v>
      </c>
      <c r="Y199" s="333" t="n">
        <v>1000</v>
      </c>
    </row>
    <row r="200" customFormat="false" ht="12" hidden="false" customHeight="false" outlineLevel="0" collapsed="false">
      <c r="A200" s="346" t="s">
        <v>228</v>
      </c>
      <c r="B200" s="347" t="n">
        <v>0</v>
      </c>
      <c r="C200" s="348" t="n">
        <v>250</v>
      </c>
      <c r="D200" s="348" t="n">
        <v>210</v>
      </c>
      <c r="E200" s="348" t="n">
        <v>160</v>
      </c>
      <c r="F200" s="348" t="n">
        <v>150</v>
      </c>
      <c r="G200" s="348" t="n">
        <v>142</v>
      </c>
      <c r="H200" s="348" t="n">
        <v>62</v>
      </c>
      <c r="I200" s="348" t="n">
        <v>48</v>
      </c>
      <c r="J200" s="348" t="n">
        <v>34</v>
      </c>
      <c r="K200" s="348" t="n">
        <v>24</v>
      </c>
      <c r="L200" s="348" t="n">
        <v>15</v>
      </c>
      <c r="M200" s="348" t="n">
        <v>10</v>
      </c>
      <c r="N200" s="348" t="n">
        <v>0</v>
      </c>
      <c r="O200" s="348" t="n">
        <v>0</v>
      </c>
      <c r="P200" s="348" t="n">
        <v>0</v>
      </c>
      <c r="Q200" s="348" t="n">
        <v>0</v>
      </c>
      <c r="R200" s="348" t="n">
        <v>0</v>
      </c>
      <c r="S200" s="348" t="n">
        <f aca="false">R200</f>
        <v>0</v>
      </c>
      <c r="T200" s="348" t="n">
        <f aca="false">S200</f>
        <v>0</v>
      </c>
      <c r="U200" s="348" t="n">
        <f aca="false">T200</f>
        <v>0</v>
      </c>
      <c r="V200" s="348" t="n">
        <f aca="false">U200</f>
        <v>0</v>
      </c>
      <c r="W200" s="348" t="n">
        <f aca="false">V200</f>
        <v>0</v>
      </c>
      <c r="X200" s="348" t="n">
        <f aca="false">W200</f>
        <v>0</v>
      </c>
      <c r="Y200" s="349" t="n">
        <v>0</v>
      </c>
    </row>
    <row r="201" customFormat="false" ht="12.75" hidden="false" customHeight="false" outlineLevel="0" collapsed="false">
      <c r="A201" s="334" t="s">
        <v>229</v>
      </c>
      <c r="B201" s="350" t="n">
        <f aca="false">(C200+B200)*(C199-B199)/2</f>
        <v>2.5</v>
      </c>
      <c r="C201" s="351" t="n">
        <f aca="false">(D200+C200)*(D199-C199)/2</f>
        <v>4.6</v>
      </c>
      <c r="D201" s="351" t="n">
        <f aca="false">(E200+D200)*(E199-D199)/2</f>
        <v>107.3</v>
      </c>
      <c r="E201" s="351" t="n">
        <f aca="false">(F200+E200)*(F199-E199)/2</f>
        <v>6.20000000000001</v>
      </c>
      <c r="F201" s="351" t="n">
        <f aca="false">(G200+F200)*(G199-F199)/2</f>
        <v>2.92</v>
      </c>
      <c r="G201" s="351" t="n">
        <f aca="false">(H200+G200)*(H199-G199)/2</f>
        <v>12.24</v>
      </c>
      <c r="H201" s="351" t="n">
        <f aca="false">(I200+H200)*(I199-H199)/2</f>
        <v>2.2</v>
      </c>
      <c r="I201" s="351" t="n">
        <f aca="false">(J200+I200)*(J199-I199)/2</f>
        <v>1.64</v>
      </c>
      <c r="J201" s="351" t="n">
        <f aca="false">(K200+J200)*(K199-J199)/2</f>
        <v>1.16</v>
      </c>
      <c r="K201" s="351" t="n">
        <f aca="false">(L200+K200)*(L199-K199)/2</f>
        <v>0.779999999999999</v>
      </c>
      <c r="L201" s="351" t="n">
        <f aca="false">(M200+L200)*(M199-L199)/2</f>
        <v>0.5</v>
      </c>
      <c r="M201" s="351" t="n">
        <f aca="false">(N200+M200)*(N199-M199)/2</f>
        <v>0.4</v>
      </c>
      <c r="N201" s="351" t="n">
        <f aca="false">(O200+N200)*(O199-N199)/2</f>
        <v>0</v>
      </c>
      <c r="O201" s="351" t="n">
        <f aca="false">(P200+O200)*(P199-O199)/2</f>
        <v>0</v>
      </c>
      <c r="P201" s="351" t="n">
        <f aca="false">(Q200+P200)*(Q199-P199)/2</f>
        <v>0</v>
      </c>
      <c r="Q201" s="351" t="n">
        <f aca="false">(R200+Q200)*(R199-Q199)/2</f>
        <v>0</v>
      </c>
      <c r="R201" s="351" t="n">
        <f aca="false">(S200+R200)*(S199-R199)/2</f>
        <v>0</v>
      </c>
      <c r="S201" s="351" t="n">
        <f aca="false">(T200+S200)*(T199-S199)/2</f>
        <v>0</v>
      </c>
      <c r="T201" s="351" t="n">
        <f aca="false">(U200+T200)*(U199-T199)/2</f>
        <v>0</v>
      </c>
      <c r="U201" s="351" t="n">
        <f aca="false">(V200+U200)*(V199-U199)/2</f>
        <v>0</v>
      </c>
      <c r="V201" s="351" t="n">
        <f aca="false">(W200+V200)*(W199-V199)/2</f>
        <v>0</v>
      </c>
      <c r="W201" s="351" t="n">
        <f aca="false">(X200+W200)*(X199-W199)/2</f>
        <v>0</v>
      </c>
      <c r="X201" s="351" t="n">
        <f aca="false">(Y200+X200)*(Y199-X199)/2</f>
        <v>0</v>
      </c>
      <c r="Y201" s="337"/>
    </row>
    <row r="202" customFormat="false" ht="12.75" hidden="false" customHeight="false" outlineLevel="0" collapsed="false">
      <c r="B202" s="338"/>
      <c r="C202" s="338"/>
      <c r="D202" s="338"/>
      <c r="E202" s="338"/>
      <c r="F202" s="338"/>
      <c r="G202" s="338"/>
      <c r="H202" s="338"/>
      <c r="I202" s="338"/>
      <c r="J202" s="338"/>
      <c r="K202" s="338"/>
      <c r="L202" s="338"/>
      <c r="M202" s="338"/>
      <c r="N202" s="338"/>
      <c r="O202" s="338"/>
      <c r="P202" s="338"/>
      <c r="Q202" s="338"/>
      <c r="R202" s="338"/>
      <c r="S202" s="338"/>
      <c r="T202" s="338"/>
      <c r="U202" s="338"/>
      <c r="V202" s="338"/>
      <c r="W202" s="338"/>
      <c r="X202" s="338"/>
      <c r="Y202" s="338"/>
    </row>
    <row r="203" customFormat="false" ht="13.5" hidden="false" customHeight="false" outlineLevel="0" collapsed="false">
      <c r="A203" s="339" t="s">
        <v>275</v>
      </c>
      <c r="B203" s="340" t="n">
        <f aca="false">ROW(A203)</f>
        <v>203</v>
      </c>
      <c r="C203" s="323" t="s">
        <v>212</v>
      </c>
      <c r="D203" s="324" t="n">
        <f aca="false">SUM(B206:Y206)</f>
        <v>143.08845</v>
      </c>
      <c r="E203" s="323" t="s">
        <v>213</v>
      </c>
      <c r="F203" s="325" t="n">
        <f aca="false">D203/g/J203</f>
        <v>168.235047211905</v>
      </c>
      <c r="G203" s="323" t="s">
        <v>214</v>
      </c>
      <c r="H203" s="341" t="n">
        <v>0.1725</v>
      </c>
      <c r="I203" s="323" t="s">
        <v>225</v>
      </c>
      <c r="J203" s="326" t="n">
        <f aca="false">H203-L203</f>
        <v>0.0867</v>
      </c>
      <c r="K203" s="323" t="s">
        <v>226</v>
      </c>
      <c r="L203" s="341" t="n">
        <v>0.0858</v>
      </c>
      <c r="M203" s="323" t="s">
        <v>217</v>
      </c>
      <c r="N203" s="342" t="n">
        <v>114</v>
      </c>
      <c r="O203" s="323" t="s">
        <v>218</v>
      </c>
      <c r="P203" s="342" t="n">
        <v>114</v>
      </c>
      <c r="Q203" s="323" t="s">
        <v>219</v>
      </c>
      <c r="R203" s="342" t="n">
        <v>228</v>
      </c>
      <c r="S203" s="323" t="s">
        <v>220</v>
      </c>
      <c r="T203" s="342" t="n">
        <v>24</v>
      </c>
      <c r="U203" s="323" t="s">
        <v>8</v>
      </c>
      <c r="V203" s="343" t="s">
        <v>256</v>
      </c>
      <c r="W203" s="329" t="s">
        <v>221</v>
      </c>
      <c r="X203" s="352" t="n">
        <v>0.97</v>
      </c>
      <c r="Y203" s="329" t="s">
        <v>222</v>
      </c>
      <c r="Z203" s="328" t="n">
        <v>11</v>
      </c>
    </row>
    <row r="204" customFormat="false" ht="12" hidden="false" customHeight="false" outlineLevel="0" collapsed="false">
      <c r="A204" s="321" t="s">
        <v>227</v>
      </c>
      <c r="B204" s="344" t="n">
        <v>0</v>
      </c>
      <c r="C204" s="345" t="n">
        <v>0.008</v>
      </c>
      <c r="D204" s="345" t="n">
        <v>0.013</v>
      </c>
      <c r="E204" s="345" t="n">
        <v>0.022</v>
      </c>
      <c r="F204" s="345" t="n">
        <v>0.035</v>
      </c>
      <c r="G204" s="345" t="n">
        <v>0.063</v>
      </c>
      <c r="H204" s="345" t="n">
        <v>0.103</v>
      </c>
      <c r="I204" s="345" t="n">
        <v>0.196</v>
      </c>
      <c r="J204" s="345" t="n">
        <v>0.311</v>
      </c>
      <c r="K204" s="345" t="n">
        <v>0.474</v>
      </c>
      <c r="L204" s="345" t="n">
        <v>0.564</v>
      </c>
      <c r="M204" s="345" t="n">
        <v>0.762</v>
      </c>
      <c r="N204" s="345" t="n">
        <v>0.858</v>
      </c>
      <c r="O204" s="345" t="n">
        <v>0.928</v>
      </c>
      <c r="P204" s="345" t="n">
        <v>1.038</v>
      </c>
      <c r="Q204" s="345" t="n">
        <v>1.08</v>
      </c>
      <c r="R204" s="345" t="n">
        <v>1.131</v>
      </c>
      <c r="S204" s="345" t="n">
        <v>1.185</v>
      </c>
      <c r="T204" s="345" t="n">
        <v>1.224</v>
      </c>
      <c r="U204" s="345" t="n">
        <v>1.258</v>
      </c>
      <c r="V204" s="345" t="n">
        <v>1.4</v>
      </c>
      <c r="W204" s="345" t="n">
        <v>1.441</v>
      </c>
      <c r="X204" s="345" t="n">
        <v>2</v>
      </c>
      <c r="Y204" s="333" t="n">
        <v>1000</v>
      </c>
    </row>
    <row r="205" customFormat="false" ht="12" hidden="false" customHeight="false" outlineLevel="0" collapsed="false">
      <c r="A205" s="346" t="s">
        <v>228</v>
      </c>
      <c r="B205" s="347" t="n">
        <v>0</v>
      </c>
      <c r="C205" s="348" t="n">
        <v>168.643</v>
      </c>
      <c r="D205" s="348" t="n">
        <v>177.339</v>
      </c>
      <c r="E205" s="348" t="n">
        <v>177.866</v>
      </c>
      <c r="F205" s="348" t="n">
        <v>171.278</v>
      </c>
      <c r="G205" s="348" t="n">
        <v>157.839</v>
      </c>
      <c r="H205" s="348" t="n">
        <v>154.941</v>
      </c>
      <c r="I205" s="348" t="n">
        <v>148.88</v>
      </c>
      <c r="J205" s="348" t="n">
        <v>144.137</v>
      </c>
      <c r="K205" s="348" t="n">
        <v>138.076</v>
      </c>
      <c r="L205" s="348" t="n">
        <v>135.705</v>
      </c>
      <c r="M205" s="348" t="n">
        <v>125.955</v>
      </c>
      <c r="N205" s="348" t="n">
        <v>116.733</v>
      </c>
      <c r="O205" s="348" t="n">
        <v>101.713</v>
      </c>
      <c r="P205" s="348" t="n">
        <v>57.444</v>
      </c>
      <c r="Q205" s="348" t="n">
        <v>42.688</v>
      </c>
      <c r="R205" s="348" t="n">
        <v>31.884</v>
      </c>
      <c r="S205" s="348" t="n">
        <v>17.655</v>
      </c>
      <c r="T205" s="348" t="n">
        <v>9.486</v>
      </c>
      <c r="U205" s="348" t="n">
        <v>5.27</v>
      </c>
      <c r="V205" s="348" t="n">
        <v>0.791</v>
      </c>
      <c r="W205" s="348" t="n">
        <v>0</v>
      </c>
      <c r="X205" s="348" t="n">
        <f aca="false">W205</f>
        <v>0</v>
      </c>
      <c r="Y205" s="349" t="n">
        <v>0</v>
      </c>
    </row>
    <row r="206" customFormat="false" ht="12.75" hidden="false" customHeight="false" outlineLevel="0" collapsed="false">
      <c r="A206" s="334" t="s">
        <v>229</v>
      </c>
      <c r="B206" s="350" t="n">
        <f aca="false">(C205+B205)*(C204-B204)/2</f>
        <v>0.674572</v>
      </c>
      <c r="C206" s="351" t="n">
        <f aca="false">(D205+C205)*(D204-C204)/2</f>
        <v>0.864955</v>
      </c>
      <c r="D206" s="351" t="n">
        <f aca="false">(E205+D205)*(E204-D204)/2</f>
        <v>1.5984225</v>
      </c>
      <c r="E206" s="351" t="n">
        <f aca="false">(F205+E205)*(F204-E204)/2</f>
        <v>2.269436</v>
      </c>
      <c r="F206" s="351" t="n">
        <f aca="false">(G205+F205)*(G204-F204)/2</f>
        <v>4.607638</v>
      </c>
      <c r="G206" s="351" t="n">
        <f aca="false">(H205+G205)*(H204-G204)/2</f>
        <v>6.2556</v>
      </c>
      <c r="H206" s="351" t="n">
        <f aca="false">(I205+H205)*(I204-H204)/2</f>
        <v>14.1276765</v>
      </c>
      <c r="I206" s="351" t="n">
        <f aca="false">(J205+I205)*(J204-I204)/2</f>
        <v>16.8484775</v>
      </c>
      <c r="J206" s="351" t="n">
        <f aca="false">(K205+J205)*(K204-J204)/2</f>
        <v>23.0003595</v>
      </c>
      <c r="K206" s="351" t="n">
        <f aca="false">(L205+K205)*(L204-K204)/2</f>
        <v>12.320145</v>
      </c>
      <c r="L206" s="351" t="n">
        <f aca="false">(M205+L205)*(M204-L204)/2</f>
        <v>25.90434</v>
      </c>
      <c r="M206" s="351" t="n">
        <f aca="false">(N205+M205)*(N204-M204)/2</f>
        <v>11.649024</v>
      </c>
      <c r="N206" s="351" t="n">
        <f aca="false">(O205+N205)*(O204-N204)/2</f>
        <v>7.64561000000001</v>
      </c>
      <c r="O206" s="351" t="n">
        <f aca="false">(P205+O205)*(P204-O204)/2</f>
        <v>8.753635</v>
      </c>
      <c r="P206" s="351" t="n">
        <f aca="false">(Q205+P205)*(Q204-P204)/2</f>
        <v>2.102772</v>
      </c>
      <c r="Q206" s="351" t="n">
        <f aca="false">(R205+Q205)*(R204-Q204)/2</f>
        <v>1.901586</v>
      </c>
      <c r="R206" s="351" t="n">
        <f aca="false">(S205+R205)*(S204-R204)/2</f>
        <v>1.337553</v>
      </c>
      <c r="S206" s="351" t="n">
        <f aca="false">(T205+S205)*(T204-S204)/2</f>
        <v>0.529249499999999</v>
      </c>
      <c r="T206" s="351" t="n">
        <f aca="false">(U205+T205)*(U204-T204)/2</f>
        <v>0.250852</v>
      </c>
      <c r="U206" s="351" t="n">
        <f aca="false">(V205+U205)*(V204-U204)/2</f>
        <v>0.430331</v>
      </c>
      <c r="V206" s="351" t="n">
        <f aca="false">(W205+V205)*(W204-V204)/2</f>
        <v>0.0162155000000001</v>
      </c>
      <c r="W206" s="351" t="n">
        <f aca="false">(X205+W205)*(X204-W204)/2</f>
        <v>0</v>
      </c>
      <c r="X206" s="351" t="n">
        <f aca="false">(Y205+X205)*(Y204-X204)/2</f>
        <v>0</v>
      </c>
      <c r="Y206" s="337"/>
    </row>
    <row r="207" customFormat="false" ht="12.75" hidden="false" customHeight="false" outlineLevel="0" collapsed="false">
      <c r="B207" s="338"/>
      <c r="C207" s="338"/>
      <c r="D207" s="338"/>
      <c r="E207" s="338"/>
      <c r="F207" s="338"/>
      <c r="G207" s="338"/>
      <c r="H207" s="338"/>
      <c r="I207" s="338"/>
      <c r="J207" s="338"/>
      <c r="K207" s="338"/>
      <c r="L207" s="338"/>
      <c r="M207" s="338"/>
      <c r="N207" s="338"/>
      <c r="O207" s="338"/>
      <c r="P207" s="338"/>
      <c r="Q207" s="338"/>
      <c r="R207" s="338"/>
      <c r="S207" s="338"/>
      <c r="T207" s="338"/>
      <c r="U207" s="338"/>
      <c r="V207" s="338"/>
      <c r="W207" s="338"/>
      <c r="X207" s="338"/>
      <c r="Y207" s="338"/>
    </row>
    <row r="208" customFormat="false" ht="13.5" hidden="false" customHeight="false" outlineLevel="0" collapsed="false">
      <c r="A208" s="339" t="s">
        <v>276</v>
      </c>
      <c r="B208" s="340" t="n">
        <f aca="false">ROW(A208)</f>
        <v>208</v>
      </c>
      <c r="C208" s="323" t="s">
        <v>212</v>
      </c>
      <c r="D208" s="324" t="n">
        <f aca="false">SUM(B211:Y211)</f>
        <v>139.423417</v>
      </c>
      <c r="E208" s="323" t="s">
        <v>213</v>
      </c>
      <c r="F208" s="325" t="n">
        <f aca="false">D208/g/J208</f>
        <v>158.620277459225</v>
      </c>
      <c r="G208" s="323" t="s">
        <v>214</v>
      </c>
      <c r="H208" s="341" t="n">
        <v>0.1945</v>
      </c>
      <c r="I208" s="323" t="s">
        <v>225</v>
      </c>
      <c r="J208" s="326" t="n">
        <f aca="false">H208-L208</f>
        <v>0.0896</v>
      </c>
      <c r="K208" s="323" t="s">
        <v>226</v>
      </c>
      <c r="L208" s="341" t="n">
        <v>0.1049</v>
      </c>
      <c r="M208" s="323" t="s">
        <v>217</v>
      </c>
      <c r="N208" s="342" t="n">
        <v>114</v>
      </c>
      <c r="O208" s="323" t="s">
        <v>218</v>
      </c>
      <c r="P208" s="342" t="n">
        <v>144</v>
      </c>
      <c r="Q208" s="323" t="s">
        <v>219</v>
      </c>
      <c r="R208" s="342" t="n">
        <v>228</v>
      </c>
      <c r="S208" s="323" t="s">
        <v>220</v>
      </c>
      <c r="T208" s="342" t="n">
        <v>24</v>
      </c>
      <c r="U208" s="323" t="s">
        <v>8</v>
      </c>
      <c r="V208" s="343" t="s">
        <v>256</v>
      </c>
      <c r="W208" s="329" t="s">
        <v>221</v>
      </c>
      <c r="X208" s="352" t="n">
        <v>1.3</v>
      </c>
      <c r="Y208" s="329" t="s">
        <v>222</v>
      </c>
      <c r="Z208" s="328" t="n">
        <v>12</v>
      </c>
    </row>
    <row r="209" customFormat="false" ht="12" hidden="false" customHeight="false" outlineLevel="0" collapsed="false">
      <c r="A209" s="321" t="s">
        <v>227</v>
      </c>
      <c r="B209" s="344" t="n">
        <v>0</v>
      </c>
      <c r="C209" s="345" t="n">
        <v>0.011</v>
      </c>
      <c r="D209" s="345" t="n">
        <v>0.022</v>
      </c>
      <c r="E209" s="345" t="n">
        <v>0.046</v>
      </c>
      <c r="F209" s="345" t="n">
        <v>0.081</v>
      </c>
      <c r="G209" s="345" t="n">
        <v>0.219</v>
      </c>
      <c r="H209" s="345" t="n">
        <v>0.253</v>
      </c>
      <c r="I209" s="345" t="n">
        <v>0.274</v>
      </c>
      <c r="J209" s="345" t="n">
        <v>0.305</v>
      </c>
      <c r="K209" s="345" t="n">
        <v>0.412</v>
      </c>
      <c r="L209" s="345" t="n">
        <v>0.789</v>
      </c>
      <c r="M209" s="345" t="n">
        <v>0.899</v>
      </c>
      <c r="N209" s="345" t="n">
        <v>0.953</v>
      </c>
      <c r="O209" s="345" t="n">
        <v>0.999</v>
      </c>
      <c r="P209" s="345" t="n">
        <v>1.03</v>
      </c>
      <c r="Q209" s="345" t="n">
        <v>1.057</v>
      </c>
      <c r="R209" s="345" t="n">
        <v>1.102</v>
      </c>
      <c r="S209" s="345" t="n">
        <v>1.154</v>
      </c>
      <c r="T209" s="345" t="n">
        <v>1.197</v>
      </c>
      <c r="U209" s="345" t="n">
        <v>1.277</v>
      </c>
      <c r="V209" s="345" t="n">
        <v>1.335</v>
      </c>
      <c r="W209" s="345" t="n">
        <v>1.451</v>
      </c>
      <c r="X209" s="345" t="n">
        <v>2</v>
      </c>
      <c r="Y209" s="333" t="n">
        <v>1000</v>
      </c>
    </row>
    <row r="210" customFormat="false" ht="12" hidden="false" customHeight="false" outlineLevel="0" collapsed="false">
      <c r="A210" s="346" t="s">
        <v>228</v>
      </c>
      <c r="B210" s="347" t="n">
        <v>0</v>
      </c>
      <c r="C210" s="348" t="n">
        <v>198.418</v>
      </c>
      <c r="D210" s="348" t="n">
        <v>221.835</v>
      </c>
      <c r="E210" s="348" t="n">
        <v>212.658</v>
      </c>
      <c r="F210" s="348" t="n">
        <v>218.354</v>
      </c>
      <c r="G210" s="348" t="n">
        <v>204.43</v>
      </c>
      <c r="H210" s="348" t="n">
        <v>195.886</v>
      </c>
      <c r="I210" s="348" t="n">
        <v>183.544</v>
      </c>
      <c r="J210" s="348" t="n">
        <v>88.291</v>
      </c>
      <c r="K210" s="348" t="n">
        <v>93.671</v>
      </c>
      <c r="L210" s="348" t="n">
        <v>93.987</v>
      </c>
      <c r="M210" s="348" t="n">
        <v>91.139</v>
      </c>
      <c r="N210" s="348" t="n">
        <v>89.873</v>
      </c>
      <c r="O210" s="348" t="n">
        <v>87.025</v>
      </c>
      <c r="P210" s="348" t="n">
        <v>81.329</v>
      </c>
      <c r="Q210" s="348" t="n">
        <v>69.937</v>
      </c>
      <c r="R210" s="348" t="n">
        <v>54.114</v>
      </c>
      <c r="S210" s="348" t="n">
        <v>42.405</v>
      </c>
      <c r="T210" s="348" t="n">
        <v>31.646</v>
      </c>
      <c r="U210" s="348" t="n">
        <v>17.089</v>
      </c>
      <c r="V210" s="348" t="n">
        <v>9.81</v>
      </c>
      <c r="W210" s="348" t="n">
        <v>0</v>
      </c>
      <c r="X210" s="348" t="n">
        <v>0</v>
      </c>
      <c r="Y210" s="349" t="n">
        <v>0</v>
      </c>
    </row>
    <row r="211" customFormat="false" ht="12.75" hidden="false" customHeight="false" outlineLevel="0" collapsed="false">
      <c r="A211" s="334" t="s">
        <v>229</v>
      </c>
      <c r="B211" s="350" t="n">
        <f aca="false">(C210+B210)*(C209-B209)/2</f>
        <v>1.091299</v>
      </c>
      <c r="C211" s="351" t="n">
        <f aca="false">(D210+C210)*(D209-C209)/2</f>
        <v>2.3113915</v>
      </c>
      <c r="D211" s="351" t="n">
        <f aca="false">(E210+D210)*(E209-D209)/2</f>
        <v>5.213916</v>
      </c>
      <c r="E211" s="351" t="n">
        <f aca="false">(F210+E210)*(F209-E209)/2</f>
        <v>7.54271</v>
      </c>
      <c r="F211" s="351" t="n">
        <f aca="false">(G210+F210)*(G209-F209)/2</f>
        <v>29.172096</v>
      </c>
      <c r="G211" s="351" t="n">
        <f aca="false">(H210+G210)*(H209-G209)/2</f>
        <v>6.805372</v>
      </c>
      <c r="H211" s="351" t="n">
        <f aca="false">(I210+H210)*(I209-H209)/2</f>
        <v>3.984015</v>
      </c>
      <c r="I211" s="351" t="n">
        <f aca="false">(J210+I210)*(J209-I209)/2</f>
        <v>4.2134425</v>
      </c>
      <c r="J211" s="351" t="n">
        <f aca="false">(K210+J210)*(K209-J209)/2</f>
        <v>9.734967</v>
      </c>
      <c r="K211" s="351" t="n">
        <f aca="false">(L210+K210)*(L209-K209)/2</f>
        <v>35.373533</v>
      </c>
      <c r="L211" s="351" t="n">
        <f aca="false">(M210+L210)*(M209-L209)/2</f>
        <v>10.18193</v>
      </c>
      <c r="M211" s="351" t="n">
        <f aca="false">(N210+M210)*(N209-M209)/2</f>
        <v>4.88732399999999</v>
      </c>
      <c r="N211" s="351" t="n">
        <f aca="false">(O210+N210)*(O209-N209)/2</f>
        <v>4.068654</v>
      </c>
      <c r="O211" s="351" t="n">
        <f aca="false">(P210+O210)*(P209-O209)/2</f>
        <v>2.609487</v>
      </c>
      <c r="P211" s="351" t="n">
        <f aca="false">(Q210+P210)*(Q209-P209)/2</f>
        <v>2.04209099999999</v>
      </c>
      <c r="Q211" s="351" t="n">
        <f aca="false">(R210+Q210)*(R209-Q209)/2</f>
        <v>2.79114750000001</v>
      </c>
      <c r="R211" s="351" t="n">
        <f aca="false">(S210+R210)*(S209-R209)/2</f>
        <v>2.50949399999999</v>
      </c>
      <c r="S211" s="351" t="n">
        <f aca="false">(T210+S210)*(T209-S209)/2</f>
        <v>1.59209650000001</v>
      </c>
      <c r="T211" s="351" t="n">
        <f aca="false">(U210+T210)*(U209-T209)/2</f>
        <v>1.9494</v>
      </c>
      <c r="U211" s="351" t="n">
        <f aca="false">(V210+U210)*(V209-U209)/2</f>
        <v>0.780071000000001</v>
      </c>
      <c r="V211" s="351" t="n">
        <f aca="false">(W210+V210)*(W209-V209)/2</f>
        <v>0.568980000000001</v>
      </c>
      <c r="W211" s="351" t="n">
        <f aca="false">(X210+W210)*(X209-W209)/2</f>
        <v>0</v>
      </c>
      <c r="X211" s="351" t="n">
        <f aca="false">(Y210+X210)*(Y209-X209)/2</f>
        <v>0</v>
      </c>
      <c r="Y211" s="337"/>
    </row>
    <row r="212" customFormat="false" ht="13.5" hidden="false" customHeight="false" outlineLevel="0" collapsed="false">
      <c r="A212" s="171" t="s">
        <v>277</v>
      </c>
      <c r="B212" s="338"/>
      <c r="C212" s="338"/>
      <c r="D212" s="338"/>
      <c r="E212" s="338"/>
      <c r="F212" s="338"/>
      <c r="G212" s="338"/>
      <c r="H212" s="338"/>
      <c r="I212" s="338"/>
      <c r="J212" s="338"/>
      <c r="K212" s="338"/>
      <c r="L212" s="338"/>
      <c r="M212" s="338"/>
      <c r="N212" s="338"/>
      <c r="O212" s="338"/>
      <c r="P212" s="338"/>
      <c r="Q212" s="338"/>
      <c r="R212" s="338"/>
      <c r="S212" s="338"/>
      <c r="T212" s="338"/>
      <c r="U212" s="338"/>
      <c r="V212" s="338"/>
      <c r="W212" s="338"/>
      <c r="X212" s="338"/>
      <c r="Y212" s="338"/>
    </row>
    <row r="213" customFormat="false" ht="13.5" hidden="false" customHeight="false" outlineLevel="0" collapsed="false">
      <c r="A213" s="339" t="s">
        <v>278</v>
      </c>
      <c r="B213" s="340" t="n">
        <f aca="false">ROW(A213)</f>
        <v>213</v>
      </c>
      <c r="C213" s="323" t="s">
        <v>212</v>
      </c>
      <c r="D213" s="324" t="n">
        <f aca="false">SUM(B216:Y216)</f>
        <v>82.7985</v>
      </c>
      <c r="E213" s="323" t="s">
        <v>213</v>
      </c>
      <c r="F213" s="325" t="n">
        <f aca="false">D213/g/J213</f>
        <v>131.878344801223</v>
      </c>
      <c r="G213" s="323" t="s">
        <v>214</v>
      </c>
      <c r="H213" s="341" t="n">
        <v>0.152</v>
      </c>
      <c r="I213" s="323" t="s">
        <v>225</v>
      </c>
      <c r="J213" s="326" t="n">
        <f aca="false">H213-L213</f>
        <v>0.064</v>
      </c>
      <c r="K213" s="323" t="s">
        <v>226</v>
      </c>
      <c r="L213" s="341" t="n">
        <v>0.088</v>
      </c>
      <c r="M213" s="323" t="s">
        <v>217</v>
      </c>
      <c r="N213" s="342" t="n">
        <v>71</v>
      </c>
      <c r="O213" s="323" t="s">
        <v>218</v>
      </c>
      <c r="P213" s="342" t="n">
        <v>71</v>
      </c>
      <c r="Q213" s="323" t="s">
        <v>219</v>
      </c>
      <c r="R213" s="342" t="n">
        <v>142</v>
      </c>
      <c r="S213" s="323" t="s">
        <v>220</v>
      </c>
      <c r="T213" s="342" t="n">
        <v>29</v>
      </c>
      <c r="U213" s="323" t="s">
        <v>8</v>
      </c>
      <c r="V213" s="343" t="s">
        <v>256</v>
      </c>
      <c r="W213" s="329" t="s">
        <v>221</v>
      </c>
      <c r="X213" s="352" t="n">
        <v>0.96</v>
      </c>
      <c r="Y213" s="329" t="s">
        <v>222</v>
      </c>
      <c r="Z213" s="328" t="n">
        <v>11</v>
      </c>
    </row>
    <row r="214" customFormat="false" ht="12" hidden="false" customHeight="false" outlineLevel="0" collapsed="false">
      <c r="A214" s="321" t="s">
        <v>227</v>
      </c>
      <c r="B214" s="344" t="n">
        <v>0</v>
      </c>
      <c r="C214" s="345" t="n">
        <v>0.02</v>
      </c>
      <c r="D214" s="345" t="n">
        <v>0.03</v>
      </c>
      <c r="E214" s="345" t="n">
        <v>0.04</v>
      </c>
      <c r="F214" s="345" t="n">
        <v>0.06</v>
      </c>
      <c r="G214" s="345" t="n">
        <v>0.08</v>
      </c>
      <c r="H214" s="345" t="n">
        <v>0.15</v>
      </c>
      <c r="I214" s="345" t="n">
        <v>0.18</v>
      </c>
      <c r="J214" s="345" t="n">
        <v>0.2</v>
      </c>
      <c r="K214" s="345" t="n">
        <v>0.3</v>
      </c>
      <c r="L214" s="345" t="n">
        <v>0.4</v>
      </c>
      <c r="M214" s="345" t="n">
        <v>0.5</v>
      </c>
      <c r="N214" s="345" t="n">
        <v>0.6</v>
      </c>
      <c r="O214" s="345" t="n">
        <v>0.7</v>
      </c>
      <c r="P214" s="345" t="n">
        <v>0.82</v>
      </c>
      <c r="Q214" s="345" t="n">
        <v>0.93</v>
      </c>
      <c r="R214" s="345" t="n">
        <v>1</v>
      </c>
      <c r="S214" s="345" t="n">
        <f aca="false">R214</f>
        <v>1</v>
      </c>
      <c r="T214" s="345" t="n">
        <f aca="false">S214</f>
        <v>1</v>
      </c>
      <c r="U214" s="345" t="n">
        <f aca="false">T214</f>
        <v>1</v>
      </c>
      <c r="V214" s="345" t="n">
        <f aca="false">U214</f>
        <v>1</v>
      </c>
      <c r="W214" s="345" t="n">
        <f aca="false">V214</f>
        <v>1</v>
      </c>
      <c r="X214" s="345" t="n">
        <v>2</v>
      </c>
      <c r="Y214" s="333" t="n">
        <v>1000</v>
      </c>
    </row>
    <row r="215" customFormat="false" ht="12" hidden="false" customHeight="false" outlineLevel="0" collapsed="false">
      <c r="A215" s="346" t="s">
        <v>228</v>
      </c>
      <c r="B215" s="347" t="n">
        <v>0</v>
      </c>
      <c r="C215" s="348" t="n">
        <v>41.9</v>
      </c>
      <c r="D215" s="348" t="n">
        <v>92.1</v>
      </c>
      <c r="E215" s="348" t="n">
        <v>116.7</v>
      </c>
      <c r="F215" s="348" t="n">
        <v>112.7</v>
      </c>
      <c r="G215" s="348" t="n">
        <v>82.7</v>
      </c>
      <c r="H215" s="348" t="n">
        <v>84.7</v>
      </c>
      <c r="I215" s="348" t="n">
        <v>86.2</v>
      </c>
      <c r="J215" s="348" t="n">
        <v>87.9</v>
      </c>
      <c r="K215" s="348" t="n">
        <v>90.9</v>
      </c>
      <c r="L215" s="348" t="n">
        <v>93.9</v>
      </c>
      <c r="M215" s="348" t="n">
        <v>95.3</v>
      </c>
      <c r="N215" s="348" t="n">
        <v>96.8</v>
      </c>
      <c r="O215" s="348" t="n">
        <v>97.6</v>
      </c>
      <c r="P215" s="348" t="n">
        <v>108.2</v>
      </c>
      <c r="Q215" s="348" t="n">
        <v>11</v>
      </c>
      <c r="R215" s="348" t="n">
        <v>0</v>
      </c>
      <c r="S215" s="348" t="n">
        <f aca="false">R215</f>
        <v>0</v>
      </c>
      <c r="T215" s="348" t="n">
        <f aca="false">S215</f>
        <v>0</v>
      </c>
      <c r="U215" s="348" t="n">
        <f aca="false">T215</f>
        <v>0</v>
      </c>
      <c r="V215" s="348" t="n">
        <f aca="false">U215</f>
        <v>0</v>
      </c>
      <c r="W215" s="348" t="n">
        <f aca="false">V215</f>
        <v>0</v>
      </c>
      <c r="X215" s="348" t="n">
        <f aca="false">W215</f>
        <v>0</v>
      </c>
      <c r="Y215" s="349" t="n">
        <v>0</v>
      </c>
    </row>
    <row r="216" customFormat="false" ht="12.75" hidden="false" customHeight="false" outlineLevel="0" collapsed="false">
      <c r="A216" s="334" t="s">
        <v>229</v>
      </c>
      <c r="B216" s="350" t="n">
        <f aca="false">(C215+B215)*(C214-B214)/2</f>
        <v>0.419</v>
      </c>
      <c r="C216" s="351" t="n">
        <f aca="false">(D215+C215)*(D214-C214)/2</f>
        <v>0.67</v>
      </c>
      <c r="D216" s="351" t="n">
        <f aca="false">(E215+D215)*(E214-D214)/2</f>
        <v>1.044</v>
      </c>
      <c r="E216" s="351" t="n">
        <f aca="false">(F215+E215)*(F214-E214)/2</f>
        <v>2.294</v>
      </c>
      <c r="F216" s="351" t="n">
        <f aca="false">(G215+F215)*(G214-F214)/2</f>
        <v>1.954</v>
      </c>
      <c r="G216" s="351" t="n">
        <f aca="false">(H215+G215)*(H214-G214)/2</f>
        <v>5.859</v>
      </c>
      <c r="H216" s="351" t="n">
        <f aca="false">(I215+H215)*(I214-H214)/2</f>
        <v>2.5635</v>
      </c>
      <c r="I216" s="351" t="n">
        <f aca="false">(J215+I215)*(J214-I214)/2</f>
        <v>1.741</v>
      </c>
      <c r="J216" s="351" t="n">
        <f aca="false">(K215+J215)*(K214-J214)/2</f>
        <v>8.94</v>
      </c>
      <c r="K216" s="351" t="n">
        <f aca="false">(L215+K215)*(L214-K214)/2</f>
        <v>9.24</v>
      </c>
      <c r="L216" s="351" t="n">
        <f aca="false">(M215+L215)*(M214-L214)/2</f>
        <v>9.46</v>
      </c>
      <c r="M216" s="351" t="n">
        <f aca="false">(N215+M215)*(N214-M214)/2</f>
        <v>9.605</v>
      </c>
      <c r="N216" s="351" t="n">
        <f aca="false">(O215+N215)*(O214-N214)/2</f>
        <v>9.72</v>
      </c>
      <c r="O216" s="351" t="n">
        <f aca="false">(P215+O215)*(P214-O214)/2</f>
        <v>12.348</v>
      </c>
      <c r="P216" s="351" t="n">
        <f aca="false">(Q215+P215)*(Q214-P214)/2</f>
        <v>6.55600000000001</v>
      </c>
      <c r="Q216" s="351" t="n">
        <f aca="false">(R215+Q215)*(R214-Q214)/2</f>
        <v>0.385</v>
      </c>
      <c r="R216" s="351" t="n">
        <f aca="false">(S215+R215)*(S214-R214)/2</f>
        <v>0</v>
      </c>
      <c r="S216" s="351" t="n">
        <f aca="false">(T215+S215)*(T214-S214)/2</f>
        <v>0</v>
      </c>
      <c r="T216" s="351" t="n">
        <f aca="false">(U215+T215)*(U214-T214)/2</f>
        <v>0</v>
      </c>
      <c r="U216" s="351" t="n">
        <f aca="false">(V215+U215)*(V214-U214)/2</f>
        <v>0</v>
      </c>
      <c r="V216" s="351" t="n">
        <f aca="false">(W215+V215)*(W214-V214)/2</f>
        <v>0</v>
      </c>
      <c r="W216" s="351" t="n">
        <f aca="false">(X215+W215)*(X214-W214)/2</f>
        <v>0</v>
      </c>
      <c r="X216" s="351" t="n">
        <f aca="false">(Y215+X215)*(Y214-X214)/2</f>
        <v>0</v>
      </c>
      <c r="Y216" s="337"/>
    </row>
    <row r="217" customFormat="false" ht="12.75" hidden="false" customHeight="false" outlineLevel="0" collapsed="false">
      <c r="B217" s="338"/>
      <c r="C217" s="338"/>
      <c r="D217" s="338"/>
      <c r="E217" s="338"/>
      <c r="F217" s="338"/>
      <c r="G217" s="338"/>
      <c r="H217" s="338"/>
      <c r="I217" s="338"/>
      <c r="J217" s="338"/>
      <c r="K217" s="338"/>
      <c r="L217" s="338"/>
      <c r="M217" s="338"/>
      <c r="N217" s="338"/>
      <c r="O217" s="338"/>
      <c r="P217" s="338"/>
      <c r="Q217" s="338"/>
      <c r="R217" s="338"/>
      <c r="S217" s="338"/>
      <c r="T217" s="338"/>
      <c r="U217" s="338"/>
      <c r="V217" s="338"/>
      <c r="W217" s="338"/>
      <c r="X217" s="338"/>
      <c r="Y217" s="338"/>
    </row>
    <row r="218" customFormat="false" ht="13.5" hidden="false" customHeight="false" outlineLevel="0" collapsed="false">
      <c r="A218" s="339" t="s">
        <v>279</v>
      </c>
      <c r="B218" s="340" t="n">
        <f aca="false">ROW(A218)</f>
        <v>218</v>
      </c>
      <c r="C218" s="323" t="s">
        <v>212</v>
      </c>
      <c r="D218" s="324" t="n">
        <f aca="false">SUM(B221:Y221)</f>
        <v>98.2571011630364</v>
      </c>
      <c r="E218" s="323" t="s">
        <v>213</v>
      </c>
      <c r="F218" s="325" t="n">
        <f aca="false">D218/g/J218</f>
        <v>177.588907618938</v>
      </c>
      <c r="G218" s="323" t="s">
        <v>214</v>
      </c>
      <c r="H218" s="341" t="n">
        <v>0.1432</v>
      </c>
      <c r="I218" s="323" t="s">
        <v>225</v>
      </c>
      <c r="J218" s="326" t="n">
        <f aca="false">H218-L218</f>
        <v>0.0564</v>
      </c>
      <c r="K218" s="323" t="s">
        <v>226</v>
      </c>
      <c r="L218" s="341" t="n">
        <v>0.0868</v>
      </c>
      <c r="M218" s="323" t="s">
        <v>217</v>
      </c>
      <c r="N218" s="342" t="n">
        <v>71</v>
      </c>
      <c r="O218" s="323" t="s">
        <v>218</v>
      </c>
      <c r="P218" s="342" t="n">
        <v>71</v>
      </c>
      <c r="Q218" s="323" t="s">
        <v>219</v>
      </c>
      <c r="R218" s="342" t="n">
        <v>142</v>
      </c>
      <c r="S218" s="323" t="s">
        <v>220</v>
      </c>
      <c r="T218" s="342" t="n">
        <v>29</v>
      </c>
      <c r="U218" s="323" t="s">
        <v>8</v>
      </c>
      <c r="V218" s="343" t="s">
        <v>256</v>
      </c>
      <c r="W218" s="329" t="s">
        <v>221</v>
      </c>
      <c r="X218" s="352" t="n">
        <v>1.15</v>
      </c>
      <c r="Y218" s="329" t="s">
        <v>222</v>
      </c>
      <c r="Z218" s="328" t="n">
        <v>14</v>
      </c>
    </row>
    <row r="219" customFormat="false" ht="12" hidden="false" customHeight="false" outlineLevel="0" collapsed="false">
      <c r="A219" s="321" t="s">
        <v>227</v>
      </c>
      <c r="B219" s="344" t="n">
        <v>0</v>
      </c>
      <c r="C219" s="345" t="n">
        <v>0.015</v>
      </c>
      <c r="D219" s="345" t="n">
        <v>0.03</v>
      </c>
      <c r="E219" s="345" t="n">
        <v>0.045</v>
      </c>
      <c r="F219" s="345" t="n">
        <v>0.06</v>
      </c>
      <c r="G219" s="345" t="n">
        <v>0.075</v>
      </c>
      <c r="H219" s="345" t="n">
        <v>0.09</v>
      </c>
      <c r="I219" s="345" t="n">
        <v>0.105</v>
      </c>
      <c r="J219" s="345" t="n">
        <v>0.12</v>
      </c>
      <c r="K219" s="345" t="n">
        <v>0.18</v>
      </c>
      <c r="L219" s="345" t="n">
        <v>0.24</v>
      </c>
      <c r="M219" s="345" t="n">
        <v>0.3</v>
      </c>
      <c r="N219" s="345" t="n">
        <v>0.48</v>
      </c>
      <c r="O219" s="345" t="n">
        <v>0.6</v>
      </c>
      <c r="P219" s="345" t="n">
        <v>0.66</v>
      </c>
      <c r="Q219" s="345" t="n">
        <v>0.72</v>
      </c>
      <c r="R219" s="345" t="n">
        <v>0.78</v>
      </c>
      <c r="S219" s="345" t="n">
        <v>0.84</v>
      </c>
      <c r="T219" s="345" t="n">
        <v>0.9</v>
      </c>
      <c r="U219" s="345" t="n">
        <v>0.96</v>
      </c>
      <c r="V219" s="345" t="n">
        <v>1.035</v>
      </c>
      <c r="W219" s="345" t="n">
        <v>1.2</v>
      </c>
      <c r="X219" s="345" t="n">
        <v>2</v>
      </c>
      <c r="Y219" s="333" t="n">
        <v>1000</v>
      </c>
    </row>
    <row r="220" customFormat="false" ht="12" hidden="false" customHeight="false" outlineLevel="0" collapsed="false">
      <c r="A220" s="346" t="s">
        <v>228</v>
      </c>
      <c r="B220" s="347" t="n">
        <v>0</v>
      </c>
      <c r="C220" s="356" t="n">
        <v>99.3287889588225</v>
      </c>
      <c r="D220" s="356" t="n">
        <v>109.07039432469</v>
      </c>
      <c r="E220" s="356" t="n">
        <v>65.2554112864275</v>
      </c>
      <c r="F220" s="356" t="n">
        <v>67.5684865331175</v>
      </c>
      <c r="G220" s="356" t="n">
        <v>73.929443461515</v>
      </c>
      <c r="H220" s="356" t="n">
        <v>74.3297834080575</v>
      </c>
      <c r="I220" s="356" t="n">
        <v>78.1552540083525</v>
      </c>
      <c r="J220" s="356" t="n">
        <v>78.6000761711775</v>
      </c>
      <c r="K220" s="356" t="n">
        <v>82.20313569006</v>
      </c>
      <c r="L220" s="356" t="n">
        <v>84.51621093675</v>
      </c>
      <c r="M220" s="356" t="n">
        <v>88.519610402175</v>
      </c>
      <c r="N220" s="356" t="n">
        <v>95.102978411985</v>
      </c>
      <c r="O220" s="356" t="n">
        <v>95.54780057481</v>
      </c>
      <c r="P220" s="356" t="n">
        <v>94.48022738403</v>
      </c>
      <c r="Q220" s="356" t="n">
        <v>92.1226699210575</v>
      </c>
      <c r="R220" s="356" t="n">
        <v>90.7437212163</v>
      </c>
      <c r="S220" s="356" t="n">
        <v>88.964432565</v>
      </c>
      <c r="T220" s="356" t="n">
        <v>85.4058552624</v>
      </c>
      <c r="U220" s="356" t="n">
        <v>83.44863774597</v>
      </c>
      <c r="V220" s="356" t="n">
        <v>88.07478823935</v>
      </c>
      <c r="W220" s="356" t="n">
        <v>0</v>
      </c>
      <c r="X220" s="348" t="n">
        <v>0</v>
      </c>
      <c r="Y220" s="349" t="n">
        <v>0</v>
      </c>
    </row>
    <row r="221" customFormat="false" ht="12.75" hidden="false" customHeight="false" outlineLevel="0" collapsed="false">
      <c r="A221" s="334" t="s">
        <v>229</v>
      </c>
      <c r="B221" s="350" t="n">
        <f aca="false">(C220+B220)*(C219-B219)/2</f>
        <v>0.744965917191169</v>
      </c>
      <c r="C221" s="351" t="n">
        <f aca="false">(D220+C220)*(D219-C219)/2</f>
        <v>1.56299387462634</v>
      </c>
      <c r="D221" s="351" t="n">
        <f aca="false">(E220+D220)*(E219-D219)/2</f>
        <v>1.30744354208338</v>
      </c>
      <c r="E221" s="351" t="n">
        <f aca="false">(F220+E220)*(F219-E219)/2</f>
        <v>0.996179233646587</v>
      </c>
      <c r="F221" s="351" t="n">
        <f aca="false">(G220+F220)*(G219-F219)/2</f>
        <v>1.06123447495974</v>
      </c>
      <c r="G221" s="351" t="n">
        <f aca="false">(H220+G220)*(H219-G219)/2</f>
        <v>1.11194420152179</v>
      </c>
      <c r="H221" s="351" t="n">
        <f aca="false">(I220+H220)*(I219-H219)/2</f>
        <v>1.14363778062307</v>
      </c>
      <c r="I221" s="351" t="n">
        <f aca="false">(J220+I220)*(J219-I219)/2</f>
        <v>1.17566497634648</v>
      </c>
      <c r="J221" s="351" t="n">
        <f aca="false">(K220+J220)*(K219-J219)/2</f>
        <v>4.82409635583713</v>
      </c>
      <c r="K221" s="351" t="n">
        <f aca="false">(L220+K220)*(L219-K219)/2</f>
        <v>5.0015803988043</v>
      </c>
      <c r="L221" s="351" t="n">
        <f aca="false">(M220+L220)*(M219-L219)/2</f>
        <v>5.19107464016775</v>
      </c>
      <c r="M221" s="351" t="n">
        <f aca="false">(N220+M220)*(N219-M219)/2</f>
        <v>16.5260329932744</v>
      </c>
      <c r="N221" s="351" t="n">
        <f aca="false">(O220+N220)*(O219-N219)/2</f>
        <v>11.4390467392077</v>
      </c>
      <c r="O221" s="351" t="n">
        <f aca="false">(P220+O220)*(P219-O219)/2</f>
        <v>5.7008408387652</v>
      </c>
      <c r="P221" s="351" t="n">
        <f aca="false">(Q220+P220)*(Q219-P219)/2</f>
        <v>5.59808691915262</v>
      </c>
      <c r="Q221" s="351" t="n">
        <f aca="false">(R220+Q220)*(R219-Q219)/2</f>
        <v>5.48599173412073</v>
      </c>
      <c r="R221" s="351" t="n">
        <f aca="false">(S220+R220)*(S219-R219)/2</f>
        <v>5.39124461343899</v>
      </c>
      <c r="S221" s="351" t="n">
        <f aca="false">(T220+S220)*(T219-S219)/2</f>
        <v>5.231108634822</v>
      </c>
      <c r="T221" s="351" t="n">
        <f aca="false">(U220+T220)*(U219-T219)/2</f>
        <v>5.0656347902511</v>
      </c>
      <c r="U221" s="351" t="n">
        <f aca="false">(V220+U220)*(V219-U219)/2</f>
        <v>6.4321284744495</v>
      </c>
      <c r="V221" s="351" t="n">
        <f aca="false">(W220+V220)*(W219-V219)/2</f>
        <v>7.26617002974638</v>
      </c>
      <c r="W221" s="351" t="n">
        <f aca="false">(X220+W220)*(X219-W219)/2</f>
        <v>0</v>
      </c>
      <c r="X221" s="351" t="n">
        <f aca="false">(Y220+X220)*(Y219-X219)/2</f>
        <v>0</v>
      </c>
      <c r="Y221" s="337"/>
    </row>
    <row r="222" customFormat="false" ht="12.75" hidden="false" customHeight="false" outlineLevel="0" collapsed="false">
      <c r="B222" s="338"/>
      <c r="C222" s="338"/>
      <c r="D222" s="338"/>
      <c r="E222" s="338"/>
      <c r="F222" s="338"/>
      <c r="G222" s="338"/>
      <c r="H222" s="338"/>
      <c r="I222" s="338"/>
      <c r="J222" s="338"/>
      <c r="K222" s="338"/>
      <c r="L222" s="338"/>
      <c r="M222" s="338"/>
      <c r="N222" s="338"/>
      <c r="O222" s="338"/>
      <c r="P222" s="338"/>
      <c r="Q222" s="338"/>
      <c r="R222" s="338"/>
      <c r="S222" s="338"/>
      <c r="T222" s="338"/>
      <c r="U222" s="338"/>
      <c r="V222" s="338"/>
      <c r="W222" s="338"/>
      <c r="X222" s="338"/>
      <c r="Y222" s="338"/>
    </row>
    <row r="223" customFormat="false" ht="13.5" hidden="false" customHeight="false" outlineLevel="0" collapsed="false">
      <c r="A223" s="339" t="s">
        <v>280</v>
      </c>
      <c r="B223" s="340" t="n">
        <f aca="false">ROW(A223)</f>
        <v>223</v>
      </c>
      <c r="C223" s="323" t="s">
        <v>212</v>
      </c>
      <c r="D223" s="324" t="n">
        <f aca="false">SUM(B226:Y226)</f>
        <v>109.6063985</v>
      </c>
      <c r="E223" s="323" t="s">
        <v>213</v>
      </c>
      <c r="F223" s="325" t="n">
        <f aca="false">D223/g/J223</f>
        <v>194.311746664894</v>
      </c>
      <c r="G223" s="323" t="s">
        <v>214</v>
      </c>
      <c r="H223" s="341" t="n">
        <v>0.1413</v>
      </c>
      <c r="I223" s="323" t="s">
        <v>225</v>
      </c>
      <c r="J223" s="326" t="n">
        <f aca="false">H223-L223</f>
        <v>0.0575</v>
      </c>
      <c r="K223" s="323" t="s">
        <v>226</v>
      </c>
      <c r="L223" s="341" t="n">
        <v>0.0838</v>
      </c>
      <c r="M223" s="323" t="s">
        <v>217</v>
      </c>
      <c r="N223" s="342" t="n">
        <v>71</v>
      </c>
      <c r="O223" s="323" t="s">
        <v>218</v>
      </c>
      <c r="P223" s="342" t="n">
        <v>71</v>
      </c>
      <c r="Q223" s="323" t="s">
        <v>219</v>
      </c>
      <c r="R223" s="342" t="n">
        <v>142</v>
      </c>
      <c r="S223" s="323" t="s">
        <v>220</v>
      </c>
      <c r="T223" s="342" t="n">
        <v>29</v>
      </c>
      <c r="U223" s="323" t="s">
        <v>8</v>
      </c>
      <c r="V223" s="343" t="s">
        <v>245</v>
      </c>
      <c r="W223" s="329" t="s">
        <v>221</v>
      </c>
      <c r="X223" s="352" t="n">
        <v>0.45</v>
      </c>
      <c r="Y223" s="329" t="s">
        <v>222</v>
      </c>
      <c r="Z223" s="328" t="n">
        <v>14</v>
      </c>
    </row>
    <row r="224" customFormat="false" ht="12" hidden="false" customHeight="false" outlineLevel="0" collapsed="false">
      <c r="A224" s="321" t="s">
        <v>227</v>
      </c>
      <c r="B224" s="344" t="n">
        <v>0</v>
      </c>
      <c r="C224" s="345" t="n">
        <v>0.006</v>
      </c>
      <c r="D224" s="345" t="n">
        <v>0.011</v>
      </c>
      <c r="E224" s="345" t="n">
        <v>0.016</v>
      </c>
      <c r="F224" s="345" t="n">
        <v>0.031</v>
      </c>
      <c r="G224" s="345" t="n">
        <v>0.075</v>
      </c>
      <c r="H224" s="345" t="n">
        <v>0.122</v>
      </c>
      <c r="I224" s="345" t="n">
        <v>0.216</v>
      </c>
      <c r="J224" s="345" t="n">
        <v>0.25</v>
      </c>
      <c r="K224" s="345" t="n">
        <v>0.287</v>
      </c>
      <c r="L224" s="345" t="n">
        <v>0.354</v>
      </c>
      <c r="M224" s="345" t="n">
        <v>0.374</v>
      </c>
      <c r="N224" s="345" t="n">
        <v>0.4</v>
      </c>
      <c r="O224" s="345" t="n">
        <v>0.413</v>
      </c>
      <c r="P224" s="345" t="n">
        <v>0.42</v>
      </c>
      <c r="Q224" s="345" t="n">
        <v>0.433</v>
      </c>
      <c r="R224" s="345" t="n">
        <v>0.445</v>
      </c>
      <c r="S224" s="345" t="n">
        <v>0.454</v>
      </c>
      <c r="T224" s="345" t="n">
        <f aca="false">S224</f>
        <v>0.454</v>
      </c>
      <c r="U224" s="345" t="n">
        <f aca="false">T224</f>
        <v>0.454</v>
      </c>
      <c r="V224" s="345" t="n">
        <f aca="false">U224</f>
        <v>0.454</v>
      </c>
      <c r="W224" s="345" t="n">
        <f aca="false">V224</f>
        <v>0.454</v>
      </c>
      <c r="X224" s="345" t="n">
        <v>2</v>
      </c>
      <c r="Y224" s="333" t="n">
        <v>1000</v>
      </c>
    </row>
    <row r="225" customFormat="false" ht="12" hidden="false" customHeight="false" outlineLevel="0" collapsed="false">
      <c r="A225" s="346" t="s">
        <v>228</v>
      </c>
      <c r="B225" s="347" t="n">
        <v>0</v>
      </c>
      <c r="C225" s="348" t="n">
        <v>151.621</v>
      </c>
      <c r="D225" s="348" t="n">
        <v>198.079</v>
      </c>
      <c r="E225" s="348" t="n">
        <v>203.121</v>
      </c>
      <c r="F225" s="348" t="n">
        <v>201.681</v>
      </c>
      <c r="G225" s="348" t="n">
        <v>226.17</v>
      </c>
      <c r="H225" s="348" t="n">
        <v>250.3</v>
      </c>
      <c r="I225" s="348" t="n">
        <v>280.192</v>
      </c>
      <c r="J225" s="348" t="n">
        <v>287.035</v>
      </c>
      <c r="K225" s="348" t="n">
        <v>284.874</v>
      </c>
      <c r="L225" s="348" t="n">
        <v>269.748</v>
      </c>
      <c r="M225" s="348" t="n">
        <v>258.583</v>
      </c>
      <c r="N225" s="348" t="n">
        <v>233.373</v>
      </c>
      <c r="O225" s="348" t="n">
        <v>234.094</v>
      </c>
      <c r="P225" s="348" t="n">
        <v>227.611</v>
      </c>
      <c r="Q225" s="348" t="n">
        <v>137.935</v>
      </c>
      <c r="R225" s="348" t="n">
        <v>33.854</v>
      </c>
      <c r="S225" s="348" t="n">
        <v>0</v>
      </c>
      <c r="T225" s="348" t="n">
        <f aca="false">S225</f>
        <v>0</v>
      </c>
      <c r="U225" s="348" t="n">
        <f aca="false">T225</f>
        <v>0</v>
      </c>
      <c r="V225" s="348" t="n">
        <f aca="false">U225</f>
        <v>0</v>
      </c>
      <c r="W225" s="348" t="n">
        <f aca="false">V225</f>
        <v>0</v>
      </c>
      <c r="X225" s="348" t="n">
        <f aca="false">W225</f>
        <v>0</v>
      </c>
      <c r="Y225" s="349" t="n">
        <v>0</v>
      </c>
    </row>
    <row r="226" customFormat="false" ht="12.75" hidden="false" customHeight="false" outlineLevel="0" collapsed="false">
      <c r="A226" s="334" t="s">
        <v>229</v>
      </c>
      <c r="B226" s="350" t="n">
        <f aca="false">(C225+B225)*(C224-B224)/2</f>
        <v>0.454863</v>
      </c>
      <c r="C226" s="351" t="n">
        <f aca="false">(D225+C225)*(D224-C224)/2</f>
        <v>0.87425</v>
      </c>
      <c r="D226" s="351" t="n">
        <f aca="false">(E225+D225)*(E224-D224)/2</f>
        <v>1.003</v>
      </c>
      <c r="E226" s="351" t="n">
        <f aca="false">(F225+E225)*(F224-E224)/2</f>
        <v>3.036015</v>
      </c>
      <c r="F226" s="351" t="n">
        <f aca="false">(G225+F225)*(G224-F224)/2</f>
        <v>9.412722</v>
      </c>
      <c r="G226" s="351" t="n">
        <f aca="false">(H225+G225)*(H224-G224)/2</f>
        <v>11.197045</v>
      </c>
      <c r="H226" s="351" t="n">
        <f aca="false">(I225+H225)*(I224-H224)/2</f>
        <v>24.933124</v>
      </c>
      <c r="I226" s="351" t="n">
        <f aca="false">(J225+I225)*(J224-I224)/2</f>
        <v>9.642859</v>
      </c>
      <c r="J226" s="351" t="n">
        <f aca="false">(K225+J225)*(K224-J224)/2</f>
        <v>10.5803165</v>
      </c>
      <c r="K226" s="351" t="n">
        <f aca="false">(L225+K225)*(L224-K224)/2</f>
        <v>18.579837</v>
      </c>
      <c r="L226" s="351" t="n">
        <f aca="false">(M225+L225)*(M224-L224)/2</f>
        <v>5.28331000000001</v>
      </c>
      <c r="M226" s="351" t="n">
        <f aca="false">(N225+M225)*(N224-M224)/2</f>
        <v>6.39542800000001</v>
      </c>
      <c r="N226" s="351" t="n">
        <f aca="false">(O225+N225)*(O224-N224)/2</f>
        <v>3.03853549999999</v>
      </c>
      <c r="O226" s="351" t="n">
        <f aca="false">(P225+O225)*(P224-O224)/2</f>
        <v>1.6159675</v>
      </c>
      <c r="P226" s="351" t="n">
        <f aca="false">(Q225+P225)*(Q224-P224)/2</f>
        <v>2.376049</v>
      </c>
      <c r="Q226" s="351" t="n">
        <f aca="false">(R225+Q225)*(R224-Q224)/2</f>
        <v>1.030734</v>
      </c>
      <c r="R226" s="351" t="n">
        <f aca="false">(S225+R225)*(S224-R224)/2</f>
        <v>0.152343</v>
      </c>
      <c r="S226" s="351" t="n">
        <f aca="false">(T225+S225)*(T224-S224)/2</f>
        <v>0</v>
      </c>
      <c r="T226" s="351" t="n">
        <f aca="false">(U225+T225)*(U224-T224)/2</f>
        <v>0</v>
      </c>
      <c r="U226" s="351" t="n">
        <f aca="false">(V225+U225)*(V224-U224)/2</f>
        <v>0</v>
      </c>
      <c r="V226" s="351" t="n">
        <f aca="false">(W225+V225)*(W224-V224)/2</f>
        <v>0</v>
      </c>
      <c r="W226" s="351" t="n">
        <f aca="false">(X225+W225)*(X224-W224)/2</f>
        <v>0</v>
      </c>
      <c r="X226" s="351" t="n">
        <f aca="false">(Y225+X225)*(Y224-X224)/2</f>
        <v>0</v>
      </c>
      <c r="Y226" s="337"/>
    </row>
    <row r="227" customFormat="false" ht="12.75" hidden="false" customHeight="false" outlineLevel="0" collapsed="false">
      <c r="B227" s="338"/>
      <c r="C227" s="338"/>
      <c r="D227" s="338"/>
      <c r="E227" s="338"/>
      <c r="F227" s="338"/>
      <c r="G227" s="338"/>
      <c r="H227" s="338"/>
      <c r="I227" s="338"/>
      <c r="J227" s="338"/>
      <c r="K227" s="338"/>
      <c r="L227" s="338"/>
      <c r="M227" s="338"/>
      <c r="N227" s="338"/>
      <c r="O227" s="338"/>
      <c r="P227" s="338"/>
      <c r="Q227" s="338"/>
      <c r="R227" s="338"/>
      <c r="S227" s="338"/>
      <c r="T227" s="338"/>
      <c r="U227" s="338"/>
      <c r="V227" s="338"/>
      <c r="W227" s="338"/>
      <c r="X227" s="338"/>
      <c r="Y227" s="338"/>
    </row>
    <row r="228" customFormat="false" ht="13.5" hidden="false" customHeight="false" outlineLevel="0" collapsed="false">
      <c r="A228" s="339" t="s">
        <v>281</v>
      </c>
      <c r="B228" s="340" t="n">
        <f aca="false">ROW(A228)</f>
        <v>228</v>
      </c>
      <c r="C228" s="323" t="s">
        <v>212</v>
      </c>
      <c r="D228" s="324" t="n">
        <f aca="false">SUM(B231:Y231)</f>
        <v>115.63</v>
      </c>
      <c r="E228" s="323" t="s">
        <v>213</v>
      </c>
      <c r="F228" s="325" t="n">
        <f aca="false">D228/g/J228</f>
        <v>199.77884897804</v>
      </c>
      <c r="G228" s="323" t="s">
        <v>214</v>
      </c>
      <c r="H228" s="341" t="n">
        <v>0.145</v>
      </c>
      <c r="I228" s="323" t="s">
        <v>225</v>
      </c>
      <c r="J228" s="326" t="n">
        <f aca="false">H228-L228</f>
        <v>0.059</v>
      </c>
      <c r="K228" s="323" t="s">
        <v>226</v>
      </c>
      <c r="L228" s="341" t="n">
        <v>0.086</v>
      </c>
      <c r="M228" s="323" t="s">
        <v>217</v>
      </c>
      <c r="N228" s="342" t="n">
        <v>71</v>
      </c>
      <c r="O228" s="323" t="s">
        <v>218</v>
      </c>
      <c r="P228" s="342" t="n">
        <v>71</v>
      </c>
      <c r="Q228" s="323" t="s">
        <v>219</v>
      </c>
      <c r="R228" s="342" t="n">
        <v>142</v>
      </c>
      <c r="S228" s="323" t="s">
        <v>220</v>
      </c>
      <c r="T228" s="342" t="n">
        <v>29</v>
      </c>
      <c r="U228" s="323" t="s">
        <v>8</v>
      </c>
      <c r="V228" s="343" t="s">
        <v>252</v>
      </c>
      <c r="W228" s="329" t="s">
        <v>221</v>
      </c>
      <c r="X228" s="352" t="n">
        <v>0.93</v>
      </c>
      <c r="Y228" s="329" t="s">
        <v>222</v>
      </c>
      <c r="Z228" s="328" t="n">
        <v>13</v>
      </c>
    </row>
    <row r="229" customFormat="false" ht="12" hidden="false" customHeight="false" outlineLevel="0" collapsed="false">
      <c r="A229" s="321" t="s">
        <v>227</v>
      </c>
      <c r="B229" s="344" t="n">
        <v>0</v>
      </c>
      <c r="C229" s="345" t="n">
        <v>0.01</v>
      </c>
      <c r="D229" s="345" t="n">
        <v>0.02</v>
      </c>
      <c r="E229" s="345" t="n">
        <v>0.03</v>
      </c>
      <c r="F229" s="345" t="n">
        <v>0.04</v>
      </c>
      <c r="G229" s="345" t="n">
        <v>0.05</v>
      </c>
      <c r="H229" s="345" t="n">
        <v>0.1</v>
      </c>
      <c r="I229" s="345" t="n">
        <v>0.2</v>
      </c>
      <c r="J229" s="345" t="n">
        <v>0.3</v>
      </c>
      <c r="K229" s="345" t="n">
        <v>0.4</v>
      </c>
      <c r="L229" s="345" t="n">
        <v>0.6</v>
      </c>
      <c r="M229" s="345" t="n">
        <v>0.75</v>
      </c>
      <c r="N229" s="345" t="n">
        <v>0.81</v>
      </c>
      <c r="O229" s="345" t="n">
        <v>0.86</v>
      </c>
      <c r="P229" s="345" t="n">
        <v>0.9</v>
      </c>
      <c r="Q229" s="345" t="n">
        <v>0.95</v>
      </c>
      <c r="R229" s="345" t="n">
        <v>1</v>
      </c>
      <c r="S229" s="345" t="n">
        <v>1</v>
      </c>
      <c r="T229" s="345" t="n">
        <v>1</v>
      </c>
      <c r="U229" s="345" t="n">
        <v>1</v>
      </c>
      <c r="V229" s="345" t="n">
        <v>1</v>
      </c>
      <c r="W229" s="345" t="n">
        <v>1</v>
      </c>
      <c r="X229" s="345" t="n">
        <v>2</v>
      </c>
      <c r="Y229" s="333" t="n">
        <v>1000</v>
      </c>
    </row>
    <row r="230" customFormat="false" ht="12" hidden="false" customHeight="false" outlineLevel="0" collapsed="false">
      <c r="A230" s="346" t="s">
        <v>228</v>
      </c>
      <c r="B230" s="347" t="n">
        <v>0</v>
      </c>
      <c r="C230" s="356" t="n">
        <v>55</v>
      </c>
      <c r="D230" s="356" t="n">
        <v>168</v>
      </c>
      <c r="E230" s="356" t="n">
        <v>157</v>
      </c>
      <c r="F230" s="356" t="n">
        <v>148</v>
      </c>
      <c r="G230" s="356" t="n">
        <v>125</v>
      </c>
      <c r="H230" s="356" t="n">
        <v>135</v>
      </c>
      <c r="I230" s="356" t="n">
        <v>141</v>
      </c>
      <c r="J230" s="356" t="n">
        <v>142</v>
      </c>
      <c r="K230" s="356" t="n">
        <v>141</v>
      </c>
      <c r="L230" s="356" t="n">
        <v>133</v>
      </c>
      <c r="M230" s="356" t="n">
        <v>127</v>
      </c>
      <c r="N230" s="356" t="n">
        <v>128</v>
      </c>
      <c r="O230" s="356" t="n">
        <v>60</v>
      </c>
      <c r="P230" s="356" t="n">
        <v>15</v>
      </c>
      <c r="Q230" s="356" t="n">
        <v>0</v>
      </c>
      <c r="R230" s="356" t="n">
        <v>0</v>
      </c>
      <c r="S230" s="356" t="n">
        <v>0</v>
      </c>
      <c r="T230" s="356" t="n">
        <v>0</v>
      </c>
      <c r="U230" s="356" t="n">
        <v>0</v>
      </c>
      <c r="V230" s="356" t="n">
        <v>0</v>
      </c>
      <c r="W230" s="356" t="n">
        <v>0</v>
      </c>
      <c r="X230" s="348" t="n">
        <v>0</v>
      </c>
      <c r="Y230" s="349" t="n">
        <v>0</v>
      </c>
    </row>
    <row r="231" customFormat="false" ht="12.75" hidden="false" customHeight="false" outlineLevel="0" collapsed="false">
      <c r="A231" s="334" t="s">
        <v>229</v>
      </c>
      <c r="B231" s="350" t="n">
        <f aca="false">(C230+B230)*(C229-B229)/2</f>
        <v>0.275</v>
      </c>
      <c r="C231" s="351" t="n">
        <f aca="false">(D230+C230)*(D229-C229)/2</f>
        <v>1.115</v>
      </c>
      <c r="D231" s="351" t="n">
        <f aca="false">(E230+D230)*(E229-D229)/2</f>
        <v>1.625</v>
      </c>
      <c r="E231" s="351" t="n">
        <f aca="false">(F230+E230)*(F229-E229)/2</f>
        <v>1.525</v>
      </c>
      <c r="F231" s="351" t="n">
        <f aca="false">(G230+F230)*(G229-F229)/2</f>
        <v>1.365</v>
      </c>
      <c r="G231" s="351" t="n">
        <f aca="false">(H230+G230)*(H229-G229)/2</f>
        <v>6.5</v>
      </c>
      <c r="H231" s="351" t="n">
        <f aca="false">(I230+H230)*(I229-H229)/2</f>
        <v>13.8</v>
      </c>
      <c r="I231" s="351" t="n">
        <f aca="false">(J230+I230)*(J229-I229)/2</f>
        <v>14.15</v>
      </c>
      <c r="J231" s="351" t="n">
        <f aca="false">(K230+J230)*(K229-J229)/2</f>
        <v>14.15</v>
      </c>
      <c r="K231" s="351" t="n">
        <f aca="false">(L230+K230)*(L229-K229)/2</f>
        <v>27.4</v>
      </c>
      <c r="L231" s="351" t="n">
        <f aca="false">(M230+L230)*(M229-L229)/2</f>
        <v>19.5</v>
      </c>
      <c r="M231" s="351" t="n">
        <f aca="false">(N230+M230)*(N229-M229)/2</f>
        <v>7.65000000000001</v>
      </c>
      <c r="N231" s="351" t="n">
        <f aca="false">(O230+N230)*(O229-N229)/2</f>
        <v>4.69999999999999</v>
      </c>
      <c r="O231" s="351" t="n">
        <f aca="false">(P230+O230)*(P229-O229)/2</f>
        <v>1.5</v>
      </c>
      <c r="P231" s="351" t="n">
        <f aca="false">(Q230+P230)*(Q229-P229)/2</f>
        <v>0.375</v>
      </c>
      <c r="Q231" s="351" t="n">
        <f aca="false">(R230+Q230)*(R229-Q229)/2</f>
        <v>0</v>
      </c>
      <c r="R231" s="351" t="n">
        <f aca="false">(S230+R230)*(S229-R229)/2</f>
        <v>0</v>
      </c>
      <c r="S231" s="351" t="n">
        <f aca="false">(T230+S230)*(T229-S229)/2</f>
        <v>0</v>
      </c>
      <c r="T231" s="351" t="n">
        <f aca="false">(U230+T230)*(U229-T229)/2</f>
        <v>0</v>
      </c>
      <c r="U231" s="351" t="n">
        <f aca="false">(V230+U230)*(V229-U229)/2</f>
        <v>0</v>
      </c>
      <c r="V231" s="351" t="n">
        <f aca="false">(W230+V230)*(W229-V229)/2</f>
        <v>0</v>
      </c>
      <c r="W231" s="351" t="n">
        <f aca="false">(X230+W230)*(X229-W229)/2</f>
        <v>0</v>
      </c>
      <c r="X231" s="351" t="n">
        <f aca="false">(Y230+X230)*(Y229-X229)/2</f>
        <v>0</v>
      </c>
      <c r="Y231" s="337"/>
    </row>
    <row r="232" customFormat="false" ht="13.5" hidden="false" customHeight="false" outlineLevel="0" collapsed="false">
      <c r="A232" s="171" t="s">
        <v>282</v>
      </c>
      <c r="B232" s="338"/>
      <c r="C232" s="338"/>
      <c r="D232" s="338"/>
      <c r="E232" s="338"/>
      <c r="F232" s="338"/>
      <c r="G232" s="338"/>
      <c r="H232" s="338"/>
      <c r="I232" s="338"/>
      <c r="J232" s="338"/>
      <c r="K232" s="338"/>
      <c r="L232" s="338"/>
      <c r="M232" s="338"/>
      <c r="N232" s="338"/>
      <c r="O232" s="338"/>
      <c r="P232" s="338"/>
      <c r="Q232" s="338"/>
      <c r="R232" s="338"/>
      <c r="S232" s="338"/>
      <c r="T232" s="338"/>
      <c r="U232" s="338"/>
      <c r="V232" s="338"/>
      <c r="W232" s="338"/>
      <c r="X232" s="338"/>
      <c r="Y232" s="338"/>
    </row>
    <row r="233" customFormat="false" ht="13.5" hidden="false" customHeight="false" outlineLevel="0" collapsed="false">
      <c r="A233" s="339" t="s">
        <v>283</v>
      </c>
      <c r="B233" s="340" t="n">
        <f aca="false">ROW(A233)</f>
        <v>233</v>
      </c>
      <c r="C233" s="323" t="s">
        <v>212</v>
      </c>
      <c r="D233" s="324" t="n">
        <f aca="false">SUM(B236:Y236)</f>
        <v>115.63</v>
      </c>
      <c r="E233" s="323" t="s">
        <v>213</v>
      </c>
      <c r="F233" s="325" t="n">
        <f aca="false">D233/g/J233</f>
        <v>125.393107337281</v>
      </c>
      <c r="G233" s="323" t="s">
        <v>214</v>
      </c>
      <c r="H233" s="341" t="n">
        <v>0.2</v>
      </c>
      <c r="I233" s="323" t="s">
        <v>225</v>
      </c>
      <c r="J233" s="326" t="n">
        <f aca="false">H233-L233</f>
        <v>0.094</v>
      </c>
      <c r="K233" s="323" t="s">
        <v>226</v>
      </c>
      <c r="L233" s="341" t="n">
        <v>0.106</v>
      </c>
      <c r="M233" s="323" t="s">
        <v>217</v>
      </c>
      <c r="N233" s="342" t="n">
        <v>93</v>
      </c>
      <c r="O233" s="323" t="s">
        <v>218</v>
      </c>
      <c r="P233" s="342" t="n">
        <v>93</v>
      </c>
      <c r="Q233" s="323" t="s">
        <v>219</v>
      </c>
      <c r="R233" s="342" t="n">
        <v>187</v>
      </c>
      <c r="S233" s="323" t="s">
        <v>220</v>
      </c>
      <c r="T233" s="342" t="n">
        <v>29</v>
      </c>
      <c r="U233" s="323" t="s">
        <v>8</v>
      </c>
      <c r="V233" s="343" t="s">
        <v>256</v>
      </c>
      <c r="W233" s="329" t="s">
        <v>221</v>
      </c>
      <c r="X233" s="352" t="n">
        <v>0.96</v>
      </c>
      <c r="Y233" s="329" t="s">
        <v>222</v>
      </c>
      <c r="Z233" s="328" t="n">
        <v>14</v>
      </c>
    </row>
    <row r="234" customFormat="false" ht="12" hidden="false" customHeight="false" outlineLevel="0" collapsed="false">
      <c r="A234" s="321" t="s">
        <v>227</v>
      </c>
      <c r="B234" s="344" t="n">
        <v>0</v>
      </c>
      <c r="C234" s="345" t="n">
        <v>0.01</v>
      </c>
      <c r="D234" s="345" t="n">
        <v>0.02</v>
      </c>
      <c r="E234" s="345" t="n">
        <v>0.03</v>
      </c>
      <c r="F234" s="345" t="n">
        <v>0.04</v>
      </c>
      <c r="G234" s="345" t="n">
        <v>0.05</v>
      </c>
      <c r="H234" s="345" t="n">
        <v>0.1</v>
      </c>
      <c r="I234" s="345" t="n">
        <v>0.2</v>
      </c>
      <c r="J234" s="345" t="n">
        <v>0.3</v>
      </c>
      <c r="K234" s="345" t="n">
        <v>0.4</v>
      </c>
      <c r="L234" s="345" t="n">
        <v>0.6</v>
      </c>
      <c r="M234" s="345" t="n">
        <v>0.75</v>
      </c>
      <c r="N234" s="345" t="n">
        <v>0.81</v>
      </c>
      <c r="O234" s="345" t="n">
        <v>0.86</v>
      </c>
      <c r="P234" s="345" t="n">
        <v>0.9</v>
      </c>
      <c r="Q234" s="345" t="n">
        <v>0.95</v>
      </c>
      <c r="R234" s="345" t="n">
        <v>1</v>
      </c>
      <c r="S234" s="345" t="n">
        <f aca="false">R234</f>
        <v>1</v>
      </c>
      <c r="T234" s="345" t="n">
        <f aca="false">S234</f>
        <v>1</v>
      </c>
      <c r="U234" s="345" t="n">
        <f aca="false">T234</f>
        <v>1</v>
      </c>
      <c r="V234" s="345" t="n">
        <f aca="false">U234</f>
        <v>1</v>
      </c>
      <c r="W234" s="345" t="n">
        <f aca="false">V234</f>
        <v>1</v>
      </c>
      <c r="X234" s="345" t="n">
        <v>2</v>
      </c>
      <c r="Y234" s="333" t="n">
        <v>1000</v>
      </c>
    </row>
    <row r="235" customFormat="false" ht="12" hidden="false" customHeight="false" outlineLevel="0" collapsed="false">
      <c r="A235" s="346" t="s">
        <v>228</v>
      </c>
      <c r="B235" s="347" t="n">
        <v>0</v>
      </c>
      <c r="C235" s="348" t="n">
        <v>55</v>
      </c>
      <c r="D235" s="348" t="n">
        <v>168</v>
      </c>
      <c r="E235" s="348" t="n">
        <v>157</v>
      </c>
      <c r="F235" s="348" t="n">
        <v>148</v>
      </c>
      <c r="G235" s="348" t="n">
        <v>125</v>
      </c>
      <c r="H235" s="348" t="n">
        <v>135</v>
      </c>
      <c r="I235" s="348" t="n">
        <v>141</v>
      </c>
      <c r="J235" s="348" t="n">
        <v>142</v>
      </c>
      <c r="K235" s="348" t="n">
        <v>141</v>
      </c>
      <c r="L235" s="348" t="n">
        <v>133</v>
      </c>
      <c r="M235" s="348" t="n">
        <v>127</v>
      </c>
      <c r="N235" s="348" t="n">
        <v>128</v>
      </c>
      <c r="O235" s="348" t="n">
        <v>60</v>
      </c>
      <c r="P235" s="348" t="n">
        <v>15</v>
      </c>
      <c r="Q235" s="348" t="n">
        <v>0</v>
      </c>
      <c r="R235" s="348" t="n">
        <v>0</v>
      </c>
      <c r="S235" s="348" t="n">
        <f aca="false">R235</f>
        <v>0</v>
      </c>
      <c r="T235" s="348" t="n">
        <f aca="false">S235</f>
        <v>0</v>
      </c>
      <c r="U235" s="348" t="n">
        <f aca="false">T235</f>
        <v>0</v>
      </c>
      <c r="V235" s="348" t="n">
        <f aca="false">U235</f>
        <v>0</v>
      </c>
      <c r="W235" s="348" t="n">
        <f aca="false">V235</f>
        <v>0</v>
      </c>
      <c r="X235" s="348" t="n">
        <f aca="false">W235</f>
        <v>0</v>
      </c>
      <c r="Y235" s="349" t="n">
        <v>0</v>
      </c>
    </row>
    <row r="236" customFormat="false" ht="12.75" hidden="false" customHeight="false" outlineLevel="0" collapsed="false">
      <c r="A236" s="334" t="s">
        <v>229</v>
      </c>
      <c r="B236" s="350" t="n">
        <f aca="false">(C235+B235)*(C234-B234)/2</f>
        <v>0.275</v>
      </c>
      <c r="C236" s="351" t="n">
        <f aca="false">(D235+C235)*(D234-C234)/2</f>
        <v>1.115</v>
      </c>
      <c r="D236" s="351" t="n">
        <f aca="false">(E235+D235)*(E234-D234)/2</f>
        <v>1.625</v>
      </c>
      <c r="E236" s="351" t="n">
        <f aca="false">(F235+E235)*(F234-E234)/2</f>
        <v>1.525</v>
      </c>
      <c r="F236" s="351" t="n">
        <f aca="false">(G235+F235)*(G234-F234)/2</f>
        <v>1.365</v>
      </c>
      <c r="G236" s="351" t="n">
        <f aca="false">(H235+G235)*(H234-G234)/2</f>
        <v>6.5</v>
      </c>
      <c r="H236" s="351" t="n">
        <f aca="false">(I235+H235)*(I234-H234)/2</f>
        <v>13.8</v>
      </c>
      <c r="I236" s="351" t="n">
        <f aca="false">(J235+I235)*(J234-I234)/2</f>
        <v>14.15</v>
      </c>
      <c r="J236" s="351" t="n">
        <f aca="false">(K235+J235)*(K234-J234)/2</f>
        <v>14.15</v>
      </c>
      <c r="K236" s="351" t="n">
        <f aca="false">(L235+K235)*(L234-K234)/2</f>
        <v>27.4</v>
      </c>
      <c r="L236" s="351" t="n">
        <f aca="false">(M235+L235)*(M234-L234)/2</f>
        <v>19.5</v>
      </c>
      <c r="M236" s="351" t="n">
        <f aca="false">(N235+M235)*(N234-M234)/2</f>
        <v>7.65000000000001</v>
      </c>
      <c r="N236" s="351" t="n">
        <f aca="false">(O235+N235)*(O234-N234)/2</f>
        <v>4.69999999999999</v>
      </c>
      <c r="O236" s="351" t="n">
        <f aca="false">(P235+O235)*(P234-O234)/2</f>
        <v>1.5</v>
      </c>
      <c r="P236" s="351" t="n">
        <f aca="false">(Q235+P235)*(Q234-P234)/2</f>
        <v>0.375</v>
      </c>
      <c r="Q236" s="351" t="n">
        <f aca="false">(R235+Q235)*(R234-Q234)/2</f>
        <v>0</v>
      </c>
      <c r="R236" s="351" t="n">
        <f aca="false">(S235+R235)*(S234-R234)/2</f>
        <v>0</v>
      </c>
      <c r="S236" s="351" t="n">
        <f aca="false">(T235+S235)*(T234-S234)/2</f>
        <v>0</v>
      </c>
      <c r="T236" s="351" t="n">
        <f aca="false">(U235+T235)*(U234-T234)/2</f>
        <v>0</v>
      </c>
      <c r="U236" s="351" t="n">
        <f aca="false">(V235+U235)*(V234-U234)/2</f>
        <v>0</v>
      </c>
      <c r="V236" s="351" t="n">
        <f aca="false">(W235+V235)*(W234-V234)/2</f>
        <v>0</v>
      </c>
      <c r="W236" s="351" t="n">
        <f aca="false">(X235+W235)*(X234-W234)/2</f>
        <v>0</v>
      </c>
      <c r="X236" s="351" t="n">
        <f aca="false">(Y235+X235)*(Y234-X234)/2</f>
        <v>0</v>
      </c>
      <c r="Y236" s="337"/>
    </row>
    <row r="237" customFormat="false" ht="12.75" hidden="false" customHeight="false" outlineLevel="0" collapsed="false">
      <c r="B237" s="338"/>
      <c r="C237" s="338"/>
      <c r="D237" s="338"/>
      <c r="E237" s="338"/>
      <c r="F237" s="338"/>
      <c r="G237" s="338"/>
      <c r="H237" s="338"/>
      <c r="I237" s="338"/>
      <c r="J237" s="338"/>
      <c r="K237" s="338"/>
      <c r="L237" s="338"/>
      <c r="M237" s="338"/>
      <c r="N237" s="338"/>
      <c r="O237" s="338"/>
      <c r="P237" s="338"/>
      <c r="Q237" s="338"/>
      <c r="R237" s="338"/>
      <c r="S237" s="338"/>
      <c r="T237" s="338"/>
      <c r="U237" s="338"/>
      <c r="V237" s="338"/>
      <c r="W237" s="338"/>
      <c r="X237" s="338"/>
      <c r="Y237" s="338"/>
    </row>
    <row r="238" customFormat="false" ht="13.5" hidden="false" customHeight="false" outlineLevel="0" collapsed="false">
      <c r="A238" s="339" t="s">
        <v>284</v>
      </c>
      <c r="B238" s="340" t="n">
        <f aca="false">ROW(A238)</f>
        <v>238</v>
      </c>
      <c r="C238" s="323" t="s">
        <v>212</v>
      </c>
      <c r="D238" s="324" t="n">
        <f aca="false">SUM(B241:Y241)</f>
        <v>158.048151</v>
      </c>
      <c r="E238" s="323" t="s">
        <v>213</v>
      </c>
      <c r="F238" s="325" t="n">
        <v>198</v>
      </c>
      <c r="G238" s="323" t="s">
        <v>214</v>
      </c>
      <c r="H238" s="341" t="n">
        <v>0.1945</v>
      </c>
      <c r="I238" s="323" t="s">
        <v>225</v>
      </c>
      <c r="J238" s="326" t="n">
        <f aca="false">H238-L238</f>
        <v>0.0896</v>
      </c>
      <c r="K238" s="323" t="s">
        <v>226</v>
      </c>
      <c r="L238" s="341" t="n">
        <v>0.1049</v>
      </c>
      <c r="M238" s="323" t="s">
        <v>217</v>
      </c>
      <c r="N238" s="342" t="n">
        <v>93</v>
      </c>
      <c r="O238" s="323" t="s">
        <v>218</v>
      </c>
      <c r="P238" s="342" t="n">
        <v>93</v>
      </c>
      <c r="Q238" s="323" t="s">
        <v>219</v>
      </c>
      <c r="R238" s="342" t="n">
        <v>187</v>
      </c>
      <c r="S238" s="323" t="s">
        <v>220</v>
      </c>
      <c r="T238" s="342" t="n">
        <v>29</v>
      </c>
      <c r="U238" s="323" t="s">
        <v>8</v>
      </c>
      <c r="V238" s="343" t="s">
        <v>256</v>
      </c>
      <c r="W238" s="329" t="s">
        <v>221</v>
      </c>
      <c r="X238" s="352" t="n">
        <v>1.27</v>
      </c>
      <c r="Y238" s="329" t="s">
        <v>222</v>
      </c>
      <c r="Z238" s="328" t="n">
        <v>14</v>
      </c>
    </row>
    <row r="239" customFormat="false" ht="12" hidden="false" customHeight="false" outlineLevel="0" collapsed="false">
      <c r="A239" s="321" t="s">
        <v>227</v>
      </c>
      <c r="B239" s="353" t="n">
        <v>0</v>
      </c>
      <c r="C239" s="353" t="n">
        <v>0.004</v>
      </c>
      <c r="D239" s="353" t="n">
        <v>0.022</v>
      </c>
      <c r="E239" s="353" t="n">
        <v>0.039</v>
      </c>
      <c r="F239" s="353" t="n">
        <v>0.122</v>
      </c>
      <c r="G239" s="353" t="n">
        <v>0.236</v>
      </c>
      <c r="H239" s="353" t="n">
        <v>0.589</v>
      </c>
      <c r="I239" s="353" t="n">
        <v>0.801</v>
      </c>
      <c r="J239" s="353" t="n">
        <v>1.068</v>
      </c>
      <c r="K239" s="353" t="n">
        <v>1.118</v>
      </c>
      <c r="L239" s="353" t="n">
        <v>1.145</v>
      </c>
      <c r="M239" s="353" t="n">
        <v>1.174</v>
      </c>
      <c r="N239" s="353" t="n">
        <v>1.211</v>
      </c>
      <c r="O239" s="353" t="n">
        <v>1.247</v>
      </c>
      <c r="P239" s="353" t="n">
        <v>1.299</v>
      </c>
      <c r="Q239" s="345" t="n">
        <v>2</v>
      </c>
      <c r="R239" s="345" t="n">
        <v>2</v>
      </c>
      <c r="S239" s="345" t="n">
        <f aca="false">R239</f>
        <v>2</v>
      </c>
      <c r="T239" s="345" t="n">
        <f aca="false">S239</f>
        <v>2</v>
      </c>
      <c r="U239" s="345" t="n">
        <f aca="false">T239</f>
        <v>2</v>
      </c>
      <c r="V239" s="345" t="n">
        <f aca="false">U239</f>
        <v>2</v>
      </c>
      <c r="W239" s="345" t="n">
        <f aca="false">V239</f>
        <v>2</v>
      </c>
      <c r="X239" s="345" t="n">
        <f aca="false">W239</f>
        <v>2</v>
      </c>
      <c r="Y239" s="333" t="n">
        <v>1000</v>
      </c>
    </row>
    <row r="240" customFormat="false" ht="12" hidden="false" customHeight="false" outlineLevel="0" collapsed="false">
      <c r="A240" s="346" t="s">
        <v>228</v>
      </c>
      <c r="B240" s="353" t="n">
        <v>0</v>
      </c>
      <c r="C240" s="353" t="n">
        <v>15.683</v>
      </c>
      <c r="D240" s="353" t="n">
        <v>170.834</v>
      </c>
      <c r="E240" s="353" t="n">
        <v>116.877</v>
      </c>
      <c r="F240" s="353" t="n">
        <v>142.642</v>
      </c>
      <c r="G240" s="353" t="n">
        <v>149.737</v>
      </c>
      <c r="H240" s="353" t="n">
        <v>142.642</v>
      </c>
      <c r="I240" s="353" t="n">
        <v>131.253</v>
      </c>
      <c r="J240" s="353" t="n">
        <v>122.104</v>
      </c>
      <c r="K240" s="353" t="n">
        <v>107.915</v>
      </c>
      <c r="L240" s="353" t="n">
        <v>78.416</v>
      </c>
      <c r="M240" s="353" t="n">
        <v>43.129</v>
      </c>
      <c r="N240" s="353" t="n">
        <v>21.471</v>
      </c>
      <c r="O240" s="353" t="n">
        <v>8.775</v>
      </c>
      <c r="P240" s="353" t="n">
        <v>0</v>
      </c>
      <c r="Q240" s="348" t="n">
        <v>0</v>
      </c>
      <c r="R240" s="348" t="n">
        <v>0</v>
      </c>
      <c r="S240" s="348" t="n">
        <f aca="false">R240</f>
        <v>0</v>
      </c>
      <c r="T240" s="348" t="n">
        <f aca="false">S240</f>
        <v>0</v>
      </c>
      <c r="U240" s="348" t="n">
        <f aca="false">T240</f>
        <v>0</v>
      </c>
      <c r="V240" s="348" t="n">
        <f aca="false">U240</f>
        <v>0</v>
      </c>
      <c r="W240" s="348" t="n">
        <f aca="false">V240</f>
        <v>0</v>
      </c>
      <c r="X240" s="348" t="n">
        <f aca="false">W240</f>
        <v>0</v>
      </c>
      <c r="Y240" s="349" t="n">
        <v>0</v>
      </c>
    </row>
    <row r="241" customFormat="false" ht="12.75" hidden="false" customHeight="false" outlineLevel="0" collapsed="false">
      <c r="A241" s="334" t="s">
        <v>229</v>
      </c>
      <c r="B241" s="350" t="n">
        <f aca="false">(C240+B240)*(C239-B239)/2</f>
        <v>0.031366</v>
      </c>
      <c r="C241" s="351" t="n">
        <f aca="false">(D240+C240)*(D239-C239)/2</f>
        <v>1.678653</v>
      </c>
      <c r="D241" s="351" t="n">
        <f aca="false">(E240+D240)*(E239-D239)/2</f>
        <v>2.4455435</v>
      </c>
      <c r="E241" s="351" t="n">
        <f aca="false">(F240+E240)*(F239-E239)/2</f>
        <v>10.7700385</v>
      </c>
      <c r="F241" s="351" t="n">
        <f aca="false">(G240+F240)*(G239-F239)/2</f>
        <v>16.665603</v>
      </c>
      <c r="G241" s="351" t="n">
        <f aca="false">(H240+G240)*(H239-G239)/2</f>
        <v>51.6048935</v>
      </c>
      <c r="H241" s="351" t="n">
        <f aca="false">(I240+H240)*(I239-H239)/2</f>
        <v>29.03287</v>
      </c>
      <c r="I241" s="351" t="n">
        <f aca="false">(J240+I240)*(J239-I239)/2</f>
        <v>33.8231595</v>
      </c>
      <c r="J241" s="351" t="n">
        <f aca="false">(K240+J240)*(K239-J239)/2</f>
        <v>5.75047500000001</v>
      </c>
      <c r="K241" s="351" t="n">
        <f aca="false">(L240+K240)*(L239-K239)/2</f>
        <v>2.51546849999999</v>
      </c>
      <c r="L241" s="351" t="n">
        <f aca="false">(M240+L240)*(M239-L239)/2</f>
        <v>1.76240249999999</v>
      </c>
      <c r="M241" s="351" t="n">
        <f aca="false">(N240+M240)*(N239-M239)/2</f>
        <v>1.1951</v>
      </c>
      <c r="N241" s="351" t="n">
        <f aca="false">(O240+N240)*(O239-N239)/2</f>
        <v>0.544428000000001</v>
      </c>
      <c r="O241" s="351" t="n">
        <f aca="false">(P240+O240)*(P239-O239)/2</f>
        <v>0.228149999999999</v>
      </c>
      <c r="P241" s="351" t="n">
        <f aca="false">(Q240+P240)*(Q239-P239)/2</f>
        <v>0</v>
      </c>
      <c r="Q241" s="351" t="n">
        <f aca="false">(R240+Q240)*(R239-Q239)/2</f>
        <v>0</v>
      </c>
      <c r="R241" s="351" t="n">
        <f aca="false">(S240+R240)*(S239-R239)/2</f>
        <v>0</v>
      </c>
      <c r="S241" s="351" t="n">
        <f aca="false">(T240+S240)*(T239-S239)/2</f>
        <v>0</v>
      </c>
      <c r="T241" s="351" t="n">
        <f aca="false">(U240+T240)*(U239-T239)/2</f>
        <v>0</v>
      </c>
      <c r="U241" s="351" t="n">
        <f aca="false">(V240+U240)*(V239-U239)/2</f>
        <v>0</v>
      </c>
      <c r="V241" s="351" t="n">
        <f aca="false">(W240+V240)*(W239-V239)/2</f>
        <v>0</v>
      </c>
      <c r="W241" s="351" t="n">
        <f aca="false">(X240+W240)*(X239-W239)/2</f>
        <v>0</v>
      </c>
      <c r="X241" s="351" t="n">
        <f aca="false">(Y240+X240)*(Y239-X239)/2</f>
        <v>0</v>
      </c>
      <c r="Y241" s="337"/>
    </row>
    <row r="242" customFormat="false" ht="13.5" hidden="false" customHeight="false" outlineLevel="0" collapsed="false">
      <c r="A242" s="171" t="s">
        <v>285</v>
      </c>
      <c r="B242" s="338"/>
      <c r="C242" s="338"/>
      <c r="D242" s="338"/>
      <c r="E242" s="338"/>
      <c r="F242" s="338"/>
      <c r="G242" s="338"/>
      <c r="H242" s="338"/>
      <c r="I242" s="338"/>
      <c r="J242" s="338"/>
      <c r="K242" s="338"/>
      <c r="L242" s="338"/>
      <c r="M242" s="338"/>
      <c r="N242" s="338"/>
      <c r="O242" s="338"/>
      <c r="P242" s="338"/>
      <c r="Q242" s="338"/>
      <c r="R242" s="338"/>
      <c r="S242" s="338"/>
      <c r="T242" s="338"/>
      <c r="U242" s="338"/>
      <c r="V242" s="338"/>
      <c r="W242" s="338"/>
      <c r="X242" s="338"/>
      <c r="Y242" s="338"/>
    </row>
    <row r="243" customFormat="false" ht="13.5" hidden="false" customHeight="false" outlineLevel="0" collapsed="false">
      <c r="A243" s="339" t="s">
        <v>286</v>
      </c>
      <c r="B243" s="340" t="n">
        <f aca="false">ROW(A243)</f>
        <v>243</v>
      </c>
      <c r="C243" s="323" t="s">
        <v>212</v>
      </c>
      <c r="D243" s="324" t="n">
        <f aca="false">SUM(B246:Y246)</f>
        <v>136.75235</v>
      </c>
      <c r="E243" s="323" t="s">
        <v>213</v>
      </c>
      <c r="F243" s="325" t="n">
        <f aca="false">D243/g/J243</f>
        <v>152.350785136166</v>
      </c>
      <c r="G243" s="323" t="s">
        <v>214</v>
      </c>
      <c r="H243" s="341" t="n">
        <v>0.2125</v>
      </c>
      <c r="I243" s="323" t="s">
        <v>225</v>
      </c>
      <c r="J243" s="326" t="n">
        <f aca="false">H243-L243</f>
        <v>0.0915</v>
      </c>
      <c r="K243" s="323" t="s">
        <v>226</v>
      </c>
      <c r="L243" s="341" t="n">
        <v>0.121</v>
      </c>
      <c r="M243" s="323" t="s">
        <v>217</v>
      </c>
      <c r="N243" s="342" t="n">
        <v>63</v>
      </c>
      <c r="O243" s="323" t="s">
        <v>218</v>
      </c>
      <c r="P243" s="342" t="n">
        <v>114</v>
      </c>
      <c r="Q243" s="323" t="s">
        <v>219</v>
      </c>
      <c r="R243" s="342" t="n">
        <v>127</v>
      </c>
      <c r="S243" s="323" t="s">
        <v>220</v>
      </c>
      <c r="T243" s="342" t="n">
        <v>38</v>
      </c>
      <c r="U243" s="323" t="s">
        <v>8</v>
      </c>
      <c r="V243" s="343" t="s">
        <v>256</v>
      </c>
      <c r="W243" s="329" t="s">
        <v>221</v>
      </c>
      <c r="X243" s="352" t="n">
        <v>2.36</v>
      </c>
      <c r="Y243" s="329" t="s">
        <v>222</v>
      </c>
      <c r="Z243" s="328" t="n">
        <v>13</v>
      </c>
    </row>
    <row r="244" customFormat="false" ht="12" hidden="false" customHeight="false" outlineLevel="0" collapsed="false">
      <c r="A244" s="321" t="s">
        <v>227</v>
      </c>
      <c r="B244" s="344" t="n">
        <v>0</v>
      </c>
      <c r="C244" s="345" t="n">
        <v>0.029</v>
      </c>
      <c r="D244" s="345" t="n">
        <v>0.046</v>
      </c>
      <c r="E244" s="345" t="n">
        <v>0.058</v>
      </c>
      <c r="F244" s="345" t="n">
        <v>0.084</v>
      </c>
      <c r="G244" s="345" t="n">
        <v>0.171</v>
      </c>
      <c r="H244" s="345" t="n">
        <v>0.28</v>
      </c>
      <c r="I244" s="345" t="n">
        <v>0.455</v>
      </c>
      <c r="J244" s="345" t="n">
        <v>0.586</v>
      </c>
      <c r="K244" s="345" t="n">
        <v>0.741</v>
      </c>
      <c r="L244" s="345" t="n">
        <v>0.952</v>
      </c>
      <c r="M244" s="345" t="n">
        <v>1.217</v>
      </c>
      <c r="N244" s="345" t="n">
        <v>1.43</v>
      </c>
      <c r="O244" s="345" t="n">
        <v>1.626</v>
      </c>
      <c r="P244" s="345" t="n">
        <v>1.807</v>
      </c>
      <c r="Q244" s="345" t="n">
        <v>1.959</v>
      </c>
      <c r="R244" s="345" t="n">
        <v>2.104</v>
      </c>
      <c r="S244" s="345" t="n">
        <v>2.168</v>
      </c>
      <c r="T244" s="345" t="n">
        <v>2.21</v>
      </c>
      <c r="U244" s="345" t="n">
        <v>2.247</v>
      </c>
      <c r="V244" s="345" t="n">
        <v>2.329</v>
      </c>
      <c r="W244" s="345" t="n">
        <f aca="false">2.4</f>
        <v>2.4</v>
      </c>
      <c r="X244" s="345" t="n">
        <f aca="false">W244</f>
        <v>2.4</v>
      </c>
      <c r="Y244" s="333" t="n">
        <v>1000</v>
      </c>
    </row>
    <row r="245" customFormat="false" ht="12" hidden="false" customHeight="false" outlineLevel="0" collapsed="false">
      <c r="A245" s="346" t="s">
        <v>228</v>
      </c>
      <c r="B245" s="347" t="n">
        <v>0</v>
      </c>
      <c r="C245" s="348" t="n">
        <v>90.25</v>
      </c>
      <c r="D245" s="348" t="n">
        <v>69.17</v>
      </c>
      <c r="E245" s="348" t="n">
        <v>59.947</v>
      </c>
      <c r="F245" s="348" t="n">
        <v>47.167</v>
      </c>
      <c r="G245" s="348" t="n">
        <v>57.971</v>
      </c>
      <c r="H245" s="348" t="n">
        <v>59.552</v>
      </c>
      <c r="I245" s="348" t="n">
        <v>61.265</v>
      </c>
      <c r="J245" s="348" t="n">
        <v>61.66</v>
      </c>
      <c r="K245" s="348" t="n">
        <v>62.319</v>
      </c>
      <c r="L245" s="348" t="n">
        <v>63.768</v>
      </c>
      <c r="M245" s="348" t="n">
        <v>64.69</v>
      </c>
      <c r="N245" s="348" t="n">
        <v>63.768</v>
      </c>
      <c r="O245" s="348" t="n">
        <v>61.265</v>
      </c>
      <c r="P245" s="348" t="n">
        <v>58.103</v>
      </c>
      <c r="Q245" s="348" t="n">
        <v>53.887</v>
      </c>
      <c r="R245" s="348" t="n">
        <v>48.353</v>
      </c>
      <c r="S245" s="348" t="n">
        <v>47.563</v>
      </c>
      <c r="T245" s="348" t="n">
        <v>44.005</v>
      </c>
      <c r="U245" s="348" t="n">
        <v>37.286</v>
      </c>
      <c r="V245" s="348" t="n">
        <v>22.266</v>
      </c>
      <c r="W245" s="348" t="n">
        <v>0</v>
      </c>
      <c r="X245" s="348" t="n">
        <f aca="false">W245</f>
        <v>0</v>
      </c>
      <c r="Y245" s="349" t="n">
        <v>0</v>
      </c>
    </row>
    <row r="246" customFormat="false" ht="12.75" hidden="false" customHeight="false" outlineLevel="0" collapsed="false">
      <c r="A246" s="334" t="s">
        <v>229</v>
      </c>
      <c r="B246" s="350" t="n">
        <f aca="false">(C245+B245)*(C244-B244)/2</f>
        <v>1.308625</v>
      </c>
      <c r="C246" s="351" t="n">
        <f aca="false">(D245+C245)*(D244-C244)/2</f>
        <v>1.35507</v>
      </c>
      <c r="D246" s="351" t="n">
        <f aca="false">(E245+D245)*(E244-D244)/2</f>
        <v>0.774702</v>
      </c>
      <c r="E246" s="351" t="n">
        <f aca="false">(F245+E245)*(F244-E244)/2</f>
        <v>1.392482</v>
      </c>
      <c r="F246" s="351" t="n">
        <f aca="false">(G245+F245)*(G244-F244)/2</f>
        <v>4.573503</v>
      </c>
      <c r="G246" s="351" t="n">
        <f aca="false">(H245+G245)*(H244-G244)/2</f>
        <v>6.4050035</v>
      </c>
      <c r="H246" s="351" t="n">
        <f aca="false">(I245+H245)*(I244-H244)/2</f>
        <v>10.5714875</v>
      </c>
      <c r="I246" s="351" t="n">
        <f aca="false">(J245+I245)*(J244-I244)/2</f>
        <v>8.0515875</v>
      </c>
      <c r="J246" s="351" t="n">
        <f aca="false">(K245+J245)*(K244-J244)/2</f>
        <v>9.6083725</v>
      </c>
      <c r="K246" s="351" t="n">
        <f aca="false">(L245+K245)*(L244-K244)/2</f>
        <v>13.3021785</v>
      </c>
      <c r="L246" s="351" t="n">
        <f aca="false">(M245+L245)*(M244-L244)/2</f>
        <v>17.020685</v>
      </c>
      <c r="M246" s="351" t="n">
        <f aca="false">(N245+M245)*(N244-M244)/2</f>
        <v>13.680777</v>
      </c>
      <c r="N246" s="351" t="n">
        <f aca="false">(O245+N245)*(O244-N244)/2</f>
        <v>12.253234</v>
      </c>
      <c r="O246" s="351" t="n">
        <f aca="false">(P245+O245)*(P244-O244)/2</f>
        <v>10.802804</v>
      </c>
      <c r="P246" s="351" t="n">
        <f aca="false">(Q245+P245)*(Q244-P244)/2</f>
        <v>8.51124000000001</v>
      </c>
      <c r="Q246" s="351" t="n">
        <f aca="false">(R245+Q245)*(R244-Q244)/2</f>
        <v>7.4124</v>
      </c>
      <c r="R246" s="351" t="n">
        <f aca="false">(S245+R245)*(S244-R244)/2</f>
        <v>3.069312</v>
      </c>
      <c r="S246" s="351" t="n">
        <f aca="false">(T245+S245)*(T244-S244)/2</f>
        <v>1.92292799999999</v>
      </c>
      <c r="T246" s="351" t="n">
        <f aca="false">(U245+T245)*(U244-T244)/2</f>
        <v>1.5038835</v>
      </c>
      <c r="U246" s="351" t="n">
        <f aca="false">(V245+U245)*(V244-U244)/2</f>
        <v>2.44163200000001</v>
      </c>
      <c r="V246" s="351" t="n">
        <f aca="false">(W245+V245)*(W244-V244)/2</f>
        <v>0.790442999999997</v>
      </c>
      <c r="W246" s="351" t="n">
        <f aca="false">(X245+W245)*(X244-W244)/2</f>
        <v>0</v>
      </c>
      <c r="X246" s="351" t="n">
        <f aca="false">(Y245+X245)*(Y244-X244)/2</f>
        <v>0</v>
      </c>
      <c r="Y246" s="337"/>
    </row>
    <row r="247" customFormat="false" ht="12.75" hidden="false" customHeight="false" outlineLevel="0" collapsed="false">
      <c r="B247" s="338"/>
      <c r="C247" s="338"/>
      <c r="D247" s="338"/>
      <c r="E247" s="338"/>
      <c r="F247" s="338"/>
      <c r="G247" s="338"/>
      <c r="H247" s="338"/>
      <c r="I247" s="338"/>
      <c r="J247" s="338"/>
      <c r="K247" s="338"/>
      <c r="L247" s="338"/>
      <c r="M247" s="338"/>
      <c r="N247" s="338"/>
      <c r="O247" s="338"/>
      <c r="P247" s="338"/>
      <c r="Q247" s="338"/>
      <c r="R247" s="338"/>
      <c r="S247" s="338"/>
      <c r="T247" s="338"/>
      <c r="U247" s="338"/>
      <c r="V247" s="338"/>
      <c r="W247" s="338"/>
      <c r="X247" s="338"/>
      <c r="Y247" s="338"/>
    </row>
    <row r="248" customFormat="false" ht="13.5" hidden="false" customHeight="false" outlineLevel="0" collapsed="false">
      <c r="A248" s="339" t="s">
        <v>287</v>
      </c>
      <c r="B248" s="340" t="n">
        <f aca="false">ROW(A248)</f>
        <v>248</v>
      </c>
      <c r="C248" s="323" t="s">
        <v>212</v>
      </c>
      <c r="D248" s="324" t="n">
        <f aca="false">SUM(B251:Y251)</f>
        <v>127.06945</v>
      </c>
      <c r="E248" s="323" t="s">
        <v>213</v>
      </c>
      <c r="F248" s="325" t="n">
        <f aca="false">D248/g/J248</f>
        <v>180.656248356145</v>
      </c>
      <c r="G248" s="323" t="s">
        <v>214</v>
      </c>
      <c r="H248" s="341" t="n">
        <v>0.1884</v>
      </c>
      <c r="I248" s="323" t="s">
        <v>225</v>
      </c>
      <c r="J248" s="326" t="n">
        <f aca="false">H248-L248</f>
        <v>0.0717</v>
      </c>
      <c r="K248" s="323" t="s">
        <v>226</v>
      </c>
      <c r="L248" s="341" t="n">
        <v>0.1167</v>
      </c>
      <c r="M248" s="323" t="s">
        <v>217</v>
      </c>
      <c r="N248" s="342" t="n">
        <v>63</v>
      </c>
      <c r="O248" s="323" t="s">
        <v>218</v>
      </c>
      <c r="P248" s="342" t="n">
        <v>114</v>
      </c>
      <c r="Q248" s="323" t="s">
        <v>219</v>
      </c>
      <c r="R248" s="342" t="n">
        <v>127</v>
      </c>
      <c r="S248" s="323" t="s">
        <v>220</v>
      </c>
      <c r="T248" s="342" t="n">
        <v>38</v>
      </c>
      <c r="U248" s="323" t="s">
        <v>8</v>
      </c>
      <c r="V248" s="343" t="s">
        <v>256</v>
      </c>
      <c r="W248" s="329" t="s">
        <v>221</v>
      </c>
      <c r="X248" s="352" t="n">
        <v>0.69</v>
      </c>
      <c r="Y248" s="329" t="s">
        <v>222</v>
      </c>
      <c r="Z248" s="328" t="n">
        <v>12</v>
      </c>
    </row>
    <row r="249" customFormat="false" ht="12" hidden="false" customHeight="false" outlineLevel="0" collapsed="false">
      <c r="A249" s="321" t="s">
        <v>227</v>
      </c>
      <c r="B249" s="344" t="n">
        <v>0</v>
      </c>
      <c r="C249" s="345" t="n">
        <v>0.01</v>
      </c>
      <c r="D249" s="345" t="n">
        <v>0.02</v>
      </c>
      <c r="E249" s="345" t="n">
        <v>0.05</v>
      </c>
      <c r="F249" s="345" t="n">
        <v>0.1</v>
      </c>
      <c r="G249" s="345" t="n">
        <v>0.2</v>
      </c>
      <c r="H249" s="345" t="n">
        <v>0.3</v>
      </c>
      <c r="I249" s="345" t="n">
        <v>0.35</v>
      </c>
      <c r="J249" s="345" t="n">
        <v>0.4</v>
      </c>
      <c r="K249" s="345" t="n">
        <v>0.45</v>
      </c>
      <c r="L249" s="345" t="n">
        <v>0.5</v>
      </c>
      <c r="M249" s="345" t="n">
        <v>0.55</v>
      </c>
      <c r="N249" s="345" t="n">
        <v>0.6</v>
      </c>
      <c r="O249" s="345" t="n">
        <v>0.61</v>
      </c>
      <c r="P249" s="345" t="n">
        <v>0.63</v>
      </c>
      <c r="Q249" s="345" t="n">
        <v>0.64</v>
      </c>
      <c r="R249" s="345" t="n">
        <v>0.65</v>
      </c>
      <c r="S249" s="345" t="n">
        <v>0.67</v>
      </c>
      <c r="T249" s="345" t="n">
        <v>0.68</v>
      </c>
      <c r="U249" s="345" t="n">
        <v>0.69</v>
      </c>
      <c r="V249" s="345" t="n">
        <f aca="false">U249</f>
        <v>0.69</v>
      </c>
      <c r="W249" s="345" t="n">
        <f aca="false">V249</f>
        <v>0.69</v>
      </c>
      <c r="X249" s="345" t="n">
        <v>2</v>
      </c>
      <c r="Y249" s="333" t="n">
        <v>1000</v>
      </c>
    </row>
    <row r="250" customFormat="false" ht="12" hidden="false" customHeight="false" outlineLevel="0" collapsed="false">
      <c r="A250" s="346" t="s">
        <v>228</v>
      </c>
      <c r="B250" s="347" t="n">
        <v>0</v>
      </c>
      <c r="C250" s="348" t="n">
        <v>108.72</v>
      </c>
      <c r="D250" s="348" t="n">
        <v>131.19</v>
      </c>
      <c r="E250" s="348" t="n">
        <v>153.14</v>
      </c>
      <c r="F250" s="348" t="n">
        <v>168.97</v>
      </c>
      <c r="G250" s="348" t="n">
        <v>189.92</v>
      </c>
      <c r="H250" s="348" t="n">
        <v>199.95</v>
      </c>
      <c r="I250" s="348" t="n">
        <v>203.59</v>
      </c>
      <c r="J250" s="348" t="n">
        <v>205.03</v>
      </c>
      <c r="K250" s="348" t="n">
        <v>202.6</v>
      </c>
      <c r="L250" s="348" t="n">
        <v>203.06</v>
      </c>
      <c r="M250" s="348" t="n">
        <v>199.34</v>
      </c>
      <c r="N250" s="348" t="n">
        <v>194.71</v>
      </c>
      <c r="O250" s="348" t="n">
        <v>194.1</v>
      </c>
      <c r="P250" s="348" t="n">
        <v>193.49</v>
      </c>
      <c r="Q250" s="348" t="n">
        <v>193.68</v>
      </c>
      <c r="R250" s="348" t="n">
        <v>202.91</v>
      </c>
      <c r="S250" s="348" t="n">
        <v>163.39</v>
      </c>
      <c r="T250" s="348" t="n">
        <v>80.44</v>
      </c>
      <c r="U250" s="348" t="n">
        <v>0</v>
      </c>
      <c r="V250" s="348" t="n">
        <f aca="false">U250</f>
        <v>0</v>
      </c>
      <c r="W250" s="348" t="n">
        <f aca="false">V250</f>
        <v>0</v>
      </c>
      <c r="X250" s="348" t="n">
        <f aca="false">W250</f>
        <v>0</v>
      </c>
      <c r="Y250" s="349" t="n">
        <v>0</v>
      </c>
    </row>
    <row r="251" customFormat="false" ht="12.75" hidden="false" customHeight="false" outlineLevel="0" collapsed="false">
      <c r="A251" s="334" t="s">
        <v>229</v>
      </c>
      <c r="B251" s="350" t="n">
        <f aca="false">(C250+B250)*(C249-B249)/2</f>
        <v>0.5436</v>
      </c>
      <c r="C251" s="351" t="n">
        <f aca="false">(D250+C250)*(D249-C249)/2</f>
        <v>1.19955</v>
      </c>
      <c r="D251" s="351" t="n">
        <f aca="false">(E250+D250)*(E249-D249)/2</f>
        <v>4.26495</v>
      </c>
      <c r="E251" s="351" t="n">
        <f aca="false">(F250+E250)*(F249-E249)/2</f>
        <v>8.05275</v>
      </c>
      <c r="F251" s="351" t="n">
        <f aca="false">(G250+F250)*(G249-F249)/2</f>
        <v>17.9445</v>
      </c>
      <c r="G251" s="351" t="n">
        <f aca="false">(H250+G250)*(H249-G249)/2</f>
        <v>19.4935</v>
      </c>
      <c r="H251" s="351" t="n">
        <f aca="false">(I250+H250)*(I249-H249)/2</f>
        <v>10.0885</v>
      </c>
      <c r="I251" s="351" t="n">
        <f aca="false">(J250+I250)*(J249-I249)/2</f>
        <v>10.2155</v>
      </c>
      <c r="J251" s="351" t="n">
        <f aca="false">(K250+J250)*(K249-J249)/2</f>
        <v>10.19075</v>
      </c>
      <c r="K251" s="351" t="n">
        <f aca="false">(L250+K250)*(L249-K249)/2</f>
        <v>10.1415</v>
      </c>
      <c r="L251" s="351" t="n">
        <f aca="false">(M250+L250)*(M249-L249)/2</f>
        <v>10.06</v>
      </c>
      <c r="M251" s="351" t="n">
        <f aca="false">(N250+M250)*(N249-M249)/2</f>
        <v>9.85124999999999</v>
      </c>
      <c r="N251" s="351" t="n">
        <f aca="false">(O250+N250)*(O249-N249)/2</f>
        <v>1.94405</v>
      </c>
      <c r="O251" s="351" t="n">
        <f aca="false">(P250+O250)*(P249-O249)/2</f>
        <v>3.8759</v>
      </c>
      <c r="P251" s="351" t="n">
        <f aca="false">(Q250+P250)*(Q249-P249)/2</f>
        <v>1.93585</v>
      </c>
      <c r="Q251" s="351" t="n">
        <f aca="false">(R250+Q250)*(R249-Q249)/2</f>
        <v>1.98295</v>
      </c>
      <c r="R251" s="351" t="n">
        <f aca="false">(S250+R250)*(S249-R249)/2</f>
        <v>3.663</v>
      </c>
      <c r="S251" s="351" t="n">
        <f aca="false">(T250+S250)*(T249-S249)/2</f>
        <v>1.21915</v>
      </c>
      <c r="T251" s="351" t="n">
        <f aca="false">(U250+T250)*(U249-T249)/2</f>
        <v>0.402199999999996</v>
      </c>
      <c r="U251" s="351" t="n">
        <f aca="false">(V250+U250)*(V249-U249)/2</f>
        <v>0</v>
      </c>
      <c r="V251" s="351" t="n">
        <f aca="false">(W250+V250)*(W249-V249)/2</f>
        <v>0</v>
      </c>
      <c r="W251" s="351" t="n">
        <f aca="false">(X250+W250)*(X249-W249)/2</f>
        <v>0</v>
      </c>
      <c r="X251" s="351" t="n">
        <f aca="false">(Y250+X250)*(Y249-X249)/2</f>
        <v>0</v>
      </c>
      <c r="Y251" s="337"/>
    </row>
    <row r="252" customFormat="false" ht="12.75" hidden="false" customHeight="false" outlineLevel="0" collapsed="false">
      <c r="B252" s="338"/>
      <c r="C252" s="338"/>
      <c r="D252" s="338"/>
      <c r="E252" s="338"/>
      <c r="F252" s="338"/>
      <c r="G252" s="338"/>
      <c r="H252" s="338"/>
      <c r="I252" s="338"/>
      <c r="J252" s="338"/>
      <c r="K252" s="338"/>
      <c r="L252" s="338"/>
      <c r="M252" s="338"/>
      <c r="N252" s="338"/>
      <c r="O252" s="338"/>
      <c r="P252" s="338"/>
      <c r="Q252" s="338"/>
      <c r="R252" s="338"/>
      <c r="S252" s="338"/>
      <c r="T252" s="338"/>
      <c r="U252" s="338"/>
      <c r="V252" s="338"/>
      <c r="W252" s="338"/>
      <c r="X252" s="338"/>
      <c r="Y252" s="338"/>
    </row>
    <row r="253" customFormat="false" ht="13.5" hidden="false" customHeight="false" outlineLevel="0" collapsed="false">
      <c r="A253" s="339" t="s">
        <v>288</v>
      </c>
      <c r="B253" s="340" t="n">
        <f aca="false">ROW(A253)</f>
        <v>253</v>
      </c>
      <c r="C253" s="323" t="s">
        <v>212</v>
      </c>
      <c r="D253" s="324" t="n">
        <f aca="false">SUM(B256:Y256)</f>
        <v>142.7236025</v>
      </c>
      <c r="E253" s="323" t="s">
        <v>213</v>
      </c>
      <c r="F253" s="325" t="n">
        <v>208</v>
      </c>
      <c r="G253" s="323" t="s">
        <v>214</v>
      </c>
      <c r="H253" s="341" t="n">
        <v>0.197</v>
      </c>
      <c r="I253" s="323" t="s">
        <v>225</v>
      </c>
      <c r="J253" s="326" t="n">
        <f aca="false">H253-L253</f>
        <v>0.07</v>
      </c>
      <c r="K253" s="323" t="s">
        <v>226</v>
      </c>
      <c r="L253" s="341" t="n">
        <v>0.127</v>
      </c>
      <c r="M253" s="323" t="s">
        <v>217</v>
      </c>
      <c r="N253" s="342" t="n">
        <v>63</v>
      </c>
      <c r="O253" s="323" t="s">
        <v>218</v>
      </c>
      <c r="P253" s="342" t="n">
        <v>114</v>
      </c>
      <c r="Q253" s="323" t="s">
        <v>219</v>
      </c>
      <c r="R253" s="342" t="n">
        <v>127</v>
      </c>
      <c r="S253" s="323" t="s">
        <v>220</v>
      </c>
      <c r="T253" s="342" t="n">
        <v>38</v>
      </c>
      <c r="U253" s="323" t="s">
        <v>8</v>
      </c>
      <c r="V253" s="343" t="s">
        <v>256</v>
      </c>
      <c r="W253" s="329" t="s">
        <v>221</v>
      </c>
      <c r="X253" s="352" t="n">
        <v>1.8</v>
      </c>
      <c r="Y253" s="329" t="s">
        <v>222</v>
      </c>
      <c r="Z253" s="328" t="n">
        <v>15</v>
      </c>
    </row>
    <row r="254" customFormat="false" ht="12" hidden="false" customHeight="false" outlineLevel="0" collapsed="false">
      <c r="A254" s="321" t="s">
        <v>227</v>
      </c>
      <c r="B254" s="344" t="n">
        <v>0</v>
      </c>
      <c r="C254" s="344" t="n">
        <v>0.006</v>
      </c>
      <c r="D254" s="345" t="n">
        <v>0.018</v>
      </c>
      <c r="E254" s="345" t="n">
        <v>0.036</v>
      </c>
      <c r="F254" s="345" t="n">
        <v>0.047</v>
      </c>
      <c r="G254" s="345" t="n">
        <v>0.084</v>
      </c>
      <c r="H254" s="345" t="n">
        <v>0.135</v>
      </c>
      <c r="I254" s="345" t="n">
        <v>0.238</v>
      </c>
      <c r="J254" s="345" t="n">
        <v>0.438</v>
      </c>
      <c r="K254" s="345" t="n">
        <v>0.63</v>
      </c>
      <c r="L254" s="345" t="n">
        <v>0.859</v>
      </c>
      <c r="M254" s="345" t="n">
        <v>1.283</v>
      </c>
      <c r="N254" s="345" t="n">
        <v>1.447</v>
      </c>
      <c r="O254" s="345" t="n">
        <v>1.643</v>
      </c>
      <c r="P254" s="345" t="n">
        <v>1.713</v>
      </c>
      <c r="Q254" s="345" t="n">
        <v>1.743</v>
      </c>
      <c r="R254" s="345" t="n">
        <v>1.79</v>
      </c>
      <c r="S254" s="345" t="n">
        <v>1.818</v>
      </c>
      <c r="T254" s="345" t="n">
        <v>1.852</v>
      </c>
      <c r="U254" s="345" t="n">
        <v>2</v>
      </c>
      <c r="V254" s="345" t="n">
        <f aca="false">U254</f>
        <v>2</v>
      </c>
      <c r="W254" s="345" t="n">
        <f aca="false">V254</f>
        <v>2</v>
      </c>
      <c r="X254" s="345" t="n">
        <f aca="false">W254</f>
        <v>2</v>
      </c>
      <c r="Y254" s="333" t="n">
        <v>1000</v>
      </c>
    </row>
    <row r="255" customFormat="false" ht="12" hidden="false" customHeight="false" outlineLevel="0" collapsed="false">
      <c r="A255" s="346" t="s">
        <v>228</v>
      </c>
      <c r="B255" s="347" t="n">
        <v>0</v>
      </c>
      <c r="C255" s="347" t="n">
        <v>104.068</v>
      </c>
      <c r="D255" s="348" t="n">
        <v>137.928</v>
      </c>
      <c r="E255" s="348" t="n">
        <v>70.707</v>
      </c>
      <c r="F255" s="348" t="n">
        <v>62.242</v>
      </c>
      <c r="G255" s="348" t="n">
        <v>73.694</v>
      </c>
      <c r="H255" s="348" t="n">
        <v>78.176</v>
      </c>
      <c r="I255" s="348" t="n">
        <v>84.151</v>
      </c>
      <c r="J255" s="348" t="n">
        <v>89.628</v>
      </c>
      <c r="K255" s="348" t="n">
        <v>88.135</v>
      </c>
      <c r="L255" s="348" t="n">
        <v>87.139</v>
      </c>
      <c r="M255" s="348" t="n">
        <v>77.18</v>
      </c>
      <c r="N255" s="348" t="n">
        <v>70.707</v>
      </c>
      <c r="O255" s="348" t="n">
        <v>67.719</v>
      </c>
      <c r="P255" s="348" t="n">
        <v>64.234</v>
      </c>
      <c r="Q255" s="348" t="n">
        <v>54.275</v>
      </c>
      <c r="R255" s="348" t="n">
        <v>18.424</v>
      </c>
      <c r="S255" s="348" t="n">
        <v>6.473</v>
      </c>
      <c r="T255" s="348" t="n">
        <v>0</v>
      </c>
      <c r="U255" s="348" t="n">
        <v>0</v>
      </c>
      <c r="V255" s="348" t="n">
        <f aca="false">U255</f>
        <v>0</v>
      </c>
      <c r="W255" s="348" t="n">
        <f aca="false">V255</f>
        <v>0</v>
      </c>
      <c r="X255" s="348" t="n">
        <f aca="false">W255</f>
        <v>0</v>
      </c>
      <c r="Y255" s="349" t="n">
        <v>0</v>
      </c>
    </row>
    <row r="256" customFormat="false" ht="12.75" hidden="false" customHeight="false" outlineLevel="0" collapsed="false">
      <c r="A256" s="334" t="s">
        <v>229</v>
      </c>
      <c r="B256" s="350" t="n">
        <f aca="false">(C255+B255)*(C254-B254)/2</f>
        <v>0.312204</v>
      </c>
      <c r="C256" s="351" t="n">
        <f aca="false">(D255+C255)*(D254-C254)/2</f>
        <v>1.451976</v>
      </c>
      <c r="D256" s="351" t="n">
        <f aca="false">(E255+D255)*(E254-D254)/2</f>
        <v>1.877715</v>
      </c>
      <c r="E256" s="351" t="n">
        <f aca="false">(F255+E255)*(F254-E254)/2</f>
        <v>0.7312195</v>
      </c>
      <c r="F256" s="351" t="n">
        <f aca="false">(G255+F255)*(G254-F254)/2</f>
        <v>2.514816</v>
      </c>
      <c r="G256" s="351" t="n">
        <f aca="false">(H255+G255)*(H254-G254)/2</f>
        <v>3.872685</v>
      </c>
      <c r="H256" s="351" t="n">
        <f aca="false">(I255+H255)*(I254-H254)/2</f>
        <v>8.3598405</v>
      </c>
      <c r="I256" s="351" t="n">
        <f aca="false">(J255+I255)*(J254-I254)/2</f>
        <v>17.3779</v>
      </c>
      <c r="J256" s="351" t="n">
        <f aca="false">(K255+J255)*(K254-J254)/2</f>
        <v>17.065248</v>
      </c>
      <c r="K256" s="351" t="n">
        <f aca="false">(L255+K255)*(L254-K254)/2</f>
        <v>20.068873</v>
      </c>
      <c r="L256" s="351" t="n">
        <f aca="false">(M255+L255)*(M254-L254)/2</f>
        <v>34.835628</v>
      </c>
      <c r="M256" s="351" t="n">
        <f aca="false">(N255+M255)*(N254-M254)/2</f>
        <v>12.126734</v>
      </c>
      <c r="N256" s="351" t="n">
        <f aca="false">(O255+N255)*(O254-N254)/2</f>
        <v>13.565748</v>
      </c>
      <c r="O256" s="351" t="n">
        <f aca="false">(P255+O255)*(P254-O254)/2</f>
        <v>4.618355</v>
      </c>
      <c r="P256" s="351" t="n">
        <f aca="false">(Q255+P255)*(Q254-P254)/2</f>
        <v>1.777635</v>
      </c>
      <c r="Q256" s="351" t="n">
        <f aca="false">(R255+Q255)*(R254-Q254)/2</f>
        <v>1.7084265</v>
      </c>
      <c r="R256" s="351" t="n">
        <f aca="false">(S255+R255)*(S254-R254)/2</f>
        <v>0.348558</v>
      </c>
      <c r="S256" s="351" t="n">
        <f aca="false">(T255+S255)*(T254-S254)/2</f>
        <v>0.110041</v>
      </c>
      <c r="T256" s="351" t="n">
        <f aca="false">(U255+T255)*(U254-T254)/2</f>
        <v>0</v>
      </c>
      <c r="U256" s="351" t="n">
        <f aca="false">(V255+U255)*(V254-U254)/2</f>
        <v>0</v>
      </c>
      <c r="V256" s="351" t="n">
        <f aca="false">(W255+V255)*(W254-V254)/2</f>
        <v>0</v>
      </c>
      <c r="W256" s="351" t="n">
        <f aca="false">(X255+W255)*(X254-W254)/2</f>
        <v>0</v>
      </c>
      <c r="X256" s="351" t="n">
        <f aca="false">(Y255+X255)*(Y254-X254)/2</f>
        <v>0</v>
      </c>
      <c r="Y256" s="337"/>
    </row>
    <row r="257" customFormat="false" ht="12.75" hidden="false" customHeight="false" outlineLevel="0" collapsed="false">
      <c r="B257" s="338"/>
      <c r="C257" s="338"/>
      <c r="D257" s="338"/>
      <c r="E257" s="338"/>
      <c r="F257" s="338"/>
      <c r="G257" s="338"/>
      <c r="H257" s="338"/>
      <c r="I257" s="338"/>
      <c r="J257" s="338"/>
      <c r="K257" s="338"/>
      <c r="L257" s="338"/>
      <c r="M257" s="338"/>
      <c r="N257" s="338"/>
      <c r="O257" s="338"/>
      <c r="P257" s="338"/>
      <c r="Q257" s="338"/>
      <c r="R257" s="338"/>
      <c r="S257" s="338"/>
      <c r="T257" s="338"/>
      <c r="U257" s="338"/>
      <c r="V257" s="338"/>
      <c r="W257" s="338"/>
      <c r="X257" s="338"/>
      <c r="Y257" s="338"/>
    </row>
    <row r="258" customFormat="false" ht="13.5" hidden="false" customHeight="false" outlineLevel="0" collapsed="false">
      <c r="A258" s="339" t="s">
        <v>289</v>
      </c>
      <c r="B258" s="357" t="n">
        <f aca="false">ROW(A258)</f>
        <v>258</v>
      </c>
      <c r="C258" s="323" t="s">
        <v>212</v>
      </c>
      <c r="D258" s="324" t="n">
        <f aca="false">SUM(B261:Y261)</f>
        <v>33.5</v>
      </c>
      <c r="E258" s="323" t="s">
        <v>213</v>
      </c>
      <c r="F258" s="325" t="n">
        <f aca="false">D258/g/J258</f>
        <v>68.2976554536188</v>
      </c>
      <c r="G258" s="323" t="s">
        <v>214</v>
      </c>
      <c r="H258" s="341" t="n">
        <v>0.085</v>
      </c>
      <c r="I258" s="323" t="s">
        <v>225</v>
      </c>
      <c r="J258" s="326" t="n">
        <f aca="false">H258-L258</f>
        <v>0.05</v>
      </c>
      <c r="K258" s="323" t="s">
        <v>226</v>
      </c>
      <c r="L258" s="341" t="n">
        <v>0.035</v>
      </c>
      <c r="M258" s="323" t="s">
        <v>217</v>
      </c>
      <c r="N258" s="342" t="n">
        <v>20</v>
      </c>
      <c r="O258" s="323" t="s">
        <v>218</v>
      </c>
      <c r="P258" s="342" t="n">
        <v>20</v>
      </c>
      <c r="Q258" s="323" t="s">
        <v>219</v>
      </c>
      <c r="R258" s="342" t="n">
        <v>39</v>
      </c>
      <c r="S258" s="323" t="s">
        <v>220</v>
      </c>
      <c r="T258" s="342" t="n">
        <v>39</v>
      </c>
      <c r="U258" s="323" t="s">
        <v>8</v>
      </c>
      <c r="V258" s="343" t="s">
        <v>245</v>
      </c>
      <c r="W258" s="338"/>
      <c r="X258" s="338"/>
      <c r="Y258" s="338"/>
    </row>
    <row r="259" customFormat="false" ht="12" hidden="false" customHeight="false" outlineLevel="0" collapsed="false">
      <c r="A259" s="321" t="s">
        <v>227</v>
      </c>
      <c r="B259" s="344" t="n">
        <v>0</v>
      </c>
      <c r="C259" s="345" t="n">
        <v>0.05</v>
      </c>
      <c r="D259" s="345" t="n">
        <v>0.1</v>
      </c>
      <c r="E259" s="345" t="n">
        <v>0.25</v>
      </c>
      <c r="F259" s="345" t="n">
        <v>0.3</v>
      </c>
      <c r="G259" s="345" t="n">
        <v>0.35</v>
      </c>
      <c r="H259" s="345" t="n">
        <v>0.45</v>
      </c>
      <c r="I259" s="345" t="n">
        <v>0.55</v>
      </c>
      <c r="J259" s="345" t="n">
        <v>3.5</v>
      </c>
      <c r="K259" s="345" t="n">
        <v>3.6</v>
      </c>
      <c r="L259" s="345" t="n">
        <v>3.6</v>
      </c>
      <c r="M259" s="345" t="n">
        <v>3.6</v>
      </c>
      <c r="N259" s="345" t="n">
        <v>3.6</v>
      </c>
      <c r="O259" s="345" t="n">
        <v>3.6</v>
      </c>
      <c r="P259" s="345" t="n">
        <v>3.6</v>
      </c>
      <c r="Q259" s="345" t="n">
        <v>3.6</v>
      </c>
      <c r="R259" s="345" t="n">
        <v>3.6</v>
      </c>
      <c r="S259" s="345" t="n">
        <v>3.6</v>
      </c>
      <c r="T259" s="345" t="n">
        <v>3.6</v>
      </c>
      <c r="U259" s="345" t="n">
        <v>3.6</v>
      </c>
      <c r="V259" s="345" t="n">
        <v>3.6</v>
      </c>
      <c r="W259" s="345" t="n">
        <v>3.6</v>
      </c>
      <c r="X259" s="345" t="n">
        <v>3.6</v>
      </c>
      <c r="Y259" s="333" t="n">
        <v>1000</v>
      </c>
    </row>
    <row r="260" customFormat="false" ht="12" hidden="false" customHeight="false" outlineLevel="0" collapsed="false">
      <c r="A260" s="346" t="s">
        <v>228</v>
      </c>
      <c r="B260" s="347" t="n">
        <v>0</v>
      </c>
      <c r="C260" s="348" t="n">
        <v>68</v>
      </c>
      <c r="D260" s="348" t="n">
        <v>62</v>
      </c>
      <c r="E260" s="348" t="n">
        <v>60</v>
      </c>
      <c r="F260" s="348" t="n">
        <v>39</v>
      </c>
      <c r="G260" s="348" t="n">
        <v>38</v>
      </c>
      <c r="H260" s="348" t="n">
        <v>9</v>
      </c>
      <c r="I260" s="348" t="n">
        <v>5</v>
      </c>
      <c r="J260" s="348" t="n">
        <v>3</v>
      </c>
      <c r="K260" s="348" t="n">
        <v>0</v>
      </c>
      <c r="L260" s="348" t="n">
        <v>0</v>
      </c>
      <c r="M260" s="348" t="n">
        <v>0</v>
      </c>
      <c r="N260" s="348" t="n">
        <v>0</v>
      </c>
      <c r="O260" s="348" t="n">
        <v>0</v>
      </c>
      <c r="P260" s="348" t="n">
        <v>0</v>
      </c>
      <c r="Q260" s="348" t="n">
        <v>0</v>
      </c>
      <c r="R260" s="348" t="n">
        <v>0</v>
      </c>
      <c r="S260" s="348" t="n">
        <v>0</v>
      </c>
      <c r="T260" s="348" t="n">
        <v>0</v>
      </c>
      <c r="U260" s="348" t="n">
        <v>0</v>
      </c>
      <c r="V260" s="348" t="n">
        <v>0</v>
      </c>
      <c r="W260" s="348" t="n">
        <v>0</v>
      </c>
      <c r="X260" s="348" t="n">
        <v>0</v>
      </c>
      <c r="Y260" s="349" t="n">
        <v>0</v>
      </c>
    </row>
    <row r="261" customFormat="false" ht="12.75" hidden="false" customHeight="false" outlineLevel="0" collapsed="false">
      <c r="A261" s="334" t="s">
        <v>229</v>
      </c>
      <c r="B261" s="350" t="n">
        <f aca="false">(C260+B260)*(C259-B259)/2</f>
        <v>1.7</v>
      </c>
      <c r="C261" s="351" t="n">
        <f aca="false">(D260+C260)*(D259-C259)/2</f>
        <v>3.25</v>
      </c>
      <c r="D261" s="351" t="n">
        <f aca="false">(E260+D260)*(E259-D259)/2</f>
        <v>9.15</v>
      </c>
      <c r="E261" s="351" t="n">
        <f aca="false">(F260+E260)*(F259-E259)/2</f>
        <v>2.475</v>
      </c>
      <c r="F261" s="351" t="n">
        <f aca="false">(G260+F260)*(G259-F259)/2</f>
        <v>1.925</v>
      </c>
      <c r="G261" s="351" t="n">
        <f aca="false">(H260+G260)*(H259-G259)/2</f>
        <v>2.35</v>
      </c>
      <c r="H261" s="351" t="n">
        <f aca="false">(I260+H260)*(I259-H259)/2</f>
        <v>0.7</v>
      </c>
      <c r="I261" s="351" t="n">
        <f aca="false">(J260+I260)*(J259-I259)/2</f>
        <v>11.8</v>
      </c>
      <c r="J261" s="351" t="n">
        <f aca="false">(K260+J260)*(K259-J259)/2</f>
        <v>0.15</v>
      </c>
      <c r="K261" s="351" t="n">
        <f aca="false">(L260+K260)*(L259-K259)/2</f>
        <v>0</v>
      </c>
      <c r="L261" s="351" t="n">
        <f aca="false">(M260+L260)*(M259-L259)/2</f>
        <v>0</v>
      </c>
      <c r="M261" s="351" t="n">
        <f aca="false">(N260+M260)*(N259-M259)/2</f>
        <v>0</v>
      </c>
      <c r="N261" s="351" t="n">
        <f aca="false">(O260+N260)*(O259-N259)/2</f>
        <v>0</v>
      </c>
      <c r="O261" s="351" t="n">
        <f aca="false">(P260+O260)*(P259-O259)/2</f>
        <v>0</v>
      </c>
      <c r="P261" s="351" t="n">
        <f aca="false">(Q260+P260)*(Q259-P259)/2</f>
        <v>0</v>
      </c>
      <c r="Q261" s="351" t="n">
        <f aca="false">(R260+Q260)*(R259-Q259)/2</f>
        <v>0</v>
      </c>
      <c r="R261" s="351" t="n">
        <f aca="false">(S260+R260)*(S259-R259)/2</f>
        <v>0</v>
      </c>
      <c r="S261" s="351" t="n">
        <f aca="false">(T260+S260)*(T259-S259)/2</f>
        <v>0</v>
      </c>
      <c r="T261" s="351" t="n">
        <f aca="false">(U260+T260)*(U259-T259)/2</f>
        <v>0</v>
      </c>
      <c r="U261" s="351" t="n">
        <f aca="false">(V260+U260)*(V259-U259)/2</f>
        <v>0</v>
      </c>
      <c r="V261" s="351" t="n">
        <f aca="false">(W260+V260)*(W259-V259)/2</f>
        <v>0</v>
      </c>
      <c r="W261" s="351" t="n">
        <f aca="false">(X260+W260)*(X259-W259)/2</f>
        <v>0</v>
      </c>
      <c r="X261" s="351" t="n">
        <f aca="false">(Y260+X260)*(Y259-X259)/2</f>
        <v>0</v>
      </c>
      <c r="Y261" s="337"/>
    </row>
    <row r="262" customFormat="false" ht="12.75" hidden="false" customHeight="false" outlineLevel="0" collapsed="false">
      <c r="B262" s="338"/>
      <c r="C262" s="338"/>
      <c r="D262" s="338"/>
      <c r="E262" s="338"/>
      <c r="F262" s="338"/>
      <c r="G262" s="338"/>
      <c r="H262" s="338"/>
      <c r="I262" s="338"/>
      <c r="J262" s="338"/>
      <c r="K262" s="338"/>
      <c r="L262" s="338"/>
      <c r="M262" s="338"/>
      <c r="N262" s="338"/>
      <c r="O262" s="338"/>
      <c r="P262" s="338"/>
      <c r="Q262" s="338"/>
      <c r="R262" s="338"/>
      <c r="S262" s="338"/>
      <c r="T262" s="338"/>
      <c r="U262" s="338"/>
      <c r="V262" s="338"/>
      <c r="W262" s="338"/>
      <c r="X262" s="338"/>
      <c r="Y262" s="338"/>
    </row>
    <row r="263" customFormat="false" ht="13.5" hidden="false" customHeight="false" outlineLevel="0" collapsed="false">
      <c r="A263" s="339" t="s">
        <v>290</v>
      </c>
      <c r="B263" s="340" t="n">
        <f aca="false">ROW(A263)</f>
        <v>263</v>
      </c>
      <c r="C263" s="323" t="s">
        <v>212</v>
      </c>
      <c r="D263" s="324" t="n">
        <f aca="false">SUM(B266:Y266)</f>
        <v>145.46</v>
      </c>
      <c r="E263" s="323" t="s">
        <v>213</v>
      </c>
      <c r="F263" s="325" t="n">
        <f aca="false">D263/g/J263</f>
        <v>211.824668705403</v>
      </c>
      <c r="G263" s="323" t="s">
        <v>214</v>
      </c>
      <c r="H263" s="341" t="n">
        <v>0.22</v>
      </c>
      <c r="I263" s="323" t="s">
        <v>225</v>
      </c>
      <c r="J263" s="326" t="n">
        <f aca="false">H263-L263</f>
        <v>0.07</v>
      </c>
      <c r="K263" s="323" t="s">
        <v>226</v>
      </c>
      <c r="L263" s="341" t="n">
        <v>0.15</v>
      </c>
      <c r="M263" s="323" t="s">
        <v>217</v>
      </c>
      <c r="N263" s="342" t="n">
        <v>50</v>
      </c>
      <c r="O263" s="323" t="s">
        <v>218</v>
      </c>
      <c r="P263" s="342" t="n">
        <v>55</v>
      </c>
      <c r="Q263" s="323" t="s">
        <v>219</v>
      </c>
      <c r="R263" s="342" t="n">
        <v>76</v>
      </c>
      <c r="S263" s="323" t="s">
        <v>220</v>
      </c>
      <c r="T263" s="342" t="n">
        <v>40</v>
      </c>
      <c r="U263" s="323" t="s">
        <v>8</v>
      </c>
      <c r="V263" s="343" t="s">
        <v>245</v>
      </c>
      <c r="W263" s="338"/>
      <c r="X263" s="338"/>
      <c r="Y263" s="338"/>
    </row>
    <row r="264" customFormat="false" ht="12" hidden="false" customHeight="false" outlineLevel="0" collapsed="false">
      <c r="A264" s="321" t="s">
        <v>227</v>
      </c>
      <c r="B264" s="344" t="n">
        <v>0</v>
      </c>
      <c r="C264" s="345" t="n">
        <v>0.02</v>
      </c>
      <c r="D264" s="345" t="n">
        <v>0.04</v>
      </c>
      <c r="E264" s="345" t="n">
        <v>0.05</v>
      </c>
      <c r="F264" s="345" t="n">
        <v>0.06</v>
      </c>
      <c r="G264" s="345" t="n">
        <v>0.94</v>
      </c>
      <c r="H264" s="358" t="n">
        <v>0.942</v>
      </c>
      <c r="I264" s="345" t="n">
        <v>0.95</v>
      </c>
      <c r="J264" s="345" t="n">
        <v>0.95</v>
      </c>
      <c r="K264" s="345" t="n">
        <v>0.95</v>
      </c>
      <c r="L264" s="345" t="n">
        <v>0.95</v>
      </c>
      <c r="M264" s="345" t="n">
        <v>0.95</v>
      </c>
      <c r="N264" s="345" t="n">
        <v>0.95</v>
      </c>
      <c r="O264" s="345" t="n">
        <v>0.95</v>
      </c>
      <c r="P264" s="345" t="n">
        <v>0.95</v>
      </c>
      <c r="Q264" s="345" t="n">
        <v>0.95</v>
      </c>
      <c r="R264" s="345" t="n">
        <v>0.95</v>
      </c>
      <c r="S264" s="345" t="n">
        <v>0.95</v>
      </c>
      <c r="T264" s="345" t="n">
        <v>0.95</v>
      </c>
      <c r="U264" s="345" t="n">
        <v>0.95</v>
      </c>
      <c r="V264" s="345" t="n">
        <v>0.95</v>
      </c>
      <c r="W264" s="345" t="n">
        <v>0.95</v>
      </c>
      <c r="X264" s="345" t="n">
        <v>2</v>
      </c>
      <c r="Y264" s="333" t="n">
        <v>1000</v>
      </c>
    </row>
    <row r="265" customFormat="false" ht="12" hidden="false" customHeight="false" outlineLevel="0" collapsed="false">
      <c r="A265" s="346" t="s">
        <v>228</v>
      </c>
      <c r="B265" s="347" t="n">
        <v>0</v>
      </c>
      <c r="C265" s="348" t="n">
        <v>320</v>
      </c>
      <c r="D265" s="348" t="n">
        <v>170</v>
      </c>
      <c r="E265" s="348" t="n">
        <v>205</v>
      </c>
      <c r="F265" s="348" t="n">
        <v>217</v>
      </c>
      <c r="G265" s="348" t="n">
        <v>85</v>
      </c>
      <c r="H265" s="348" t="n">
        <v>82</v>
      </c>
      <c r="I265" s="348" t="n">
        <v>0</v>
      </c>
      <c r="J265" s="348" t="n">
        <v>0</v>
      </c>
      <c r="K265" s="348" t="n">
        <v>0</v>
      </c>
      <c r="L265" s="348" t="n">
        <v>0</v>
      </c>
      <c r="M265" s="348" t="n">
        <v>0</v>
      </c>
      <c r="N265" s="348" t="n">
        <v>0</v>
      </c>
      <c r="O265" s="348" t="n">
        <v>0</v>
      </c>
      <c r="P265" s="348" t="n">
        <v>0</v>
      </c>
      <c r="Q265" s="348" t="n">
        <v>0</v>
      </c>
      <c r="R265" s="348" t="n">
        <v>0</v>
      </c>
      <c r="S265" s="348" t="n">
        <v>0</v>
      </c>
      <c r="T265" s="348" t="n">
        <v>0</v>
      </c>
      <c r="U265" s="348" t="n">
        <v>0</v>
      </c>
      <c r="V265" s="348" t="n">
        <v>0</v>
      </c>
      <c r="W265" s="348" t="n">
        <v>0</v>
      </c>
      <c r="X265" s="348" t="n">
        <v>0</v>
      </c>
      <c r="Y265" s="349" t="n">
        <v>0</v>
      </c>
    </row>
    <row r="266" customFormat="false" ht="12.75" hidden="false" customHeight="false" outlineLevel="0" collapsed="false">
      <c r="A266" s="334" t="s">
        <v>229</v>
      </c>
      <c r="B266" s="350" t="n">
        <f aca="false">(C265+B265)*(C264-B264)/2</f>
        <v>3.2</v>
      </c>
      <c r="C266" s="351" t="n">
        <f aca="false">(D265+C265)*(D264-C264)/2</f>
        <v>4.9</v>
      </c>
      <c r="D266" s="351" t="n">
        <f aca="false">(E265+D265)*(E264-D264)/2</f>
        <v>1.875</v>
      </c>
      <c r="E266" s="351" t="n">
        <f aca="false">(F265+E265)*(F264-E264)/2</f>
        <v>2.11</v>
      </c>
      <c r="F266" s="351" t="n">
        <f aca="false">(G265+F265)*(G264-F264)/2</f>
        <v>132.88</v>
      </c>
      <c r="G266" s="351" t="n">
        <f aca="false">(H265+G265)*(H264-G264)/2</f>
        <v>0.167000000000009</v>
      </c>
      <c r="H266" s="351" t="n">
        <f aca="false">(I265+H265)*(I264-H264)/2</f>
        <v>0.327999999999996</v>
      </c>
      <c r="I266" s="351" t="n">
        <f aca="false">(J265+I265)*(J264-I264)/2</f>
        <v>0</v>
      </c>
      <c r="J266" s="351" t="n">
        <f aca="false">(K265+J265)*(K264-J264)/2</f>
        <v>0</v>
      </c>
      <c r="K266" s="351" t="n">
        <f aca="false">(L265+K265)*(L264-K264)/2</f>
        <v>0</v>
      </c>
      <c r="L266" s="351" t="n">
        <f aca="false">(M265+L265)*(M264-L264)/2</f>
        <v>0</v>
      </c>
      <c r="M266" s="351" t="n">
        <f aca="false">(N265+M265)*(N264-M264)/2</f>
        <v>0</v>
      </c>
      <c r="N266" s="351" t="n">
        <f aca="false">(O265+N265)*(O264-N264)/2</f>
        <v>0</v>
      </c>
      <c r="O266" s="351" t="n">
        <f aca="false">(P265+O265)*(P264-O264)/2</f>
        <v>0</v>
      </c>
      <c r="P266" s="351" t="n">
        <f aca="false">(Q265+P265)*(Q264-P264)/2</f>
        <v>0</v>
      </c>
      <c r="Q266" s="351" t="n">
        <f aca="false">(R265+Q265)*(R264-Q264)/2</f>
        <v>0</v>
      </c>
      <c r="R266" s="351" t="n">
        <f aca="false">(S265+R265)*(S264-R264)/2</f>
        <v>0</v>
      </c>
      <c r="S266" s="351" t="n">
        <f aca="false">(T265+S265)*(T264-S264)/2</f>
        <v>0</v>
      </c>
      <c r="T266" s="351" t="n">
        <f aca="false">(U265+T265)*(U264-T264)/2</f>
        <v>0</v>
      </c>
      <c r="U266" s="351" t="n">
        <f aca="false">(V265+U265)*(V264-U264)/2</f>
        <v>0</v>
      </c>
      <c r="V266" s="351" t="n">
        <f aca="false">(W265+V265)*(W264-V264)/2</f>
        <v>0</v>
      </c>
      <c r="W266" s="351" t="n">
        <f aca="false">(X265+W265)*(X264-W264)/2</f>
        <v>0</v>
      </c>
      <c r="X266" s="351" t="n">
        <f aca="false">(Y265+X265)*(Y264-X264)/2</f>
        <v>0</v>
      </c>
      <c r="Y266" s="337"/>
    </row>
    <row r="267" customFormat="false" ht="12" hidden="false" customHeight="false" outlineLevel="0" collapsed="false">
      <c r="B267" s="338"/>
      <c r="C267" s="338"/>
      <c r="D267" s="338"/>
      <c r="E267" s="338"/>
      <c r="F267" s="338"/>
      <c r="G267" s="338"/>
      <c r="H267" s="338"/>
      <c r="I267" s="338"/>
      <c r="J267" s="338"/>
      <c r="K267" s="338"/>
      <c r="L267" s="338"/>
      <c r="M267" s="338"/>
      <c r="N267" s="338"/>
      <c r="O267" s="338"/>
      <c r="P267" s="338"/>
      <c r="Q267" s="338"/>
      <c r="R267" s="338"/>
      <c r="S267" s="338"/>
      <c r="T267" s="338"/>
      <c r="U267" s="338"/>
      <c r="V267" s="338"/>
      <c r="W267" s="338"/>
      <c r="X267" s="338"/>
      <c r="Y267" s="338"/>
    </row>
    <row r="268" customFormat="false" ht="13.5" hidden="false" customHeight="false" outlineLevel="0" collapsed="false">
      <c r="A268" s="171" t="s">
        <v>291</v>
      </c>
      <c r="B268" s="338"/>
      <c r="C268" s="338"/>
      <c r="D268" s="338"/>
      <c r="E268" s="338"/>
      <c r="F268" s="338"/>
      <c r="G268" s="338"/>
      <c r="H268" s="338"/>
      <c r="I268" s="338"/>
      <c r="J268" s="338"/>
      <c r="K268" s="338"/>
      <c r="L268" s="338"/>
      <c r="M268" s="338"/>
      <c r="N268" s="338"/>
      <c r="O268" s="338"/>
      <c r="P268" s="338"/>
      <c r="Q268" s="338"/>
      <c r="R268" s="338"/>
      <c r="S268" s="338"/>
      <c r="T268" s="338"/>
      <c r="U268" s="338"/>
      <c r="V268" s="338"/>
      <c r="W268" s="338"/>
      <c r="X268" s="338"/>
      <c r="Y268" s="338"/>
    </row>
    <row r="269" customFormat="false" ht="13.5" hidden="false" customHeight="false" outlineLevel="0" collapsed="false">
      <c r="A269" s="339" t="s">
        <v>292</v>
      </c>
      <c r="B269" s="340" t="n">
        <f aca="false">ROW(A269)</f>
        <v>269</v>
      </c>
      <c r="C269" s="323" t="s">
        <v>212</v>
      </c>
      <c r="D269" s="324" t="n">
        <f aca="false">SUM(B272:Y272)</f>
        <v>1071.6</v>
      </c>
      <c r="E269" s="323" t="s">
        <v>213</v>
      </c>
      <c r="F269" s="325" t="n">
        <f aca="false">D269/g/J269</f>
        <v>163.038020904651</v>
      </c>
      <c r="G269" s="323" t="s">
        <v>214</v>
      </c>
      <c r="H269" s="341" t="n">
        <v>2.02</v>
      </c>
      <c r="I269" s="323" t="s">
        <v>225</v>
      </c>
      <c r="J269" s="326" t="n">
        <f aca="false">H269-L269</f>
        <v>0.67</v>
      </c>
      <c r="K269" s="323" t="s">
        <v>226</v>
      </c>
      <c r="L269" s="341" t="n">
        <v>1.35</v>
      </c>
      <c r="M269" s="323" t="s">
        <v>217</v>
      </c>
      <c r="N269" s="342" t="n">
        <v>154</v>
      </c>
      <c r="O269" s="323" t="s">
        <v>218</v>
      </c>
      <c r="P269" s="342" t="n">
        <v>168</v>
      </c>
      <c r="Q269" s="323" t="s">
        <v>219</v>
      </c>
      <c r="R269" s="342" t="n">
        <v>230</v>
      </c>
      <c r="S269" s="323" t="s">
        <v>220</v>
      </c>
      <c r="T269" s="342" t="n">
        <v>67</v>
      </c>
      <c r="U269" s="323" t="s">
        <v>8</v>
      </c>
      <c r="V269" s="343" t="s">
        <v>78</v>
      </c>
      <c r="W269" s="338"/>
      <c r="X269" s="338"/>
      <c r="Y269" s="338"/>
    </row>
    <row r="270" customFormat="false" ht="12" hidden="false" customHeight="false" outlineLevel="0" collapsed="false">
      <c r="A270" s="321" t="s">
        <v>227</v>
      </c>
      <c r="B270" s="344" t="n">
        <v>0</v>
      </c>
      <c r="C270" s="345" t="n">
        <v>0.02</v>
      </c>
      <c r="D270" s="345" t="n">
        <v>0.05</v>
      </c>
      <c r="E270" s="345" t="n">
        <v>0.06</v>
      </c>
      <c r="F270" s="345" t="n">
        <v>0.09</v>
      </c>
      <c r="G270" s="345" t="n">
        <v>0.17</v>
      </c>
      <c r="H270" s="345" t="n">
        <v>0.2</v>
      </c>
      <c r="I270" s="345" t="n">
        <v>0.38</v>
      </c>
      <c r="J270" s="345" t="n">
        <v>0.75</v>
      </c>
      <c r="K270" s="345" t="n">
        <v>0.79</v>
      </c>
      <c r="L270" s="345" t="n">
        <v>1.13</v>
      </c>
      <c r="M270" s="345" t="n">
        <v>1.2</v>
      </c>
      <c r="N270" s="345" t="n">
        <v>1.5</v>
      </c>
      <c r="O270" s="345" t="n">
        <v>1.54</v>
      </c>
      <c r="P270" s="345" t="n">
        <v>1.65</v>
      </c>
      <c r="Q270" s="345" t="n">
        <v>1.7</v>
      </c>
      <c r="R270" s="345" t="n">
        <v>1.79</v>
      </c>
      <c r="S270" s="345" t="n">
        <v>1.79</v>
      </c>
      <c r="T270" s="345" t="n">
        <v>1.79</v>
      </c>
      <c r="U270" s="345" t="n">
        <v>1.79</v>
      </c>
      <c r="V270" s="345" t="n">
        <v>1.79</v>
      </c>
      <c r="W270" s="345" t="n">
        <v>1.79</v>
      </c>
      <c r="X270" s="345" t="n">
        <v>1.79</v>
      </c>
      <c r="Y270" s="333" t="n">
        <v>1000</v>
      </c>
    </row>
    <row r="271" customFormat="false" ht="12" hidden="false" customHeight="false" outlineLevel="0" collapsed="false">
      <c r="A271" s="346" t="s">
        <v>228</v>
      </c>
      <c r="B271" s="347" t="n">
        <v>0</v>
      </c>
      <c r="C271" s="348" t="n">
        <v>20</v>
      </c>
      <c r="D271" s="348" t="n">
        <v>870</v>
      </c>
      <c r="E271" s="348" t="n">
        <v>530</v>
      </c>
      <c r="F271" s="348" t="n">
        <v>790</v>
      </c>
      <c r="G271" s="348" t="n">
        <v>700</v>
      </c>
      <c r="H271" s="348" t="n">
        <v>710</v>
      </c>
      <c r="I271" s="348" t="n">
        <v>670</v>
      </c>
      <c r="J271" s="348" t="n">
        <v>630</v>
      </c>
      <c r="K271" s="348" t="n">
        <v>630</v>
      </c>
      <c r="L271" s="348" t="n">
        <v>710</v>
      </c>
      <c r="M271" s="348" t="n">
        <v>690</v>
      </c>
      <c r="N271" s="348" t="n">
        <v>690</v>
      </c>
      <c r="O271" s="348" t="n">
        <v>660</v>
      </c>
      <c r="P271" s="348" t="n">
        <v>160</v>
      </c>
      <c r="Q271" s="348" t="n">
        <v>10</v>
      </c>
      <c r="R271" s="348" t="n">
        <v>0</v>
      </c>
      <c r="S271" s="348" t="n">
        <v>0</v>
      </c>
      <c r="T271" s="348" t="n">
        <v>0</v>
      </c>
      <c r="U271" s="348" t="n">
        <v>0</v>
      </c>
      <c r="V271" s="348" t="n">
        <v>0</v>
      </c>
      <c r="W271" s="348" t="n">
        <v>0</v>
      </c>
      <c r="X271" s="348" t="n">
        <v>0</v>
      </c>
      <c r="Y271" s="349" t="n">
        <v>0</v>
      </c>
    </row>
    <row r="272" customFormat="false" ht="12.75" hidden="false" customHeight="false" outlineLevel="0" collapsed="false">
      <c r="A272" s="334" t="s">
        <v>229</v>
      </c>
      <c r="B272" s="350" t="n">
        <f aca="false">(C271+B271)*(C270-B270)/2</f>
        <v>0.2</v>
      </c>
      <c r="C272" s="351" t="n">
        <f aca="false">(D271+C271)*(D270-C270)/2</f>
        <v>13.35</v>
      </c>
      <c r="D272" s="351" t="n">
        <f aca="false">(E271+D271)*(E270-D270)/2</f>
        <v>7</v>
      </c>
      <c r="E272" s="351" t="n">
        <f aca="false">(F271+E271)*(F270-E270)/2</f>
        <v>19.8</v>
      </c>
      <c r="F272" s="351" t="n">
        <f aca="false">(G271+F271)*(G270-F270)/2</f>
        <v>59.6</v>
      </c>
      <c r="G272" s="351" t="n">
        <f aca="false">(H271+G271)*(H270-G270)/2</f>
        <v>21.15</v>
      </c>
      <c r="H272" s="351" t="n">
        <f aca="false">(I271+H271)*(I270-H270)/2</f>
        <v>124.2</v>
      </c>
      <c r="I272" s="351" t="n">
        <f aca="false">(J271+I271)*(J270-I270)/2</f>
        <v>240.5</v>
      </c>
      <c r="J272" s="351" t="n">
        <f aca="false">(K271+J271)*(K270-J270)/2</f>
        <v>25.2</v>
      </c>
      <c r="K272" s="351" t="n">
        <f aca="false">(L271+K271)*(L270-K270)/2</f>
        <v>227.8</v>
      </c>
      <c r="L272" s="351" t="n">
        <f aca="false">(M271+L271)*(M270-L270)/2</f>
        <v>49</v>
      </c>
      <c r="M272" s="351" t="n">
        <f aca="false">(N271+M271)*(N270-M270)/2</f>
        <v>207</v>
      </c>
      <c r="N272" s="351" t="n">
        <f aca="false">(O271+N271)*(O270-N270)/2</f>
        <v>27</v>
      </c>
      <c r="O272" s="351" t="n">
        <f aca="false">(P271+O271)*(P270-O270)/2</f>
        <v>45.1</v>
      </c>
      <c r="P272" s="351" t="n">
        <f aca="false">(Q271+P271)*(Q270-P270)/2</f>
        <v>4.25</v>
      </c>
      <c r="Q272" s="351" t="n">
        <f aca="false">(R271+Q271)*(R270-Q270)/2</f>
        <v>0.45</v>
      </c>
      <c r="R272" s="351" t="n">
        <f aca="false">(S271+R271)*(S270-R270)/2</f>
        <v>0</v>
      </c>
      <c r="S272" s="351" t="n">
        <f aca="false">(T271+S271)*(T270-S270)/2</f>
        <v>0</v>
      </c>
      <c r="T272" s="351" t="n">
        <f aca="false">(U271+T271)*(U270-T270)/2</f>
        <v>0</v>
      </c>
      <c r="U272" s="351" t="n">
        <f aca="false">(V271+U271)*(V270-U270)/2</f>
        <v>0</v>
      </c>
      <c r="V272" s="351" t="n">
        <f aca="false">(W271+V271)*(W270-V270)/2</f>
        <v>0</v>
      </c>
      <c r="W272" s="351" t="n">
        <f aca="false">(X271+W271)*(X270-W270)/2</f>
        <v>0</v>
      </c>
      <c r="X272" s="351" t="n">
        <f aca="false">(Y271+X271)*(Y270-X270)/2</f>
        <v>0</v>
      </c>
      <c r="Y272" s="359"/>
    </row>
    <row r="273" customFormat="false" ht="12.75" hidden="false" customHeight="false" outlineLevel="0" collapsed="false">
      <c r="S273" s="338"/>
      <c r="T273" s="338"/>
      <c r="U273" s="338"/>
      <c r="V273" s="338"/>
      <c r="W273" s="338"/>
      <c r="X273" s="338"/>
      <c r="Y273" s="338"/>
    </row>
    <row r="274" customFormat="false" ht="13.5" hidden="false" customHeight="false" outlineLevel="0" collapsed="false">
      <c r="A274" s="339" t="s">
        <v>293</v>
      </c>
      <c r="B274" s="340" t="n">
        <f aca="false">ROW(A274)</f>
        <v>274</v>
      </c>
      <c r="C274" s="323" t="s">
        <v>212</v>
      </c>
      <c r="D274" s="324" t="n">
        <f aca="false">SUM(B277:Y277)</f>
        <v>2102.35</v>
      </c>
      <c r="E274" s="323" t="s">
        <v>213</v>
      </c>
      <c r="F274" s="325" t="n">
        <f aca="false">D274/g/J274</f>
        <v>174.233194931338</v>
      </c>
      <c r="G274" s="323" t="s">
        <v>214</v>
      </c>
      <c r="H274" s="341" t="n">
        <v>3.7</v>
      </c>
      <c r="I274" s="323" t="s">
        <v>225</v>
      </c>
      <c r="J274" s="326" t="n">
        <f aca="false">H274-L274</f>
        <v>1.23</v>
      </c>
      <c r="K274" s="323" t="s">
        <v>226</v>
      </c>
      <c r="L274" s="341" t="n">
        <v>2.47</v>
      </c>
      <c r="M274" s="323" t="s">
        <v>217</v>
      </c>
      <c r="N274" s="342" t="n">
        <v>151</v>
      </c>
      <c r="O274" s="323" t="s">
        <v>218</v>
      </c>
      <c r="P274" s="342" t="n">
        <v>171</v>
      </c>
      <c r="Q274" s="323" t="s">
        <v>219</v>
      </c>
      <c r="R274" s="342" t="n">
        <v>247</v>
      </c>
      <c r="S274" s="323" t="s">
        <v>220</v>
      </c>
      <c r="T274" s="342" t="n">
        <v>90</v>
      </c>
      <c r="U274" s="323" t="s">
        <v>8</v>
      </c>
      <c r="V274" s="343" t="s">
        <v>78</v>
      </c>
      <c r="W274" s="338"/>
      <c r="X274" s="338"/>
      <c r="Y274" s="338"/>
    </row>
    <row r="275" customFormat="false" ht="12" hidden="false" customHeight="false" outlineLevel="0" collapsed="false">
      <c r="A275" s="321" t="s">
        <v>227</v>
      </c>
      <c r="B275" s="344" t="n">
        <v>0</v>
      </c>
      <c r="C275" s="345" t="n">
        <v>0.05</v>
      </c>
      <c r="D275" s="345" t="n">
        <v>0.1</v>
      </c>
      <c r="E275" s="345" t="n">
        <v>1</v>
      </c>
      <c r="F275" s="345" t="n">
        <v>1.35</v>
      </c>
      <c r="G275" s="345" t="n">
        <v>1.75</v>
      </c>
      <c r="H275" s="345" t="n">
        <v>2.15</v>
      </c>
      <c r="I275" s="345" t="n">
        <v>2.25</v>
      </c>
      <c r="J275" s="345" t="n">
        <v>2.48</v>
      </c>
      <c r="K275" s="345" t="n">
        <v>2.6</v>
      </c>
      <c r="L275" s="345" t="n">
        <v>2.8</v>
      </c>
      <c r="M275" s="345" t="n">
        <v>2.8</v>
      </c>
      <c r="N275" s="345" t="n">
        <v>2.8</v>
      </c>
      <c r="O275" s="345" t="n">
        <v>2.8</v>
      </c>
      <c r="P275" s="345" t="n">
        <v>2.8</v>
      </c>
      <c r="Q275" s="345" t="n">
        <v>2.8</v>
      </c>
      <c r="R275" s="345" t="n">
        <v>2.8</v>
      </c>
      <c r="S275" s="345" t="n">
        <v>2.8</v>
      </c>
      <c r="T275" s="345" t="n">
        <v>2.8</v>
      </c>
      <c r="U275" s="345" t="n">
        <v>2.8</v>
      </c>
      <c r="V275" s="345" t="n">
        <v>2.8</v>
      </c>
      <c r="W275" s="345" t="n">
        <v>2.8</v>
      </c>
      <c r="X275" s="345" t="n">
        <v>2.8</v>
      </c>
      <c r="Y275" s="333" t="n">
        <v>1000</v>
      </c>
    </row>
    <row r="276" customFormat="false" ht="12" hidden="false" customHeight="false" outlineLevel="0" collapsed="false">
      <c r="A276" s="346" t="s">
        <v>228</v>
      </c>
      <c r="B276" s="347" t="n">
        <v>0</v>
      </c>
      <c r="C276" s="348" t="n">
        <v>860</v>
      </c>
      <c r="D276" s="348" t="n">
        <v>840</v>
      </c>
      <c r="E276" s="348" t="n">
        <v>840</v>
      </c>
      <c r="F276" s="348" t="n">
        <v>850</v>
      </c>
      <c r="G276" s="348" t="n">
        <v>900</v>
      </c>
      <c r="H276" s="348" t="n">
        <v>1050</v>
      </c>
      <c r="I276" s="348" t="n">
        <v>1020</v>
      </c>
      <c r="J276" s="348" t="n">
        <v>120</v>
      </c>
      <c r="K276" s="348" t="n">
        <v>30</v>
      </c>
      <c r="L276" s="348" t="n">
        <v>0</v>
      </c>
      <c r="M276" s="348" t="n">
        <v>0</v>
      </c>
      <c r="N276" s="348" t="n">
        <v>0</v>
      </c>
      <c r="O276" s="348" t="n">
        <v>0</v>
      </c>
      <c r="P276" s="348" t="n">
        <v>0</v>
      </c>
      <c r="Q276" s="348" t="n">
        <v>0</v>
      </c>
      <c r="R276" s="348" t="n">
        <v>0</v>
      </c>
      <c r="S276" s="348" t="n">
        <v>0</v>
      </c>
      <c r="T276" s="348" t="n">
        <v>0</v>
      </c>
      <c r="U276" s="348" t="n">
        <v>0</v>
      </c>
      <c r="V276" s="348" t="n">
        <v>0</v>
      </c>
      <c r="W276" s="348" t="n">
        <v>0</v>
      </c>
      <c r="X276" s="348" t="n">
        <v>0</v>
      </c>
      <c r="Y276" s="349" t="n">
        <v>0</v>
      </c>
    </row>
    <row r="277" customFormat="false" ht="12.75" hidden="false" customHeight="false" outlineLevel="0" collapsed="false">
      <c r="A277" s="334" t="s">
        <v>229</v>
      </c>
      <c r="B277" s="350" t="n">
        <f aca="false">(C276+B276)*(C275-B275)/2</f>
        <v>21.5</v>
      </c>
      <c r="C277" s="351" t="n">
        <f aca="false">(D276+C276)*(D275-C275)/2</f>
        <v>42.5</v>
      </c>
      <c r="D277" s="351" t="n">
        <f aca="false">(E276+D276)*(E275-D275)/2</f>
        <v>756</v>
      </c>
      <c r="E277" s="351" t="n">
        <f aca="false">(F276+E276)*(F275-E275)/2</f>
        <v>295.75</v>
      </c>
      <c r="F277" s="351" t="n">
        <f aca="false">(G276+F276)*(G275-F275)/2</f>
        <v>350</v>
      </c>
      <c r="G277" s="351" t="n">
        <f aca="false">(H276+G276)*(H275-G275)/2</f>
        <v>390</v>
      </c>
      <c r="H277" s="351" t="n">
        <f aca="false">(I276+H276)*(I275-H275)/2</f>
        <v>103.5</v>
      </c>
      <c r="I277" s="351" t="n">
        <f aca="false">(J276+I276)*(J275-I275)/2</f>
        <v>131.1</v>
      </c>
      <c r="J277" s="351" t="n">
        <f aca="false">(K276+J276)*(K275-J275)/2</f>
        <v>9.00000000000001</v>
      </c>
      <c r="K277" s="351" t="n">
        <f aca="false">(L276+K276)*(L275-K275)/2</f>
        <v>3</v>
      </c>
      <c r="L277" s="351" t="n">
        <f aca="false">(M276+L276)*(M275-L275)/2</f>
        <v>0</v>
      </c>
      <c r="M277" s="351" t="n">
        <f aca="false">(N276+M276)*(N275-M275)/2</f>
        <v>0</v>
      </c>
      <c r="N277" s="351" t="n">
        <f aca="false">(O276+N276)*(O275-N275)/2</f>
        <v>0</v>
      </c>
      <c r="O277" s="351" t="n">
        <f aca="false">(P276+O276)*(P275-O275)/2</f>
        <v>0</v>
      </c>
      <c r="P277" s="351" t="n">
        <f aca="false">(Q276+P276)*(Q275-P275)/2</f>
        <v>0</v>
      </c>
      <c r="Q277" s="351" t="n">
        <f aca="false">(R276+Q276)*(R275-Q275)/2</f>
        <v>0</v>
      </c>
      <c r="R277" s="351" t="n">
        <f aca="false">(S276+R276)*(S275-R275)/2</f>
        <v>0</v>
      </c>
      <c r="S277" s="351" t="n">
        <f aca="false">(T276+S276)*(T275-S275)/2</f>
        <v>0</v>
      </c>
      <c r="T277" s="351" t="n">
        <f aca="false">(U276+T276)*(U275-T275)/2</f>
        <v>0</v>
      </c>
      <c r="U277" s="351" t="n">
        <f aca="false">(V276+U276)*(V275-U275)/2</f>
        <v>0</v>
      </c>
      <c r="V277" s="351" t="n">
        <f aca="false">(W276+V276)*(W275-V275)/2</f>
        <v>0</v>
      </c>
      <c r="W277" s="351" t="n">
        <f aca="false">(X276+W276)*(X275-W275)/2</f>
        <v>0</v>
      </c>
      <c r="X277" s="351" t="n">
        <f aca="false">(Y276+X276)*(Y275-X275)/2</f>
        <v>0</v>
      </c>
      <c r="Y277" s="337"/>
    </row>
    <row r="278" customFormat="false" ht="12.75" hidden="false" customHeight="false" outlineLevel="0" collapsed="false"/>
    <row r="279" customFormat="false" ht="13.5" hidden="false" customHeight="false" outlineLevel="0" collapsed="false">
      <c r="A279" s="339" t="s">
        <v>294</v>
      </c>
      <c r="B279" s="340" t="n">
        <f aca="false">ROW(A279)</f>
        <v>279</v>
      </c>
      <c r="C279" s="323" t="s">
        <v>212</v>
      </c>
      <c r="D279" s="324" t="n">
        <f aca="false">SUM(B282:Y282)</f>
        <v>2058.37</v>
      </c>
      <c r="E279" s="323" t="s">
        <v>213</v>
      </c>
      <c r="F279" s="325" t="n">
        <f aca="false">D279/g/J279</f>
        <v>203.120667315983</v>
      </c>
      <c r="G279" s="323" t="s">
        <v>214</v>
      </c>
      <c r="H279" s="341" t="n">
        <v>1.685</v>
      </c>
      <c r="I279" s="323" t="s">
        <v>225</v>
      </c>
      <c r="J279" s="326" t="n">
        <f aca="false">H279-L279</f>
        <v>1.033</v>
      </c>
      <c r="K279" s="323" t="s">
        <v>226</v>
      </c>
      <c r="L279" s="341" t="n">
        <v>0.652</v>
      </c>
      <c r="M279" s="323" t="s">
        <v>217</v>
      </c>
      <c r="N279" s="342" t="n">
        <v>250</v>
      </c>
      <c r="O279" s="323" t="s">
        <v>218</v>
      </c>
      <c r="P279" s="342" t="n">
        <v>240</v>
      </c>
      <c r="Q279" s="323" t="s">
        <v>219</v>
      </c>
      <c r="R279" s="342" t="n">
        <v>488</v>
      </c>
      <c r="S279" s="323" t="s">
        <v>220</v>
      </c>
      <c r="T279" s="342" t="n">
        <v>54</v>
      </c>
      <c r="U279" s="323" t="s">
        <v>8</v>
      </c>
      <c r="V279" s="343" t="s">
        <v>78</v>
      </c>
      <c r="W279" s="338"/>
      <c r="X279" s="338"/>
      <c r="Y279" s="338"/>
    </row>
    <row r="280" customFormat="false" ht="12" hidden="false" customHeight="false" outlineLevel="0" collapsed="false">
      <c r="A280" s="321" t="s">
        <v>227</v>
      </c>
      <c r="B280" s="344" t="n">
        <v>0</v>
      </c>
      <c r="C280" s="345" t="n">
        <v>0.05</v>
      </c>
      <c r="D280" s="345" t="n">
        <v>0.5</v>
      </c>
      <c r="E280" s="345" t="n">
        <v>1</v>
      </c>
      <c r="F280" s="345" t="n">
        <v>1.5</v>
      </c>
      <c r="G280" s="345" t="n">
        <v>2</v>
      </c>
      <c r="H280" s="345" t="n">
        <v>2.5</v>
      </c>
      <c r="I280" s="345" t="n">
        <v>2.97</v>
      </c>
      <c r="J280" s="345" t="n">
        <v>3.2</v>
      </c>
      <c r="K280" s="345" t="n">
        <v>3.47</v>
      </c>
      <c r="L280" s="345" t="n">
        <v>3.59</v>
      </c>
      <c r="M280" s="345" t="n">
        <v>3.59</v>
      </c>
      <c r="N280" s="345" t="n">
        <v>3.59</v>
      </c>
      <c r="O280" s="345" t="n">
        <v>3.59</v>
      </c>
      <c r="P280" s="345" t="n">
        <v>3.59</v>
      </c>
      <c r="Q280" s="345" t="n">
        <v>3.59</v>
      </c>
      <c r="R280" s="345" t="n">
        <v>3.59</v>
      </c>
      <c r="S280" s="345" t="n">
        <v>3.59</v>
      </c>
      <c r="T280" s="345" t="n">
        <v>3.59</v>
      </c>
      <c r="U280" s="345" t="n">
        <v>3.59</v>
      </c>
      <c r="V280" s="345" t="n">
        <v>3.59</v>
      </c>
      <c r="W280" s="345" t="n">
        <v>3.59</v>
      </c>
      <c r="X280" s="345" t="n">
        <v>3.59</v>
      </c>
      <c r="Y280" s="333" t="n">
        <v>1000</v>
      </c>
    </row>
    <row r="281" customFormat="false" ht="12" hidden="false" customHeight="false" outlineLevel="0" collapsed="false">
      <c r="A281" s="346" t="s">
        <v>228</v>
      </c>
      <c r="B281" s="347" t="n">
        <v>0</v>
      </c>
      <c r="C281" s="348" t="n">
        <v>893</v>
      </c>
      <c r="D281" s="348" t="n">
        <v>798</v>
      </c>
      <c r="E281" s="348" t="n">
        <v>739</v>
      </c>
      <c r="F281" s="348" t="n">
        <v>659</v>
      </c>
      <c r="G281" s="348" t="n">
        <v>586</v>
      </c>
      <c r="H281" s="348" t="n">
        <v>513</v>
      </c>
      <c r="I281" s="348" t="n">
        <v>417</v>
      </c>
      <c r="J281" s="348" t="n">
        <v>225</v>
      </c>
      <c r="K281" s="348" t="n">
        <v>67</v>
      </c>
      <c r="L281" s="348" t="n">
        <v>0</v>
      </c>
      <c r="M281" s="348" t="n">
        <v>0</v>
      </c>
      <c r="N281" s="348" t="n">
        <v>0</v>
      </c>
      <c r="O281" s="348" t="n">
        <v>0</v>
      </c>
      <c r="P281" s="348" t="n">
        <v>0</v>
      </c>
      <c r="Q281" s="348" t="n">
        <v>0</v>
      </c>
      <c r="R281" s="348" t="n">
        <v>0</v>
      </c>
      <c r="S281" s="348" t="n">
        <v>0</v>
      </c>
      <c r="T281" s="348" t="n">
        <v>0</v>
      </c>
      <c r="U281" s="348" t="n">
        <v>0</v>
      </c>
      <c r="V281" s="348" t="n">
        <v>0</v>
      </c>
      <c r="W281" s="348" t="n">
        <v>0</v>
      </c>
      <c r="X281" s="348" t="n">
        <v>0</v>
      </c>
      <c r="Y281" s="349" t="n">
        <v>0</v>
      </c>
    </row>
    <row r="282" customFormat="false" ht="12.75" hidden="false" customHeight="false" outlineLevel="0" collapsed="false">
      <c r="A282" s="360" t="s">
        <v>229</v>
      </c>
      <c r="B282" s="350" t="n">
        <f aca="false">(C281+B281)*(C280-B280)/2</f>
        <v>22.325</v>
      </c>
      <c r="C282" s="351" t="n">
        <f aca="false">(D281+C281)*(D280-C280)/2</f>
        <v>380.475</v>
      </c>
      <c r="D282" s="351" t="n">
        <f aca="false">(E281+D281)*(E280-D280)/2</f>
        <v>384.25</v>
      </c>
      <c r="E282" s="351" t="n">
        <f aca="false">(F281+E281)*(F280-E280)/2</f>
        <v>349.5</v>
      </c>
      <c r="F282" s="351" t="n">
        <f aca="false">(G281+F281)*(G280-F280)/2</f>
        <v>311.25</v>
      </c>
      <c r="G282" s="351" t="n">
        <f aca="false">(H281+G281)*(H280-G280)/2</f>
        <v>274.75</v>
      </c>
      <c r="H282" s="351" t="n">
        <f aca="false">(I281+H281)*(I280-H280)/2</f>
        <v>218.55</v>
      </c>
      <c r="I282" s="351" t="n">
        <f aca="false">(J281+I281)*(J280-I280)/2</f>
        <v>73.83</v>
      </c>
      <c r="J282" s="351" t="n">
        <f aca="false">(K281+J281)*(K280-J280)/2</f>
        <v>39.42</v>
      </c>
      <c r="K282" s="351" t="n">
        <f aca="false">(L281+K281)*(L280-K280)/2</f>
        <v>4.01999999999999</v>
      </c>
      <c r="L282" s="351" t="n">
        <f aca="false">(M281+L281)*(M280-L280)/2</f>
        <v>0</v>
      </c>
      <c r="M282" s="351" t="n">
        <f aca="false">(N281+M281)*(N280-M280)/2</f>
        <v>0</v>
      </c>
      <c r="N282" s="351" t="n">
        <f aca="false">(O281+N281)*(O280-N280)/2</f>
        <v>0</v>
      </c>
      <c r="O282" s="351" t="n">
        <f aca="false">(P281+O281)*(P280-O280)/2</f>
        <v>0</v>
      </c>
      <c r="P282" s="351" t="n">
        <f aca="false">(Q281+P281)*(Q280-P280)/2</f>
        <v>0</v>
      </c>
      <c r="Q282" s="351" t="n">
        <f aca="false">(R281+Q281)*(R280-Q280)/2</f>
        <v>0</v>
      </c>
      <c r="R282" s="351" t="n">
        <f aca="false">(S281+R281)*(S280-R280)/2</f>
        <v>0</v>
      </c>
      <c r="S282" s="351" t="n">
        <f aca="false">(T281+S281)*(T280-S280)/2</f>
        <v>0</v>
      </c>
      <c r="T282" s="351" t="n">
        <f aca="false">(U281+T281)*(U280-T280)/2</f>
        <v>0</v>
      </c>
      <c r="U282" s="351" t="n">
        <f aca="false">(V281+U281)*(V280-U280)/2</f>
        <v>0</v>
      </c>
      <c r="V282" s="351" t="n">
        <f aca="false">(W281+V281)*(W280-V280)/2</f>
        <v>0</v>
      </c>
      <c r="W282" s="351" t="n">
        <f aca="false">(X281+W281)*(X280-W280)/2</f>
        <v>0</v>
      </c>
      <c r="X282" s="351" t="n">
        <f aca="false">(Y281+X281)*(Y280-X280)/2</f>
        <v>0</v>
      </c>
      <c r="Y282" s="337"/>
    </row>
    <row r="283" customFormat="false" ht="12.75" hidden="false" customHeight="false" outlineLevel="0" collapsed="false">
      <c r="B283" s="338"/>
      <c r="C283" s="338"/>
      <c r="D283" s="338"/>
      <c r="E283" s="338"/>
      <c r="F283" s="338"/>
      <c r="G283" s="338"/>
      <c r="H283" s="338"/>
      <c r="I283" s="338"/>
      <c r="J283" s="338"/>
      <c r="K283" s="338"/>
      <c r="L283" s="338"/>
      <c r="M283" s="338"/>
      <c r="N283" s="338"/>
      <c r="O283" s="338"/>
      <c r="P283" s="338"/>
      <c r="Q283" s="338"/>
      <c r="R283" s="338"/>
      <c r="S283" s="338"/>
      <c r="T283" s="338"/>
      <c r="U283" s="338"/>
      <c r="V283" s="338"/>
      <c r="W283" s="338"/>
      <c r="X283" s="338"/>
      <c r="Y283" s="338"/>
    </row>
    <row r="284" customFormat="false" ht="13.5" hidden="false" customHeight="false" outlineLevel="0" collapsed="false">
      <c r="A284" s="339" t="s">
        <v>295</v>
      </c>
      <c r="B284" s="340" t="n">
        <f aca="false">ROW(A284)</f>
        <v>284</v>
      </c>
      <c r="C284" s="323" t="s">
        <v>212</v>
      </c>
      <c r="D284" s="324" t="n">
        <f aca="false">SUM(B287:Y287)</f>
        <v>2486.042</v>
      </c>
      <c r="E284" s="323" t="s">
        <v>213</v>
      </c>
      <c r="F284" s="325" t="n">
        <f aca="false">D284/g/J284</f>
        <v>199.542648912005</v>
      </c>
      <c r="G284" s="323" t="s">
        <v>214</v>
      </c>
      <c r="H284" s="341" t="n">
        <v>2.59</v>
      </c>
      <c r="I284" s="323" t="s">
        <v>225</v>
      </c>
      <c r="J284" s="326" t="n">
        <f aca="false">H284-L284</f>
        <v>1.27</v>
      </c>
      <c r="K284" s="323" t="s">
        <v>226</v>
      </c>
      <c r="L284" s="341" t="n">
        <v>1.32</v>
      </c>
      <c r="M284" s="323" t="s">
        <v>217</v>
      </c>
      <c r="N284" s="342" t="n">
        <v>175</v>
      </c>
      <c r="O284" s="323" t="s">
        <v>218</v>
      </c>
      <c r="P284" s="342" t="n">
        <v>175</v>
      </c>
      <c r="Q284" s="323" t="s">
        <v>219</v>
      </c>
      <c r="R284" s="342" t="n">
        <v>350</v>
      </c>
      <c r="S284" s="323" t="s">
        <v>220</v>
      </c>
      <c r="T284" s="342" t="n">
        <v>75</v>
      </c>
      <c r="U284" s="323" t="s">
        <v>8</v>
      </c>
      <c r="V284" s="343" t="s">
        <v>78</v>
      </c>
      <c r="W284" s="338"/>
      <c r="X284" s="338"/>
      <c r="Y284" s="338"/>
    </row>
    <row r="285" customFormat="false" ht="12" hidden="false" customHeight="false" outlineLevel="0" collapsed="false">
      <c r="A285" s="321" t="s">
        <v>227</v>
      </c>
      <c r="B285" s="344" t="n">
        <v>0</v>
      </c>
      <c r="C285" s="345" t="n">
        <v>0.04</v>
      </c>
      <c r="D285" s="345" t="n">
        <v>0.07</v>
      </c>
      <c r="E285" s="345" t="n">
        <v>0.1</v>
      </c>
      <c r="F285" s="345" t="n">
        <v>0.21</v>
      </c>
      <c r="G285" s="345" t="n">
        <v>0.35</v>
      </c>
      <c r="H285" s="345" t="n">
        <v>0.53</v>
      </c>
      <c r="I285" s="345" t="n">
        <v>0.82</v>
      </c>
      <c r="J285" s="345" t="n">
        <v>1.18</v>
      </c>
      <c r="K285" s="345" t="n">
        <v>1.72</v>
      </c>
      <c r="L285" s="345" t="n">
        <v>2.15</v>
      </c>
      <c r="M285" s="345" t="n">
        <v>2.39</v>
      </c>
      <c r="N285" s="345" t="n">
        <v>2.9</v>
      </c>
      <c r="O285" s="345" t="n">
        <v>3.07</v>
      </c>
      <c r="P285" s="345" t="n">
        <v>3.56</v>
      </c>
      <c r="Q285" s="345" t="n">
        <v>3.98</v>
      </c>
      <c r="R285" s="345" t="n">
        <v>4.32</v>
      </c>
      <c r="S285" s="345" t="n">
        <v>4.48</v>
      </c>
      <c r="T285" s="345" t="n">
        <v>4.6</v>
      </c>
      <c r="U285" s="345" t="n">
        <v>4.65</v>
      </c>
      <c r="V285" s="345" t="n">
        <v>4.8</v>
      </c>
      <c r="W285" s="345" t="n">
        <v>4.83</v>
      </c>
      <c r="X285" s="345" t="n">
        <v>4.84</v>
      </c>
      <c r="Y285" s="333" t="n">
        <v>1000</v>
      </c>
    </row>
    <row r="286" customFormat="false" ht="12" hidden="false" customHeight="false" outlineLevel="0" collapsed="false">
      <c r="A286" s="346" t="s">
        <v>228</v>
      </c>
      <c r="B286" s="347" t="n">
        <v>0</v>
      </c>
      <c r="C286" s="348" t="n">
        <v>394.4</v>
      </c>
      <c r="D286" s="348" t="n">
        <v>617.7</v>
      </c>
      <c r="E286" s="348" t="n">
        <v>645.1</v>
      </c>
      <c r="F286" s="348" t="n">
        <v>658.2</v>
      </c>
      <c r="G286" s="348" t="n">
        <v>669.2</v>
      </c>
      <c r="H286" s="348" t="n">
        <v>667.7</v>
      </c>
      <c r="I286" s="348" t="n">
        <v>661.6</v>
      </c>
      <c r="J286" s="348" t="n">
        <v>626.9</v>
      </c>
      <c r="K286" s="348" t="n">
        <v>588.5</v>
      </c>
      <c r="L286" s="348" t="n">
        <v>557.7</v>
      </c>
      <c r="M286" s="348" t="n">
        <v>542.3</v>
      </c>
      <c r="N286" s="348" t="n">
        <v>492.9</v>
      </c>
      <c r="O286" s="348" t="n">
        <v>470.3</v>
      </c>
      <c r="P286" s="348" t="n">
        <v>426.8</v>
      </c>
      <c r="Q286" s="348" t="n">
        <v>399</v>
      </c>
      <c r="R286" s="348" t="n">
        <v>394</v>
      </c>
      <c r="S286" s="348" t="n">
        <v>380.6</v>
      </c>
      <c r="T286" s="348" t="n">
        <v>364.2</v>
      </c>
      <c r="U286" s="348" t="n">
        <v>290.9</v>
      </c>
      <c r="V286" s="348" t="n">
        <v>91.2</v>
      </c>
      <c r="W286" s="348" t="n">
        <v>45.8</v>
      </c>
      <c r="X286" s="348" t="n">
        <v>0</v>
      </c>
      <c r="Y286" s="349" t="n">
        <v>0</v>
      </c>
    </row>
    <row r="287" customFormat="false" ht="12.75" hidden="false" customHeight="false" outlineLevel="0" collapsed="false">
      <c r="A287" s="334" t="s">
        <v>229</v>
      </c>
      <c r="B287" s="350" t="n">
        <f aca="false">(C286+B286)*(C285-B285)/2</f>
        <v>7.888</v>
      </c>
      <c r="C287" s="351" t="n">
        <f aca="false">(D286+C286)*(D285-C285)/2</f>
        <v>15.1815</v>
      </c>
      <c r="D287" s="351" t="n">
        <f aca="false">(E286+D286)*(E285-D285)/2</f>
        <v>18.942</v>
      </c>
      <c r="E287" s="351" t="n">
        <f aca="false">(F286+E286)*(F285-E285)/2</f>
        <v>71.6815</v>
      </c>
      <c r="F287" s="351" t="n">
        <f aca="false">(G286+F286)*(G285-F285)/2</f>
        <v>92.918</v>
      </c>
      <c r="G287" s="351" t="n">
        <f aca="false">(H286+G286)*(H285-G285)/2</f>
        <v>120.321</v>
      </c>
      <c r="H287" s="351" t="n">
        <f aca="false">(I286+H286)*(I285-H285)/2</f>
        <v>192.7485</v>
      </c>
      <c r="I287" s="351" t="n">
        <f aca="false">(J286+I286)*(J285-I285)/2</f>
        <v>231.93</v>
      </c>
      <c r="J287" s="351" t="n">
        <f aca="false">(K286+J286)*(K285-J285)/2</f>
        <v>328.158</v>
      </c>
      <c r="K287" s="351" t="n">
        <f aca="false">(L286+K286)*(L285-K285)/2</f>
        <v>246.433</v>
      </c>
      <c r="L287" s="351" t="n">
        <f aca="false">(M286+L286)*(M285-L285)/2</f>
        <v>132</v>
      </c>
      <c r="M287" s="351" t="n">
        <f aca="false">(N286+M286)*(N285-M285)/2</f>
        <v>263.976</v>
      </c>
      <c r="N287" s="351" t="n">
        <f aca="false">(O286+N286)*(O285-N285)/2</f>
        <v>81.872</v>
      </c>
      <c r="O287" s="351" t="n">
        <f aca="false">(P286+O286)*(P285-O285)/2</f>
        <v>219.7895</v>
      </c>
      <c r="P287" s="351" t="n">
        <f aca="false">(Q286+P286)*(Q285-P285)/2</f>
        <v>173.418</v>
      </c>
      <c r="Q287" s="351" t="n">
        <f aca="false">(R286+Q286)*(R285-Q285)/2</f>
        <v>134.81</v>
      </c>
      <c r="R287" s="351" t="n">
        <f aca="false">(S286+R286)*(S285-R285)/2</f>
        <v>61.9680000000001</v>
      </c>
      <c r="S287" s="351" t="n">
        <f aca="false">(T286+S286)*(T285-S285)/2</f>
        <v>44.6879999999997</v>
      </c>
      <c r="T287" s="351" t="n">
        <f aca="false">(U286+T286)*(U285-T285)/2</f>
        <v>16.3775000000002</v>
      </c>
      <c r="U287" s="351" t="n">
        <f aca="false">(V286+U286)*(V285-U285)/2</f>
        <v>28.6574999999999</v>
      </c>
      <c r="V287" s="351" t="n">
        <f aca="false">(W286+V286)*(W285-V285)/2</f>
        <v>2.05500000000002</v>
      </c>
      <c r="W287" s="351" t="n">
        <f aca="false">(X286+W286)*(X285-W285)/2</f>
        <v>0.228999999999995</v>
      </c>
      <c r="X287" s="351" t="n">
        <f aca="false">(Y286+X286)*(Y285-X285)/2</f>
        <v>0</v>
      </c>
      <c r="Y287" s="337"/>
    </row>
    <row r="288" customFormat="false" ht="12.75" hidden="false" customHeight="false" outlineLevel="0" collapsed="false">
      <c r="A288" s="338"/>
      <c r="L288" s="338"/>
      <c r="M288" s="338"/>
      <c r="N288" s="338"/>
      <c r="O288" s="338"/>
      <c r="P288" s="338"/>
      <c r="Q288" s="338"/>
      <c r="R288" s="338"/>
      <c r="S288" s="338"/>
      <c r="T288" s="338"/>
      <c r="U288" s="338"/>
      <c r="V288" s="338"/>
      <c r="W288" s="338"/>
      <c r="X288" s="338"/>
      <c r="Y288" s="338"/>
    </row>
    <row r="289" customFormat="false" ht="13.5" hidden="false" customHeight="false" outlineLevel="0" collapsed="false">
      <c r="A289" s="339" t="s">
        <v>296</v>
      </c>
      <c r="B289" s="340" t="n">
        <f aca="false">ROW(A289)</f>
        <v>289</v>
      </c>
      <c r="C289" s="323" t="s">
        <v>212</v>
      </c>
      <c r="D289" s="324" t="n">
        <f aca="false">SUM(B292:Y292)</f>
        <v>3739.0285</v>
      </c>
      <c r="E289" s="323" t="s">
        <v>213</v>
      </c>
      <c r="F289" s="325" t="n">
        <f aca="false">D289/g/J289</f>
        <v>203.494179044123</v>
      </c>
      <c r="G289" s="323" t="s">
        <v>214</v>
      </c>
      <c r="H289" s="341" t="n">
        <v>3.511</v>
      </c>
      <c r="I289" s="323" t="s">
        <v>225</v>
      </c>
      <c r="J289" s="326" t="n">
        <f aca="false">H289-L289</f>
        <v>1.873</v>
      </c>
      <c r="K289" s="323" t="s">
        <v>226</v>
      </c>
      <c r="L289" s="341" t="n">
        <v>1.638</v>
      </c>
      <c r="M289" s="323" t="s">
        <v>217</v>
      </c>
      <c r="N289" s="342" t="n">
        <v>243</v>
      </c>
      <c r="O289" s="323" t="s">
        <v>218</v>
      </c>
      <c r="P289" s="342" t="n">
        <v>243</v>
      </c>
      <c r="Q289" s="323" t="s">
        <v>219</v>
      </c>
      <c r="R289" s="342" t="n">
        <v>486</v>
      </c>
      <c r="S289" s="323" t="s">
        <v>220</v>
      </c>
      <c r="T289" s="342" t="n">
        <v>75</v>
      </c>
      <c r="U289" s="323" t="s">
        <v>8</v>
      </c>
      <c r="V289" s="343" t="s">
        <v>78</v>
      </c>
      <c r="W289" s="338"/>
      <c r="X289" s="338"/>
      <c r="Y289" s="338"/>
    </row>
    <row r="290" customFormat="false" ht="12" hidden="false" customHeight="false" outlineLevel="0" collapsed="false">
      <c r="A290" s="321" t="s">
        <v>227</v>
      </c>
      <c r="B290" s="344" t="n">
        <v>0</v>
      </c>
      <c r="C290" s="345" t="n">
        <v>0.01</v>
      </c>
      <c r="D290" s="345" t="n">
        <v>0.1</v>
      </c>
      <c r="E290" s="345" t="n">
        <v>0.12</v>
      </c>
      <c r="F290" s="345" t="n">
        <v>0.26</v>
      </c>
      <c r="G290" s="345" t="n">
        <v>0.71</v>
      </c>
      <c r="H290" s="345" t="n">
        <v>1.28</v>
      </c>
      <c r="I290" s="345" t="n">
        <v>2.05</v>
      </c>
      <c r="J290" s="345" t="n">
        <v>2.41</v>
      </c>
      <c r="K290" s="345" t="n">
        <v>2.83</v>
      </c>
      <c r="L290" s="345" t="n">
        <v>3.25</v>
      </c>
      <c r="M290" s="345" t="n">
        <v>3.65</v>
      </c>
      <c r="N290" s="345" t="n">
        <v>3.8</v>
      </c>
      <c r="O290" s="345" t="n">
        <v>4</v>
      </c>
      <c r="P290" s="345" t="n">
        <v>4.1</v>
      </c>
      <c r="Q290" s="345" t="n">
        <v>4.19</v>
      </c>
      <c r="R290" s="345" t="n">
        <v>4.31</v>
      </c>
      <c r="S290" s="345" t="n">
        <v>4.41</v>
      </c>
      <c r="T290" s="345" t="n">
        <v>4.52</v>
      </c>
      <c r="U290" s="345" t="n">
        <v>4.6</v>
      </c>
      <c r="V290" s="345" t="n">
        <v>4.65</v>
      </c>
      <c r="W290" s="345" t="n">
        <v>4.67</v>
      </c>
      <c r="X290" s="345" t="n">
        <v>4.68</v>
      </c>
      <c r="Y290" s="333" t="n">
        <v>1000</v>
      </c>
    </row>
    <row r="291" customFormat="false" ht="12" hidden="false" customHeight="false" outlineLevel="0" collapsed="false">
      <c r="A291" s="346" t="s">
        <v>228</v>
      </c>
      <c r="B291" s="347" t="n">
        <v>27</v>
      </c>
      <c r="C291" s="348" t="n">
        <v>402.4</v>
      </c>
      <c r="D291" s="348" t="n">
        <v>1286</v>
      </c>
      <c r="E291" s="348" t="n">
        <v>1257</v>
      </c>
      <c r="F291" s="348" t="n">
        <v>1042</v>
      </c>
      <c r="G291" s="348" t="n">
        <v>1027</v>
      </c>
      <c r="H291" s="348" t="n">
        <v>998.4</v>
      </c>
      <c r="I291" s="348" t="n">
        <v>901.4</v>
      </c>
      <c r="J291" s="348" t="n">
        <v>849.6</v>
      </c>
      <c r="K291" s="348" t="n">
        <v>763.5</v>
      </c>
      <c r="L291" s="348" t="n">
        <v>707.1</v>
      </c>
      <c r="M291" s="348" t="n">
        <v>655.1</v>
      </c>
      <c r="N291" s="348" t="n">
        <v>651.7</v>
      </c>
      <c r="O291" s="348" t="n">
        <v>624.1</v>
      </c>
      <c r="P291" s="348" t="n">
        <v>601.3</v>
      </c>
      <c r="Q291" s="348" t="n">
        <v>536.2</v>
      </c>
      <c r="R291" s="348" t="n">
        <v>415.7</v>
      </c>
      <c r="S291" s="348" t="n">
        <v>270.2</v>
      </c>
      <c r="T291" s="348" t="n">
        <v>140.2</v>
      </c>
      <c r="U291" s="348" t="n">
        <v>76.9</v>
      </c>
      <c r="V291" s="348" t="n">
        <v>54.9</v>
      </c>
      <c r="W291" s="348" t="n">
        <v>40.2</v>
      </c>
      <c r="X291" s="348" t="n">
        <v>0</v>
      </c>
      <c r="Y291" s="349" t="n">
        <v>0</v>
      </c>
    </row>
    <row r="292" customFormat="false" ht="12.75" hidden="false" customHeight="false" outlineLevel="0" collapsed="false">
      <c r="A292" s="334" t="s">
        <v>229</v>
      </c>
      <c r="B292" s="350" t="n">
        <f aca="false">(C291+B291)*(C290-B290)/2</f>
        <v>2.147</v>
      </c>
      <c r="C292" s="351" t="n">
        <f aca="false">(D291+C291)*(D290-C290)/2</f>
        <v>75.978</v>
      </c>
      <c r="D292" s="351" t="n">
        <f aca="false">(E291+D291)*(E290-D290)/2</f>
        <v>25.43</v>
      </c>
      <c r="E292" s="351" t="n">
        <f aca="false">(F291+E291)*(F290-E290)/2</f>
        <v>160.93</v>
      </c>
      <c r="F292" s="351" t="n">
        <f aca="false">(G291+F291)*(G290-F290)/2</f>
        <v>465.525</v>
      </c>
      <c r="G292" s="351" t="n">
        <f aca="false">(H291+G291)*(H290-G290)/2</f>
        <v>577.239</v>
      </c>
      <c r="H292" s="351" t="n">
        <f aca="false">(I291+H291)*(I290-H290)/2</f>
        <v>731.423</v>
      </c>
      <c r="I292" s="351" t="n">
        <f aca="false">(J291+I291)*(J290-I290)/2</f>
        <v>315.18</v>
      </c>
      <c r="J292" s="351" t="n">
        <f aca="false">(K291+J291)*(K290-J290)/2</f>
        <v>338.751</v>
      </c>
      <c r="K292" s="351" t="n">
        <f aca="false">(L291+K291)*(L290-K290)/2</f>
        <v>308.826</v>
      </c>
      <c r="L292" s="351" t="n">
        <f aca="false">(M291+L291)*(M290-L290)/2</f>
        <v>272.44</v>
      </c>
      <c r="M292" s="351" t="n">
        <f aca="false">(N291+M291)*(N290-M290)/2</f>
        <v>98.01</v>
      </c>
      <c r="N292" s="351" t="n">
        <f aca="false">(O291+N291)*(O290-N290)/2</f>
        <v>127.58</v>
      </c>
      <c r="O292" s="351" t="n">
        <f aca="false">(P291+O291)*(P290-O290)/2</f>
        <v>61.2699999999998</v>
      </c>
      <c r="P292" s="351" t="n">
        <f aca="false">(Q291+P291)*(Q290-P290)/2</f>
        <v>51.1875000000004</v>
      </c>
      <c r="Q292" s="351" t="n">
        <f aca="false">(R291+Q291)*(R290-Q290)/2</f>
        <v>57.1139999999996</v>
      </c>
      <c r="R292" s="351" t="n">
        <f aca="false">(S291+R291)*(S290-R290)/2</f>
        <v>34.2950000000002</v>
      </c>
      <c r="S292" s="351" t="n">
        <f aca="false">(T291+S291)*(T290-S290)/2</f>
        <v>22.5719999999999</v>
      </c>
      <c r="T292" s="351" t="n">
        <f aca="false">(U291+T291)*(U290-T290)/2</f>
        <v>8.68400000000001</v>
      </c>
      <c r="U292" s="351" t="n">
        <f aca="false">(V291+U291)*(V290-U290)/2</f>
        <v>3.29500000000005</v>
      </c>
      <c r="V292" s="351" t="n">
        <f aca="false">(W291+V291)*(W290-V290)/2</f>
        <v>0.95099999999998</v>
      </c>
      <c r="W292" s="351" t="n">
        <f aca="false">(X291+W291)*(X290-W290)/2</f>
        <v>0.200999999999996</v>
      </c>
      <c r="X292" s="351" t="n">
        <f aca="false">(Y291+X291)*(Y290-X290)/2</f>
        <v>0</v>
      </c>
      <c r="Y292" s="337"/>
    </row>
    <row r="293" customFormat="false" ht="12.75" hidden="false" customHeight="false" outlineLevel="0" collapsed="false">
      <c r="B293" s="338"/>
      <c r="C293" s="338"/>
      <c r="D293" s="338"/>
      <c r="E293" s="338"/>
      <c r="F293" s="338"/>
      <c r="G293" s="338"/>
      <c r="H293" s="338"/>
      <c r="I293" s="338"/>
      <c r="J293" s="338"/>
      <c r="K293" s="338"/>
      <c r="L293" s="338"/>
      <c r="M293" s="338"/>
      <c r="N293" s="338"/>
      <c r="O293" s="338"/>
      <c r="P293" s="338"/>
      <c r="Q293" s="338"/>
      <c r="R293" s="338"/>
      <c r="S293" s="338"/>
      <c r="T293" s="338"/>
      <c r="U293" s="338"/>
      <c r="V293" s="338"/>
      <c r="W293" s="338"/>
      <c r="X293" s="338"/>
      <c r="Y293" s="338"/>
    </row>
    <row r="294" customFormat="false" ht="13.5" hidden="false" customHeight="false" outlineLevel="0" collapsed="false">
      <c r="A294" s="339" t="s">
        <v>297</v>
      </c>
      <c r="B294" s="340" t="n">
        <f aca="false">ROW(A294)</f>
        <v>294</v>
      </c>
      <c r="C294" s="323" t="s">
        <v>212</v>
      </c>
      <c r="D294" s="324" t="n">
        <f aca="false">SUM(B297:Y297)</f>
        <v>5322.281316</v>
      </c>
      <c r="E294" s="323" t="s">
        <v>213</v>
      </c>
      <c r="F294" s="325" t="n">
        <f aca="false">D294/g/J294</f>
        <v>210.041162103189</v>
      </c>
      <c r="G294" s="323" t="s">
        <v>214</v>
      </c>
      <c r="H294" s="341" t="n">
        <v>4.977</v>
      </c>
      <c r="I294" s="323" t="s">
        <v>225</v>
      </c>
      <c r="J294" s="326" t="n">
        <f aca="false">H294-L294</f>
        <v>2.583</v>
      </c>
      <c r="K294" s="323" t="s">
        <v>226</v>
      </c>
      <c r="L294" s="341" t="n">
        <v>2.394</v>
      </c>
      <c r="M294" s="323" t="s">
        <v>217</v>
      </c>
      <c r="N294" s="342" t="n">
        <v>197</v>
      </c>
      <c r="O294" s="323" t="s">
        <v>218</v>
      </c>
      <c r="P294" s="342" t="n">
        <v>197</v>
      </c>
      <c r="Q294" s="323" t="s">
        <v>219</v>
      </c>
      <c r="R294" s="342" t="n">
        <v>394</v>
      </c>
      <c r="S294" s="323" t="s">
        <v>220</v>
      </c>
      <c r="T294" s="342" t="n">
        <v>98</v>
      </c>
      <c r="U294" s="323" t="s">
        <v>8</v>
      </c>
      <c r="V294" s="343" t="s">
        <v>78</v>
      </c>
      <c r="W294" s="338"/>
      <c r="X294" s="338"/>
      <c r="Y294" s="338"/>
    </row>
    <row r="295" customFormat="false" ht="12" hidden="false" customHeight="false" outlineLevel="0" collapsed="false">
      <c r="A295" s="321" t="s">
        <v>227</v>
      </c>
      <c r="B295" s="344" t="n">
        <v>0</v>
      </c>
      <c r="C295" s="345" t="n">
        <v>0.037</v>
      </c>
      <c r="D295" s="345" t="n">
        <v>0.121</v>
      </c>
      <c r="E295" s="345" t="n">
        <v>0.328</v>
      </c>
      <c r="F295" s="345" t="n">
        <v>1.299</v>
      </c>
      <c r="G295" s="345" t="n">
        <v>1.545</v>
      </c>
      <c r="H295" s="345" t="n">
        <v>1.797</v>
      </c>
      <c r="I295" s="345" t="n">
        <v>1.998</v>
      </c>
      <c r="J295" s="345" t="n">
        <v>2.208</v>
      </c>
      <c r="K295" s="345" t="n">
        <v>2.462</v>
      </c>
      <c r="L295" s="345" t="n">
        <v>2.782</v>
      </c>
      <c r="M295" s="345" t="n">
        <v>3.086</v>
      </c>
      <c r="N295" s="345" t="n">
        <v>3.213</v>
      </c>
      <c r="O295" s="345" t="n">
        <v>3.258</v>
      </c>
      <c r="P295" s="345" t="n">
        <v>3.328</v>
      </c>
      <c r="Q295" s="345" t="n">
        <v>3.383</v>
      </c>
      <c r="R295" s="345" t="n">
        <v>3.428</v>
      </c>
      <c r="S295" s="345" t="n">
        <v>3.5</v>
      </c>
      <c r="T295" s="345" t="n">
        <v>3.5</v>
      </c>
      <c r="U295" s="345" t="n">
        <v>3.5</v>
      </c>
      <c r="V295" s="345" t="n">
        <v>3.5</v>
      </c>
      <c r="W295" s="345" t="n">
        <v>3.5</v>
      </c>
      <c r="X295" s="345" t="n">
        <v>3.5</v>
      </c>
      <c r="Y295" s="333" t="n">
        <v>1000</v>
      </c>
    </row>
    <row r="296" customFormat="false" ht="12" hidden="false" customHeight="false" outlineLevel="0" collapsed="false">
      <c r="A296" s="346" t="s">
        <v>228</v>
      </c>
      <c r="B296" s="347" t="n">
        <v>0</v>
      </c>
      <c r="C296" s="348" t="n">
        <v>1474.12</v>
      </c>
      <c r="D296" s="348" t="n">
        <v>1436.5</v>
      </c>
      <c r="E296" s="348" t="n">
        <v>1523.49</v>
      </c>
      <c r="F296" s="348" t="n">
        <v>1775.06</v>
      </c>
      <c r="G296" s="348" t="n">
        <v>1807.97</v>
      </c>
      <c r="H296" s="348" t="n">
        <v>1807.97</v>
      </c>
      <c r="I296" s="348" t="n">
        <v>1786.81</v>
      </c>
      <c r="J296" s="348" t="n">
        <v>1737.44</v>
      </c>
      <c r="K296" s="348" t="n">
        <v>1572.86</v>
      </c>
      <c r="L296" s="348" t="n">
        <v>1415.34</v>
      </c>
      <c r="M296" s="348" t="n">
        <v>1309.55</v>
      </c>
      <c r="N296" s="348" t="n">
        <v>1290.74</v>
      </c>
      <c r="O296" s="348" t="n">
        <v>1309.55</v>
      </c>
      <c r="P296" s="348" t="n">
        <v>679.459</v>
      </c>
      <c r="Q296" s="348" t="n">
        <v>173.979</v>
      </c>
      <c r="R296" s="348" t="n">
        <v>68.181</v>
      </c>
      <c r="S296" s="348" t="n">
        <v>0</v>
      </c>
      <c r="T296" s="348" t="n">
        <v>0</v>
      </c>
      <c r="U296" s="348" t="n">
        <v>0</v>
      </c>
      <c r="V296" s="348" t="n">
        <v>0</v>
      </c>
      <c r="W296" s="348" t="n">
        <v>0</v>
      </c>
      <c r="X296" s="348" t="n">
        <v>0</v>
      </c>
      <c r="Y296" s="349" t="n">
        <v>0</v>
      </c>
    </row>
    <row r="297" customFormat="false" ht="12.75" hidden="false" customHeight="false" outlineLevel="0" collapsed="false">
      <c r="A297" s="334" t="s">
        <v>229</v>
      </c>
      <c r="B297" s="350" t="n">
        <f aca="false">(C296+B296)*(C295-B295)/2</f>
        <v>27.27122</v>
      </c>
      <c r="C297" s="351" t="n">
        <f aca="false">(D296+C296)*(D295-C295)/2</f>
        <v>122.24604</v>
      </c>
      <c r="D297" s="351" t="n">
        <f aca="false">(E296+D296)*(E295-D295)/2</f>
        <v>306.358965</v>
      </c>
      <c r="E297" s="351" t="n">
        <f aca="false">(F296+E296)*(F295-E295)/2</f>
        <v>1601.446025</v>
      </c>
      <c r="F297" s="351" t="n">
        <f aca="false">(G296+F296)*(G295-F295)/2</f>
        <v>440.71269</v>
      </c>
      <c r="G297" s="351" t="n">
        <f aca="false">(H296+G296)*(H295-G295)/2</f>
        <v>455.60844</v>
      </c>
      <c r="H297" s="351" t="n">
        <f aca="false">(I296+H296)*(I295-H295)/2</f>
        <v>361.27539</v>
      </c>
      <c r="I297" s="351" t="n">
        <f aca="false">(J296+I296)*(J295-I295)/2</f>
        <v>370.04625</v>
      </c>
      <c r="J297" s="351" t="n">
        <f aca="false">(K296+J296)*(K295-J295)/2</f>
        <v>420.4081</v>
      </c>
      <c r="K297" s="351" t="n">
        <f aca="false">(L296+K296)*(L295-K295)/2</f>
        <v>478.112</v>
      </c>
      <c r="L297" s="351" t="n">
        <f aca="false">(M296+L296)*(M295-L295)/2</f>
        <v>414.18328</v>
      </c>
      <c r="M297" s="351" t="n">
        <f aca="false">(N296+M296)*(N295-M295)/2</f>
        <v>165.118415</v>
      </c>
      <c r="N297" s="351" t="n">
        <f aca="false">(O296+N296)*(O295-N295)/2</f>
        <v>58.5065249999999</v>
      </c>
      <c r="O297" s="351" t="n">
        <f aca="false">(P296+O296)*(P295-O295)/2</f>
        <v>69.6153149999998</v>
      </c>
      <c r="P297" s="351" t="n">
        <f aca="false">(Q296+P296)*(Q295-P295)/2</f>
        <v>23.4695450000001</v>
      </c>
      <c r="Q297" s="351" t="n">
        <f aca="false">(R296+Q296)*(R295-Q295)/2</f>
        <v>5.44859999999999</v>
      </c>
      <c r="R297" s="351" t="n">
        <f aca="false">(S296+R296)*(S295-R295)/2</f>
        <v>2.454516</v>
      </c>
      <c r="S297" s="351" t="n">
        <f aca="false">(T296+S296)*(T295-S295)/2</f>
        <v>0</v>
      </c>
      <c r="T297" s="351" t="n">
        <f aca="false">(U296+T296)*(U295-T295)/2</f>
        <v>0</v>
      </c>
      <c r="U297" s="351" t="n">
        <f aca="false">(V296+U296)*(V295-U295)/2</f>
        <v>0</v>
      </c>
      <c r="V297" s="351" t="n">
        <f aca="false">(W296+V296)*(W295-V295)/2</f>
        <v>0</v>
      </c>
      <c r="W297" s="351" t="n">
        <f aca="false">(X296+W296)*(X295-W295)/2</f>
        <v>0</v>
      </c>
      <c r="X297" s="351" t="n">
        <f aca="false">(Y296+X296)*(Y295-X295)/2</f>
        <v>0</v>
      </c>
      <c r="Y297" s="337"/>
    </row>
    <row r="298" customFormat="false" ht="12.75" hidden="false" customHeight="false" outlineLevel="0" collapsed="false">
      <c r="A298" s="338"/>
      <c r="L298" s="338"/>
      <c r="M298" s="338"/>
      <c r="N298" s="338"/>
      <c r="O298" s="338"/>
      <c r="P298" s="338"/>
      <c r="Q298" s="338"/>
      <c r="R298" s="338"/>
      <c r="S298" s="338"/>
      <c r="T298" s="338"/>
      <c r="U298" s="338"/>
      <c r="V298" s="338"/>
      <c r="W298" s="338"/>
      <c r="X298" s="338"/>
      <c r="Y298" s="338"/>
    </row>
    <row r="299" customFormat="false" ht="13.5" hidden="false" customHeight="false" outlineLevel="0" collapsed="false">
      <c r="A299" s="339" t="s">
        <v>298</v>
      </c>
      <c r="B299" s="340" t="n">
        <f aca="false">ROW(A299)</f>
        <v>299</v>
      </c>
      <c r="C299" s="323" t="s">
        <v>212</v>
      </c>
      <c r="D299" s="324" t="n">
        <f aca="false">SUM(B302:Y302)</f>
        <v>7412.437141</v>
      </c>
      <c r="E299" s="323" t="s">
        <v>213</v>
      </c>
      <c r="F299" s="325" t="n">
        <f aca="false">D299/g/J299</f>
        <v>223.28608637999</v>
      </c>
      <c r="G299" s="323" t="s">
        <v>214</v>
      </c>
      <c r="H299" s="341" t="n">
        <v>6.25</v>
      </c>
      <c r="I299" s="323" t="s">
        <v>225</v>
      </c>
      <c r="J299" s="326" t="n">
        <f aca="false">H299-L299</f>
        <v>3.384</v>
      </c>
      <c r="K299" s="323" t="s">
        <v>226</v>
      </c>
      <c r="L299" s="341" t="n">
        <v>2.866</v>
      </c>
      <c r="M299" s="323" t="s">
        <v>217</v>
      </c>
      <c r="N299" s="342" t="n">
        <v>290</v>
      </c>
      <c r="O299" s="323" t="s">
        <v>218</v>
      </c>
      <c r="P299" s="342" t="n">
        <v>290</v>
      </c>
      <c r="Q299" s="323" t="s">
        <v>219</v>
      </c>
      <c r="R299" s="342" t="n">
        <v>579</v>
      </c>
      <c r="S299" s="323" t="s">
        <v>220</v>
      </c>
      <c r="T299" s="342" t="n">
        <v>98</v>
      </c>
      <c r="U299" s="323" t="s">
        <v>8</v>
      </c>
      <c r="V299" s="343" t="s">
        <v>78</v>
      </c>
      <c r="W299" s="338"/>
      <c r="X299" s="338"/>
      <c r="Y299" s="338"/>
    </row>
    <row r="300" customFormat="false" ht="12" hidden="false" customHeight="false" outlineLevel="0" collapsed="false">
      <c r="A300" s="321" t="s">
        <v>227</v>
      </c>
      <c r="B300" s="344" t="n">
        <v>0</v>
      </c>
      <c r="C300" s="345" t="n">
        <v>0.017</v>
      </c>
      <c r="D300" s="345" t="n">
        <v>0.052</v>
      </c>
      <c r="E300" s="345" t="n">
        <v>0.088</v>
      </c>
      <c r="F300" s="345" t="n">
        <v>0.108</v>
      </c>
      <c r="G300" s="345" t="n">
        <v>0.127</v>
      </c>
      <c r="H300" s="345" t="n">
        <v>0.174</v>
      </c>
      <c r="I300" s="345" t="n">
        <v>0.257</v>
      </c>
      <c r="J300" s="345" t="n">
        <v>0.403</v>
      </c>
      <c r="K300" s="345" t="n">
        <v>0.762</v>
      </c>
      <c r="L300" s="345" t="n">
        <v>0.977</v>
      </c>
      <c r="M300" s="345" t="n">
        <v>1.341</v>
      </c>
      <c r="N300" s="345" t="n">
        <v>1.501</v>
      </c>
      <c r="O300" s="345" t="n">
        <v>1.661</v>
      </c>
      <c r="P300" s="345" t="n">
        <v>1.96</v>
      </c>
      <c r="Q300" s="345" t="n">
        <v>2.404</v>
      </c>
      <c r="R300" s="345" t="n">
        <v>2.641</v>
      </c>
      <c r="S300" s="345" t="n">
        <v>2.716</v>
      </c>
      <c r="T300" s="345" t="n">
        <v>2.821</v>
      </c>
      <c r="U300" s="345" t="n">
        <v>2.892</v>
      </c>
      <c r="V300" s="345" t="n">
        <v>2.92</v>
      </c>
      <c r="W300" s="345" t="n">
        <v>2.97</v>
      </c>
      <c r="X300" s="345" t="n">
        <v>3</v>
      </c>
      <c r="Y300" s="333" t="n">
        <v>1000</v>
      </c>
    </row>
    <row r="301" customFormat="false" ht="12" hidden="false" customHeight="false" outlineLevel="0" collapsed="false">
      <c r="A301" s="346" t="s">
        <v>228</v>
      </c>
      <c r="B301" s="347" t="n">
        <v>0</v>
      </c>
      <c r="C301" s="348" t="n">
        <v>329.847</v>
      </c>
      <c r="D301" s="348" t="n">
        <v>1003.68</v>
      </c>
      <c r="E301" s="348" t="n">
        <v>2346.62</v>
      </c>
      <c r="F301" s="348" t="n">
        <v>2549.24</v>
      </c>
      <c r="G301" s="348" t="n">
        <v>2605.79</v>
      </c>
      <c r="H301" s="348" t="n">
        <v>2520.97</v>
      </c>
      <c r="I301" s="348" t="n">
        <v>2516.26</v>
      </c>
      <c r="J301" s="348" t="n">
        <v>2596.37</v>
      </c>
      <c r="K301" s="348" t="n">
        <v>2808.41</v>
      </c>
      <c r="L301" s="348" t="n">
        <v>2954.49</v>
      </c>
      <c r="M301" s="348" t="n">
        <v>2959.2</v>
      </c>
      <c r="N301" s="348" t="n">
        <v>2907.36</v>
      </c>
      <c r="O301" s="348" t="n">
        <v>2869.67</v>
      </c>
      <c r="P301" s="348" t="n">
        <v>2695.32</v>
      </c>
      <c r="Q301" s="348" t="n">
        <v>2351.34</v>
      </c>
      <c r="R301" s="348" t="n">
        <v>2228.82</v>
      </c>
      <c r="S301" s="348" t="n">
        <v>2007.35</v>
      </c>
      <c r="T301" s="348" t="n">
        <v>1427.77</v>
      </c>
      <c r="U301" s="348" t="n">
        <v>504.194</v>
      </c>
      <c r="V301" s="348" t="n">
        <v>334.559</v>
      </c>
      <c r="W301" s="348" t="n">
        <v>122.515</v>
      </c>
      <c r="X301" s="348" t="n">
        <v>0</v>
      </c>
      <c r="Y301" s="349" t="n">
        <v>0</v>
      </c>
    </row>
    <row r="302" customFormat="false" ht="12.75" hidden="false" customHeight="false" outlineLevel="0" collapsed="false">
      <c r="A302" s="334" t="s">
        <v>229</v>
      </c>
      <c r="B302" s="350" t="n">
        <f aca="false">(C301+B301)*(C300-B300)/2</f>
        <v>2.8036995</v>
      </c>
      <c r="C302" s="351" t="n">
        <f aca="false">(D301+C301)*(D300-C300)/2</f>
        <v>23.3367225</v>
      </c>
      <c r="D302" s="351" t="n">
        <f aca="false">(E301+D301)*(E300-D300)/2</f>
        <v>60.3054</v>
      </c>
      <c r="E302" s="351" t="n">
        <f aca="false">(F301+E301)*(F300-E300)/2</f>
        <v>48.9586</v>
      </c>
      <c r="F302" s="351" t="n">
        <f aca="false">(G301+F301)*(G300-F300)/2</f>
        <v>48.972785</v>
      </c>
      <c r="G302" s="351" t="n">
        <f aca="false">(H301+G301)*(H300-G300)/2</f>
        <v>120.47886</v>
      </c>
      <c r="H302" s="351" t="n">
        <f aca="false">(I301+H301)*(I300-H300)/2</f>
        <v>209.045045</v>
      </c>
      <c r="I302" s="351" t="n">
        <f aca="false">(J301+I301)*(J300-I300)/2</f>
        <v>373.22199</v>
      </c>
      <c r="J302" s="351" t="n">
        <f aca="false">(K301+J301)*(K300-J300)/2</f>
        <v>970.15801</v>
      </c>
      <c r="K302" s="351" t="n">
        <f aca="false">(L301+K301)*(L300-K300)/2</f>
        <v>619.51175</v>
      </c>
      <c r="L302" s="351" t="n">
        <f aca="false">(M301+L301)*(M300-L300)/2</f>
        <v>1076.29158</v>
      </c>
      <c r="M302" s="351" t="n">
        <f aca="false">(N301+M301)*(N300-M300)/2</f>
        <v>469.3248</v>
      </c>
      <c r="N302" s="351" t="n">
        <f aca="false">(O301+N301)*(O300-N300)/2</f>
        <v>462.1624</v>
      </c>
      <c r="O302" s="351" t="n">
        <f aca="false">(P301+O301)*(P300-O300)/2</f>
        <v>831.966005</v>
      </c>
      <c r="P302" s="351" t="n">
        <f aca="false">(Q301+P301)*(Q300-P300)/2</f>
        <v>1120.35852</v>
      </c>
      <c r="Q302" s="351" t="n">
        <f aca="false">(R301+Q301)*(R300-Q300)/2</f>
        <v>542.74896</v>
      </c>
      <c r="R302" s="351" t="n">
        <f aca="false">(S301+R301)*(S300-R300)/2</f>
        <v>158.856375</v>
      </c>
      <c r="S302" s="351" t="n">
        <f aca="false">(T301+S301)*(T300-S300)/2</f>
        <v>180.3438</v>
      </c>
      <c r="T302" s="351" t="n">
        <f aca="false">(U301+T301)*(U300-T300)/2</f>
        <v>68.5847219999997</v>
      </c>
      <c r="U302" s="351" t="n">
        <f aca="false">(V301+U301)*(V300-U300)/2</f>
        <v>11.742542</v>
      </c>
      <c r="V302" s="351" t="n">
        <f aca="false">(W301+V301)*(W300-V300)/2</f>
        <v>11.4268500000001</v>
      </c>
      <c r="W302" s="351" t="n">
        <f aca="false">(X301+W301)*(X300-W300)/2</f>
        <v>1.83772499999999</v>
      </c>
      <c r="X302" s="351" t="n">
        <f aca="false">(Y301+X301)*(Y300-X300)/2</f>
        <v>0</v>
      </c>
      <c r="Y302" s="337"/>
    </row>
    <row r="303" customFormat="false" ht="12.75" hidden="false" customHeight="false" outlineLevel="0" collapsed="false">
      <c r="B303" s="338"/>
      <c r="C303" s="338"/>
      <c r="D303" s="338"/>
      <c r="E303" s="338"/>
      <c r="F303" s="338"/>
      <c r="G303" s="338"/>
      <c r="H303" s="338"/>
      <c r="I303" s="338"/>
      <c r="J303" s="338"/>
      <c r="K303" s="338"/>
      <c r="L303" s="338"/>
      <c r="M303" s="338"/>
      <c r="N303" s="338"/>
      <c r="O303" s="338"/>
      <c r="P303" s="338"/>
      <c r="Q303" s="338"/>
      <c r="R303" s="338"/>
      <c r="S303" s="338"/>
      <c r="T303" s="338"/>
      <c r="U303" s="338"/>
      <c r="V303" s="338"/>
      <c r="W303" s="338"/>
      <c r="X303" s="338"/>
      <c r="Y303" s="338"/>
    </row>
    <row r="304" customFormat="false" ht="13.5" hidden="false" customHeight="false" outlineLevel="0" collapsed="false">
      <c r="A304" s="339" t="s">
        <v>299</v>
      </c>
      <c r="B304" s="340" t="n">
        <f aca="false">ROW(A304)</f>
        <v>304</v>
      </c>
      <c r="C304" s="323" t="s">
        <v>212</v>
      </c>
      <c r="D304" s="324" t="n">
        <f aca="false">SUM(B307:Y307)</f>
        <v>17734.9773505</v>
      </c>
      <c r="E304" s="323" t="s">
        <v>213</v>
      </c>
      <c r="F304" s="325" t="n">
        <f aca="false">D304/g/J304</f>
        <v>192.734203061799</v>
      </c>
      <c r="G304" s="323" t="s">
        <v>214</v>
      </c>
      <c r="H304" s="341" t="n">
        <v>14.748</v>
      </c>
      <c r="I304" s="323" t="s">
        <v>225</v>
      </c>
      <c r="J304" s="326" t="n">
        <f aca="false">H304-L304</f>
        <v>9.38</v>
      </c>
      <c r="K304" s="323" t="s">
        <v>226</v>
      </c>
      <c r="L304" s="341" t="n">
        <v>5.368</v>
      </c>
      <c r="M304" s="323" t="s">
        <v>217</v>
      </c>
      <c r="N304" s="342" t="n">
        <v>500</v>
      </c>
      <c r="O304" s="323" t="s">
        <v>218</v>
      </c>
      <c r="P304" s="342" t="n">
        <v>500</v>
      </c>
      <c r="Q304" s="323" t="s">
        <v>219</v>
      </c>
      <c r="R304" s="342" t="n">
        <v>1046</v>
      </c>
      <c r="S304" s="323" t="s">
        <v>220</v>
      </c>
      <c r="T304" s="342" t="n">
        <v>98</v>
      </c>
      <c r="U304" s="323" t="s">
        <v>8</v>
      </c>
      <c r="V304" s="343" t="s">
        <v>78</v>
      </c>
      <c r="W304" s="338"/>
      <c r="X304" s="338"/>
      <c r="Y304" s="338"/>
    </row>
    <row r="305" customFormat="false" ht="12" hidden="false" customHeight="false" outlineLevel="0" collapsed="false">
      <c r="A305" s="321" t="s">
        <v>227</v>
      </c>
      <c r="B305" s="344" t="n">
        <v>0</v>
      </c>
      <c r="C305" s="345" t="n">
        <v>0.003</v>
      </c>
      <c r="D305" s="345" t="n">
        <v>0.05</v>
      </c>
      <c r="E305" s="345" t="n">
        <v>0.078</v>
      </c>
      <c r="F305" s="345" t="n">
        <v>0.121</v>
      </c>
      <c r="G305" s="345" t="n">
        <v>0.652</v>
      </c>
      <c r="H305" s="345" t="n">
        <v>1.123</v>
      </c>
      <c r="I305" s="345" t="n">
        <v>1.655</v>
      </c>
      <c r="J305" s="345" t="n">
        <v>2.353</v>
      </c>
      <c r="K305" s="345" t="n">
        <v>3.035</v>
      </c>
      <c r="L305" s="345" t="n">
        <v>3.7</v>
      </c>
      <c r="M305" s="345" t="n">
        <v>3.733</v>
      </c>
      <c r="N305" s="345" t="n">
        <v>3.887</v>
      </c>
      <c r="O305" s="345" t="n">
        <v>4.036</v>
      </c>
      <c r="P305" s="345" t="n">
        <v>4.197</v>
      </c>
      <c r="Q305" s="345" t="n">
        <v>4.262</v>
      </c>
      <c r="R305" s="345" t="n">
        <v>4.3</v>
      </c>
      <c r="S305" s="345" t="n">
        <v>5</v>
      </c>
      <c r="T305" s="345" t="n">
        <v>5</v>
      </c>
      <c r="U305" s="345" t="n">
        <v>5</v>
      </c>
      <c r="V305" s="345" t="n">
        <v>5</v>
      </c>
      <c r="W305" s="345" t="n">
        <v>5</v>
      </c>
      <c r="X305" s="345" t="n">
        <v>5</v>
      </c>
      <c r="Y305" s="333" t="n">
        <v>1000</v>
      </c>
    </row>
    <row r="306" customFormat="false" ht="12" hidden="false" customHeight="false" outlineLevel="0" collapsed="false">
      <c r="A306" s="346" t="s">
        <v>228</v>
      </c>
      <c r="B306" s="347" t="n">
        <v>0</v>
      </c>
      <c r="C306" s="348" t="n">
        <v>203.877</v>
      </c>
      <c r="D306" s="348" t="n">
        <v>2362.879</v>
      </c>
      <c r="E306" s="348" t="n">
        <v>3946.845</v>
      </c>
      <c r="F306" s="348" t="n">
        <v>4281.412</v>
      </c>
      <c r="G306" s="348" t="n">
        <v>4370.281</v>
      </c>
      <c r="H306" s="348" t="n">
        <v>4453.923</v>
      </c>
      <c r="I306" s="348" t="n">
        <v>4772.807</v>
      </c>
      <c r="J306" s="348" t="n">
        <v>4621.206</v>
      </c>
      <c r="K306" s="348" t="n">
        <v>4511.427</v>
      </c>
      <c r="L306" s="348" t="n">
        <v>4375.509</v>
      </c>
      <c r="M306" s="348" t="n">
        <v>4182.087</v>
      </c>
      <c r="N306" s="348" t="n">
        <v>2969.282</v>
      </c>
      <c r="O306" s="348" t="n">
        <v>1589.193</v>
      </c>
      <c r="P306" s="348" t="n">
        <v>533.216</v>
      </c>
      <c r="Q306" s="348" t="n">
        <v>240.47</v>
      </c>
      <c r="R306" s="348" t="n">
        <v>0</v>
      </c>
      <c r="S306" s="348" t="n">
        <v>0</v>
      </c>
      <c r="T306" s="348" t="n">
        <v>0</v>
      </c>
      <c r="U306" s="348" t="n">
        <v>0</v>
      </c>
      <c r="V306" s="348" t="n">
        <v>0</v>
      </c>
      <c r="W306" s="348" t="n">
        <v>0</v>
      </c>
      <c r="X306" s="348" t="n">
        <v>0</v>
      </c>
      <c r="Y306" s="349" t="n">
        <v>0</v>
      </c>
    </row>
    <row r="307" customFormat="false" ht="12.75" hidden="false" customHeight="false" outlineLevel="0" collapsed="false">
      <c r="A307" s="334" t="s">
        <v>229</v>
      </c>
      <c r="B307" s="350" t="n">
        <f aca="false">(C306+B306)*(C305-B305)/2</f>
        <v>0.3058155</v>
      </c>
      <c r="C307" s="351" t="n">
        <f aca="false">(D306+C306)*(D305-C305)/2</f>
        <v>60.318766</v>
      </c>
      <c r="D307" s="351" t="n">
        <f aca="false">(E306+D306)*(E305-D305)/2</f>
        <v>88.336136</v>
      </c>
      <c r="E307" s="351" t="n">
        <f aca="false">(F306+E306)*(F305-E305)/2</f>
        <v>176.9075255</v>
      </c>
      <c r="F307" s="351" t="n">
        <f aca="false">(G306+F306)*(G305-F305)/2</f>
        <v>2297.0244915</v>
      </c>
      <c r="G307" s="351" t="n">
        <f aca="false">(H306+G306)*(H305-G305)/2</f>
        <v>2078.100042</v>
      </c>
      <c r="H307" s="351" t="n">
        <f aca="false">(I306+H306)*(I305-H305)/2</f>
        <v>2454.31018</v>
      </c>
      <c r="I307" s="351" t="n">
        <f aca="false">(J306+I306)*(J305-I305)/2</f>
        <v>3278.510537</v>
      </c>
      <c r="J307" s="351" t="n">
        <f aca="false">(K306+J306)*(K305-J305)/2</f>
        <v>3114.227853</v>
      </c>
      <c r="K307" s="351" t="n">
        <f aca="false">(L306+K306)*(L305-K305)/2</f>
        <v>2954.90622</v>
      </c>
      <c r="L307" s="351" t="n">
        <f aca="false">(M306+L306)*(M305-L305)/2</f>
        <v>141.200334</v>
      </c>
      <c r="M307" s="351" t="n">
        <f aca="false">(N306+M306)*(N305-M305)/2</f>
        <v>550.655413</v>
      </c>
      <c r="N307" s="351" t="n">
        <f aca="false">(O306+N306)*(O305-N305)/2</f>
        <v>339.606387499999</v>
      </c>
      <c r="O307" s="351" t="n">
        <f aca="false">(P306+O306)*(P305-O305)/2</f>
        <v>170.853924500001</v>
      </c>
      <c r="P307" s="351" t="n">
        <f aca="false">(Q306+P306)*(Q305-P305)/2</f>
        <v>25.1447949999998</v>
      </c>
      <c r="Q307" s="351" t="n">
        <f aca="false">(R306+Q306)*(R305-Q305)/2</f>
        <v>4.56893000000003</v>
      </c>
      <c r="R307" s="351" t="n">
        <f aca="false">(S306+R306)*(S305-R305)/2</f>
        <v>0</v>
      </c>
      <c r="S307" s="351" t="n">
        <f aca="false">(T306+S306)*(T305-S305)/2</f>
        <v>0</v>
      </c>
      <c r="T307" s="351" t="n">
        <f aca="false">(U306+T306)*(U305-T305)/2</f>
        <v>0</v>
      </c>
      <c r="U307" s="351" t="n">
        <f aca="false">(V306+U306)*(V305-U305)/2</f>
        <v>0</v>
      </c>
      <c r="V307" s="351" t="n">
        <f aca="false">(W306+V306)*(W305-V305)/2</f>
        <v>0</v>
      </c>
      <c r="W307" s="351" t="n">
        <f aca="false">(X306+W306)*(X305-W305)/2</f>
        <v>0</v>
      </c>
      <c r="X307" s="351" t="n">
        <f aca="false">(Y306+X306)*(Y305-X305)/2</f>
        <v>0</v>
      </c>
      <c r="Y307" s="337"/>
    </row>
    <row r="308" customFormat="false" ht="12.75" hidden="false" customHeight="false" outlineLevel="0" collapsed="false">
      <c r="B308" s="338"/>
      <c r="C308" s="338"/>
      <c r="D308" s="338"/>
      <c r="E308" s="338"/>
      <c r="F308" s="338"/>
      <c r="G308" s="338"/>
      <c r="H308" s="338"/>
      <c r="I308" s="338"/>
      <c r="J308" s="338"/>
      <c r="K308" s="338"/>
      <c r="L308" s="338"/>
      <c r="M308" s="338"/>
      <c r="N308" s="338"/>
      <c r="O308" s="338"/>
      <c r="P308" s="338"/>
      <c r="Q308" s="338"/>
      <c r="R308" s="338"/>
      <c r="S308" s="338"/>
      <c r="T308" s="338"/>
      <c r="U308" s="338"/>
      <c r="V308" s="338"/>
      <c r="W308" s="338"/>
      <c r="X308" s="338"/>
      <c r="Y308" s="338"/>
    </row>
    <row r="309" customFormat="false" ht="13.5" hidden="false" customHeight="false" outlineLevel="0" collapsed="false">
      <c r="A309" s="339" t="s">
        <v>300</v>
      </c>
      <c r="B309" s="340" t="n">
        <f aca="false">ROW(A309)</f>
        <v>309</v>
      </c>
      <c r="C309" s="323" t="s">
        <v>212</v>
      </c>
      <c r="D309" s="324" t="n">
        <f aca="false">SUM(B312:Y312)</f>
        <v>0.001</v>
      </c>
      <c r="E309" s="323" t="s">
        <v>213</v>
      </c>
      <c r="F309" s="325" t="n">
        <f aca="false">D309/g/J309</f>
        <v>1.01936799184506</v>
      </c>
      <c r="G309" s="323" t="s">
        <v>214</v>
      </c>
      <c r="H309" s="341" t="n">
        <v>0.0001</v>
      </c>
      <c r="I309" s="323" t="s">
        <v>225</v>
      </c>
      <c r="J309" s="326" t="n">
        <f aca="false">H309-L309</f>
        <v>0.0001</v>
      </c>
      <c r="K309" s="323" t="s">
        <v>226</v>
      </c>
      <c r="L309" s="341" t="n">
        <v>0</v>
      </c>
      <c r="M309" s="323" t="s">
        <v>217</v>
      </c>
      <c r="N309" s="342" t="n">
        <v>0</v>
      </c>
      <c r="O309" s="323" t="s">
        <v>218</v>
      </c>
      <c r="P309" s="342" t="n">
        <v>0</v>
      </c>
      <c r="Q309" s="323" t="s">
        <v>219</v>
      </c>
      <c r="R309" s="342" t="n">
        <v>0</v>
      </c>
      <c r="S309" s="323" t="s">
        <v>220</v>
      </c>
      <c r="T309" s="342" t="n">
        <v>0</v>
      </c>
      <c r="U309" s="323" t="s">
        <v>8</v>
      </c>
      <c r="V309" s="343" t="s">
        <v>78</v>
      </c>
      <c r="W309" s="338"/>
      <c r="X309" s="338"/>
      <c r="Y309" s="338"/>
    </row>
    <row r="310" customFormat="false" ht="12" hidden="false" customHeight="false" outlineLevel="0" collapsed="false">
      <c r="A310" s="321" t="s">
        <v>227</v>
      </c>
      <c r="B310" s="344" t="n">
        <v>0</v>
      </c>
      <c r="C310" s="345" t="n">
        <v>0.1</v>
      </c>
      <c r="D310" s="345" t="n">
        <v>0.2</v>
      </c>
      <c r="E310" s="345" t="n">
        <v>1</v>
      </c>
      <c r="F310" s="345" t="n">
        <v>1</v>
      </c>
      <c r="G310" s="345" t="n">
        <v>1</v>
      </c>
      <c r="H310" s="345" t="n">
        <v>1</v>
      </c>
      <c r="I310" s="345" t="n">
        <v>1</v>
      </c>
      <c r="J310" s="345" t="n">
        <v>1</v>
      </c>
      <c r="K310" s="345" t="n">
        <v>1</v>
      </c>
      <c r="L310" s="345" t="n">
        <v>1</v>
      </c>
      <c r="M310" s="345" t="n">
        <v>1</v>
      </c>
      <c r="N310" s="345" t="n">
        <v>1</v>
      </c>
      <c r="O310" s="345" t="n">
        <v>1</v>
      </c>
      <c r="P310" s="345" t="n">
        <v>1</v>
      </c>
      <c r="Q310" s="345" t="n">
        <v>1</v>
      </c>
      <c r="R310" s="345" t="n">
        <v>1</v>
      </c>
      <c r="S310" s="345" t="n">
        <v>1</v>
      </c>
      <c r="T310" s="345" t="n">
        <v>1</v>
      </c>
      <c r="U310" s="345" t="n">
        <v>1</v>
      </c>
      <c r="V310" s="345" t="n">
        <v>1</v>
      </c>
      <c r="W310" s="345" t="n">
        <v>1</v>
      </c>
      <c r="X310" s="345" t="n">
        <v>1</v>
      </c>
      <c r="Y310" s="333" t="n">
        <v>1000</v>
      </c>
    </row>
    <row r="311" customFormat="false" ht="12" hidden="false" customHeight="false" outlineLevel="0" collapsed="false">
      <c r="A311" s="346" t="s">
        <v>228</v>
      </c>
      <c r="B311" s="347" t="n">
        <v>0</v>
      </c>
      <c r="C311" s="348" t="n">
        <v>0.01</v>
      </c>
      <c r="D311" s="348" t="n">
        <v>0</v>
      </c>
      <c r="E311" s="348" t="n">
        <v>0</v>
      </c>
      <c r="F311" s="348" t="n">
        <v>0</v>
      </c>
      <c r="G311" s="348" t="n">
        <v>0</v>
      </c>
      <c r="H311" s="348" t="n">
        <v>0</v>
      </c>
      <c r="I311" s="348" t="n">
        <v>0</v>
      </c>
      <c r="J311" s="348" t="n">
        <v>0</v>
      </c>
      <c r="K311" s="348" t="n">
        <v>0</v>
      </c>
      <c r="L311" s="348" t="n">
        <v>0</v>
      </c>
      <c r="M311" s="348" t="n">
        <v>0</v>
      </c>
      <c r="N311" s="348" t="n">
        <v>0</v>
      </c>
      <c r="O311" s="348" t="n">
        <v>0</v>
      </c>
      <c r="P311" s="348" t="n">
        <v>0</v>
      </c>
      <c r="Q311" s="348" t="n">
        <v>0</v>
      </c>
      <c r="R311" s="348" t="n">
        <v>0</v>
      </c>
      <c r="S311" s="348" t="n">
        <v>0</v>
      </c>
      <c r="T311" s="348" t="n">
        <v>0</v>
      </c>
      <c r="U311" s="348" t="n">
        <v>0</v>
      </c>
      <c r="V311" s="348" t="n">
        <v>0</v>
      </c>
      <c r="W311" s="348" t="n">
        <v>0</v>
      </c>
      <c r="X311" s="348" t="n">
        <v>0</v>
      </c>
      <c r="Y311" s="349" t="n">
        <v>0</v>
      </c>
    </row>
    <row r="312" customFormat="false" ht="12.75" hidden="false" customHeight="false" outlineLevel="0" collapsed="false">
      <c r="A312" s="334" t="s">
        <v>229</v>
      </c>
      <c r="B312" s="350" t="n">
        <f aca="false">(C311+B311)*(C310-B310)/2</f>
        <v>0.0005</v>
      </c>
      <c r="C312" s="351" t="n">
        <f aca="false">(D311+C311)*(D310-C310)/2</f>
        <v>0.0005</v>
      </c>
      <c r="D312" s="351" t="n">
        <f aca="false">(E311+D311)*(E310-D310)/2</f>
        <v>0</v>
      </c>
      <c r="E312" s="351" t="n">
        <f aca="false">(F311+E311)*(F310-E310)/2</f>
        <v>0</v>
      </c>
      <c r="F312" s="351" t="n">
        <f aca="false">(G311+F311)*(G310-F310)/2</f>
        <v>0</v>
      </c>
      <c r="G312" s="351" t="n">
        <f aca="false">(H311+G311)*(H310-G310)/2</f>
        <v>0</v>
      </c>
      <c r="H312" s="351" t="n">
        <f aca="false">(I311+H311)*(I310-H310)/2</f>
        <v>0</v>
      </c>
      <c r="I312" s="351" t="n">
        <f aca="false">(J311+I311)*(J310-I310)/2</f>
        <v>0</v>
      </c>
      <c r="J312" s="351" t="n">
        <f aca="false">(K311+J311)*(K310-J310)/2</f>
        <v>0</v>
      </c>
      <c r="K312" s="351" t="n">
        <f aca="false">(L311+K311)*(L310-K310)/2</f>
        <v>0</v>
      </c>
      <c r="L312" s="351" t="n">
        <f aca="false">(M311+L311)*(M310-L310)/2</f>
        <v>0</v>
      </c>
      <c r="M312" s="351" t="n">
        <f aca="false">(N311+M311)*(N310-M310)/2</f>
        <v>0</v>
      </c>
      <c r="N312" s="351" t="n">
        <f aca="false">(O311+N311)*(O310-N310)/2</f>
        <v>0</v>
      </c>
      <c r="O312" s="351" t="n">
        <f aca="false">(P311+O311)*(P310-O310)/2</f>
        <v>0</v>
      </c>
      <c r="P312" s="351" t="n">
        <f aca="false">(Q311+P311)*(Q310-P310)/2</f>
        <v>0</v>
      </c>
      <c r="Q312" s="351" t="n">
        <f aca="false">(R311+Q311)*(R310-Q310)/2</f>
        <v>0</v>
      </c>
      <c r="R312" s="351" t="n">
        <f aca="false">(S311+R311)*(S310-R310)/2</f>
        <v>0</v>
      </c>
      <c r="S312" s="351" t="n">
        <f aca="false">(T311+S311)*(T310-S310)/2</f>
        <v>0</v>
      </c>
      <c r="T312" s="351" t="n">
        <f aca="false">(U311+T311)*(U310-T310)/2</f>
        <v>0</v>
      </c>
      <c r="U312" s="351" t="n">
        <f aca="false">(V311+U311)*(V310-U310)/2</f>
        <v>0</v>
      </c>
      <c r="V312" s="351" t="n">
        <f aca="false">(W311+V311)*(W310-V310)/2</f>
        <v>0</v>
      </c>
      <c r="W312" s="351" t="n">
        <f aca="false">(X311+W311)*(X310-W310)/2</f>
        <v>0</v>
      </c>
      <c r="X312" s="351" t="n">
        <f aca="false">(Y311+X311)*(Y310-X310)/2</f>
        <v>0</v>
      </c>
      <c r="Y312" s="337"/>
    </row>
    <row r="314" customFormat="false" ht="12" hidden="false" customHeight="false" outlineLevel="0" collapsed="false">
      <c r="B314" s="338"/>
      <c r="C314" s="338"/>
      <c r="D314" s="338"/>
      <c r="E314" s="338"/>
      <c r="F314" s="338"/>
      <c r="G314" s="338"/>
      <c r="H314" s="338"/>
      <c r="I314" s="338"/>
      <c r="J314" s="338"/>
      <c r="K314" s="338"/>
      <c r="L314" s="338"/>
      <c r="M314" s="338"/>
      <c r="N314" s="338"/>
      <c r="O314" s="338"/>
      <c r="P314" s="338"/>
      <c r="Q314" s="338"/>
      <c r="R314" s="338"/>
      <c r="S314" s="338"/>
      <c r="T314" s="338"/>
      <c r="U314" s="338"/>
      <c r="V314" s="338"/>
      <c r="W314" s="338"/>
      <c r="X314" s="338"/>
      <c r="Y314" s="338"/>
    </row>
    <row r="316" customFormat="false" ht="12" hidden="false" customHeight="false" outlineLevel="0" collapsed="false">
      <c r="A316" s="361" t="str">
        <f aca="false">IF(Lang="Français","Liste des propu affichés :","Motor list (shown):")</f>
        <v>Liste des propu affichés :</v>
      </c>
      <c r="C316" s="362" t="s">
        <v>223</v>
      </c>
      <c r="D316" s="362"/>
      <c r="F316" s="362" t="s">
        <v>237</v>
      </c>
      <c r="G316" s="362"/>
      <c r="H316" s="363"/>
      <c r="I316" s="362" t="s">
        <v>26</v>
      </c>
      <c r="J316" s="362"/>
      <c r="K316" s="363"/>
      <c r="L316" s="362" t="s">
        <v>301</v>
      </c>
      <c r="M316" s="362"/>
      <c r="O316" s="362" t="s">
        <v>82</v>
      </c>
      <c r="P316" s="362"/>
      <c r="R316" s="362" t="s">
        <v>78</v>
      </c>
      <c r="S316" s="362"/>
    </row>
    <row r="317" customFormat="false" ht="12" hidden="false" customHeight="false" outlineLevel="0" collapsed="false">
      <c r="A317" s="364" t="str">
        <f aca="false" t="array" ref="A317:A346">IF(RIGHT(Type_fusee,1)=".",Liste_fusex, IF(LEFT(Type_fusee,4)="Mini",Liste_minif, IF(LEFT(Type_fusee,5)="Micro",Liste_µfu, IF(RIGHT(Type_fusee,1)=" ",Liste_H2O, IF(LEFT(Type_fusee,1)="R",Liste_RC, IF(LEFT(Type_fusee,1)=",",Liste_minifT))))))</f>
        <v>p29-1G 56F31</v>
      </c>
      <c r="C317" s="365" t="str">
        <f aca="false">A26</f>
        <v>H2O 1.5L 300g 6bar</v>
      </c>
      <c r="D317" s="365"/>
      <c r="F317" s="365" t="str">
        <f aca="false">A67</f>
        <v>µ-propu A8-3</v>
      </c>
      <c r="G317" s="365"/>
      <c r="H317" s="366"/>
      <c r="I317" s="367" t="str">
        <f aca="false">A148</f>
        <v>p29-1G 56F31</v>
      </c>
      <c r="J317" s="367"/>
      <c r="K317" s="366"/>
      <c r="L317" s="367" t="str">
        <f aca="false">A148</f>
        <v>p29-1G 56F31</v>
      </c>
      <c r="M317" s="367"/>
      <c r="O317" s="365" t="str">
        <f aca="false">A108</f>
        <v>p24-1G 24E22</v>
      </c>
      <c r="P317" s="365"/>
      <c r="R317" s="365" t="str">
        <f aca="false">A279</f>
        <v>Barasinga (Pro54-5G C)</v>
      </c>
      <c r="S317" s="365"/>
    </row>
    <row r="318" customFormat="false" ht="12" hidden="false" customHeight="false" outlineLevel="0" collapsed="false">
      <c r="A318" s="364" t="str">
        <v>p29-1G 56F120</v>
      </c>
      <c r="C318" s="365" t="str">
        <f aca="false">A31</f>
        <v>H2O 1.5L 450g 6bar</v>
      </c>
      <c r="D318" s="365"/>
      <c r="F318" s="365" t="str">
        <f aca="false">A72</f>
        <v>µ-propu B4-4</v>
      </c>
      <c r="G318" s="365"/>
      <c r="H318" s="366"/>
      <c r="I318" s="367" t="str">
        <f aca="false">A153</f>
        <v>p29-1G 56F120</v>
      </c>
      <c r="J318" s="367"/>
      <c r="K318" s="366"/>
      <c r="L318" s="367" t="str">
        <f aca="false">A153</f>
        <v>p29-1G 56F120</v>
      </c>
      <c r="M318" s="367"/>
      <c r="O318" s="365" t="str">
        <f aca="false">A113</f>
        <v>p24-1G 25E75 (Rufina)</v>
      </c>
      <c r="P318" s="365"/>
      <c r="R318" s="365" t="str">
        <f aca="false">A289</f>
        <v>Orignal (Pro75-3G C)</v>
      </c>
      <c r="S318" s="365"/>
    </row>
    <row r="319" customFormat="false" ht="12" hidden="false" customHeight="false" outlineLevel="0" collapsed="false">
      <c r="A319" s="364" t="str">
        <v>p29-1G 57F59</v>
      </c>
      <c r="C319" s="365" t="str">
        <f aca="false">A36</f>
        <v>H2O 1.5L 600g 6bar</v>
      </c>
      <c r="D319" s="365"/>
      <c r="F319" s="365" t="str">
        <f aca="false">A77</f>
        <v>µ-propu C6-3</v>
      </c>
      <c r="G319" s="365"/>
      <c r="H319" s="366"/>
      <c r="I319" s="367" t="str">
        <f aca="false">A158</f>
        <v>p29-1G 57F59</v>
      </c>
      <c r="J319" s="367"/>
      <c r="K319" s="366"/>
      <c r="L319" s="367" t="str">
        <f aca="false">A158</f>
        <v>p29-1G 57F59</v>
      </c>
      <c r="M319" s="367"/>
      <c r="O319" s="365" t="str">
        <f aca="false">A118</f>
        <v>p24-1G 26E31</v>
      </c>
      <c r="P319" s="365"/>
      <c r="R319" s="365" t="s">
        <v>93</v>
      </c>
      <c r="S319" s="365"/>
    </row>
    <row r="320" customFormat="false" ht="12" hidden="false" customHeight="false" outlineLevel="0" collapsed="false">
      <c r="A320" s="364" t="str">
        <v>p29-2G 116G126</v>
      </c>
      <c r="C320" s="365" t="str">
        <f aca="false">A41</f>
        <v>H2O 1.5L 750g 6bar</v>
      </c>
      <c r="D320" s="365"/>
      <c r="F320" s="365" t="str">
        <f aca="false">A82</f>
        <v>µ-propu C6-3 x2</v>
      </c>
      <c r="G320" s="365"/>
      <c r="H320" s="366"/>
      <c r="I320" s="367" t="str">
        <f aca="false">A183</f>
        <v>p24-3G 74F85</v>
      </c>
      <c r="J320" s="367"/>
      <c r="K320" s="366"/>
      <c r="L320" s="367" t="str">
        <f aca="false">A228</f>
        <v>p29-2G 116G126</v>
      </c>
      <c r="M320" s="367"/>
      <c r="O320" s="365" t="str">
        <f aca="false">A123</f>
        <v>p24-2G 50E51</v>
      </c>
      <c r="P320" s="365"/>
      <c r="R320" s="365" t="s">
        <v>93</v>
      </c>
      <c r="S320" s="365"/>
    </row>
    <row r="321" customFormat="false" ht="12" hidden="false" customHeight="false" outlineLevel="0" collapsed="false">
      <c r="A321" s="364" t="str">
        <v> </v>
      </c>
      <c r="C321" s="365" t="str">
        <f aca="false">A46</f>
        <v>H2O 2.0L 400g 6bar</v>
      </c>
      <c r="D321" s="365"/>
      <c r="F321" s="365" t="str">
        <f aca="false">A87</f>
        <v>µ-propu C6-3 x3</v>
      </c>
      <c r="G321" s="365"/>
      <c r="H321" s="366"/>
      <c r="I321" s="367" t="str">
        <f aca="false">A188</f>
        <v>p24-3G 75F51</v>
      </c>
      <c r="J321" s="367"/>
      <c r="K321" s="366"/>
      <c r="L321" s="367" t="s">
        <v>93</v>
      </c>
      <c r="M321" s="367"/>
      <c r="O321" s="365" t="str">
        <f aca="false">A128</f>
        <v>p24-1G 53E70</v>
      </c>
      <c r="P321" s="365"/>
      <c r="R321" s="365" t="s">
        <v>93</v>
      </c>
      <c r="S321" s="365"/>
    </row>
    <row r="322" customFormat="false" ht="12" hidden="false" customHeight="false" outlineLevel="0" collapsed="false">
      <c r="A322" s="364" t="str">
        <v>Pandora (Pro24-6G BS)</v>
      </c>
      <c r="C322" s="365" t="str">
        <f aca="false">A51</f>
        <v>H2O 2.0L 600g 6bar</v>
      </c>
      <c r="D322" s="365"/>
      <c r="F322" s="365" t="s">
        <v>93</v>
      </c>
      <c r="G322" s="365"/>
      <c r="H322" s="366"/>
      <c r="I322" s="367" t="s">
        <v>93</v>
      </c>
      <c r="J322" s="367"/>
      <c r="K322" s="366"/>
      <c r="L322" s="365" t="str">
        <f aca="false">A198</f>
        <v>Pandora (Pro24-6G BS)</v>
      </c>
      <c r="M322" s="365"/>
      <c r="O322" s="365" t="str">
        <f aca="false">A133</f>
        <v>p29-1G 41F36</v>
      </c>
      <c r="P322" s="365"/>
      <c r="R322" s="365" t="s">
        <v>93</v>
      </c>
      <c r="S322" s="365"/>
    </row>
    <row r="323" customFormat="false" ht="12" hidden="false" customHeight="false" outlineLevel="0" collapsed="false">
      <c r="A323" s="364" t="str">
        <v> </v>
      </c>
      <c r="C323" s="365" t="str">
        <f aca="false">A56</f>
        <v>H2O 2.0L 800g 6bar</v>
      </c>
      <c r="D323" s="365"/>
      <c r="F323" s="365" t="s">
        <v>93</v>
      </c>
      <c r="G323" s="365"/>
      <c r="H323" s="366"/>
      <c r="I323" s="367" t="s">
        <v>93</v>
      </c>
      <c r="J323" s="367"/>
      <c r="K323" s="366"/>
      <c r="L323" s="365" t="s">
        <v>93</v>
      </c>
      <c r="M323" s="365"/>
      <c r="O323" s="365" t="str">
        <f aca="false">A138</f>
        <v>p29-1G 51F36</v>
      </c>
      <c r="P323" s="365"/>
      <c r="R323" s="365" t="s">
        <v>93</v>
      </c>
      <c r="S323" s="365"/>
    </row>
    <row r="324" customFormat="false" ht="12" hidden="false" customHeight="false" outlineLevel="0" collapsed="false">
      <c r="A324" s="364" t="str">
        <v>Klima D9-7</v>
      </c>
      <c r="C324" s="365" t="str">
        <f aca="false">A61</f>
        <v>H2O 2.0L 1000g 6bar</v>
      </c>
      <c r="D324" s="365"/>
      <c r="F324" s="365" t="s">
        <v>93</v>
      </c>
      <c r="G324" s="365"/>
      <c r="H324" s="366"/>
      <c r="I324" s="367" t="s">
        <v>93</v>
      </c>
      <c r="J324" s="367"/>
      <c r="K324" s="366"/>
      <c r="L324" s="365" t="str">
        <f aca="false">A92</f>
        <v>Klima D9-7</v>
      </c>
      <c r="M324" s="365"/>
      <c r="O324" s="365" t="str">
        <f aca="false">A143</f>
        <v>p29-1G 55F29</v>
      </c>
      <c r="P324" s="365"/>
      <c r="R324" s="365" t="s">
        <v>93</v>
      </c>
      <c r="S324" s="365"/>
    </row>
    <row r="325" customFormat="false" ht="12" hidden="false" customHeight="false" outlineLevel="0" collapsed="false">
      <c r="A325" s="364" t="str">
        <v>Klima D9-7 x2</v>
      </c>
      <c r="C325" s="365" t="s">
        <v>93</v>
      </c>
      <c r="D325" s="365"/>
      <c r="F325" s="365" t="s">
        <v>93</v>
      </c>
      <c r="G325" s="365"/>
      <c r="H325" s="366"/>
      <c r="I325" s="367" t="s">
        <v>93</v>
      </c>
      <c r="J325" s="367"/>
      <c r="K325" s="366"/>
      <c r="L325" s="365" t="str">
        <f aca="false">A97</f>
        <v>Klima D9-7 x2</v>
      </c>
      <c r="M325" s="365"/>
      <c r="O325" s="365" t="str">
        <f aca="false">A153</f>
        <v>p29-1G 56F120</v>
      </c>
      <c r="P325" s="365"/>
      <c r="R325" s="365" t="s">
        <v>93</v>
      </c>
      <c r="S325" s="365"/>
    </row>
    <row r="326" customFormat="false" ht="12" hidden="false" customHeight="false" outlineLevel="0" collapsed="false">
      <c r="A326" s="364" t="str">
        <v>Klima D9-7 x3</v>
      </c>
      <c r="C326" s="365" t="s">
        <v>93</v>
      </c>
      <c r="D326" s="365"/>
      <c r="F326" s="365" t="s">
        <v>93</v>
      </c>
      <c r="G326" s="365"/>
      <c r="H326" s="366"/>
      <c r="I326" s="367" t="s">
        <v>93</v>
      </c>
      <c r="J326" s="367"/>
      <c r="K326" s="366"/>
      <c r="L326" s="365" t="str">
        <f aca="false">A102</f>
        <v>Klima D9-7 x3</v>
      </c>
      <c r="M326" s="365"/>
      <c r="O326" s="365" t="str">
        <f aca="false">A158</f>
        <v>p29-1G 57F59</v>
      </c>
      <c r="P326" s="365"/>
      <c r="R326" s="365" t="s">
        <v>93</v>
      </c>
      <c r="S326" s="365"/>
    </row>
    <row r="327" customFormat="false" ht="12" hidden="false" customHeight="false" outlineLevel="0" collapsed="false">
      <c r="A327" s="364" t="str">
        <v> </v>
      </c>
      <c r="C327" s="365" t="s">
        <v>93</v>
      </c>
      <c r="D327" s="365"/>
      <c r="F327" s="365" t="s">
        <v>93</v>
      </c>
      <c r="G327" s="365"/>
      <c r="H327" s="366"/>
      <c r="I327" s="367" t="s">
        <v>93</v>
      </c>
      <c r="J327" s="367"/>
      <c r="K327" s="366"/>
      <c r="L327" s="365" t="s">
        <v>93</v>
      </c>
      <c r="M327" s="365"/>
      <c r="O327" s="365" t="str">
        <f aca="false">A163</f>
        <v>p24-3G 60F50</v>
      </c>
      <c r="P327" s="365"/>
      <c r="R327" s="365" t="s">
        <v>93</v>
      </c>
      <c r="S327" s="365"/>
    </row>
    <row r="328" customFormat="false" ht="12" hidden="false" customHeight="false" outlineLevel="0" collapsed="false">
      <c r="A328" s="364" t="str">
        <v> </v>
      </c>
      <c r="C328" s="365" t="s">
        <v>93</v>
      </c>
      <c r="D328" s="365"/>
      <c r="F328" s="365" t="s">
        <v>93</v>
      </c>
      <c r="G328" s="365"/>
      <c r="H328" s="366"/>
      <c r="I328" s="367" t="s">
        <v>93</v>
      </c>
      <c r="J328" s="367"/>
      <c r="K328" s="366"/>
      <c r="L328" s="365" t="s">
        <v>93</v>
      </c>
      <c r="M328" s="365"/>
      <c r="O328" s="365" t="str">
        <f aca="false">A168</f>
        <v>p24-3G 68F79</v>
      </c>
      <c r="P328" s="365"/>
      <c r="R328" s="365" t="s">
        <v>93</v>
      </c>
      <c r="S328" s="365"/>
    </row>
    <row r="329" customFormat="false" ht="12" hidden="false" customHeight="false" outlineLevel="0" collapsed="false">
      <c r="A329" s="364" t="str">
        <v> </v>
      </c>
      <c r="C329" s="365" t="s">
        <v>93</v>
      </c>
      <c r="D329" s="365"/>
      <c r="F329" s="365" t="s">
        <v>93</v>
      </c>
      <c r="G329" s="365"/>
      <c r="H329" s="366"/>
      <c r="I329" s="367" t="s">
        <v>93</v>
      </c>
      <c r="J329" s="367"/>
      <c r="K329" s="366"/>
      <c r="L329" s="365" t="s">
        <v>93</v>
      </c>
      <c r="M329" s="365"/>
      <c r="O329" s="365" t="str">
        <f aca="false">A173</f>
        <v>p24-3G 68F240</v>
      </c>
      <c r="P329" s="365"/>
      <c r="R329" s="365" t="s">
        <v>93</v>
      </c>
      <c r="S329" s="365"/>
    </row>
    <row r="330" customFormat="false" ht="12" hidden="false" customHeight="false" outlineLevel="0" collapsed="false">
      <c r="A330" s="364" t="str">
        <v> </v>
      </c>
      <c r="C330" s="365" t="s">
        <v>93</v>
      </c>
      <c r="D330" s="365"/>
      <c r="F330" s="365" t="s">
        <v>93</v>
      </c>
      <c r="G330" s="365"/>
      <c r="H330" s="366"/>
      <c r="I330" s="367" t="s">
        <v>93</v>
      </c>
      <c r="J330" s="367"/>
      <c r="K330" s="366"/>
      <c r="L330" s="365" t="s">
        <v>93</v>
      </c>
      <c r="M330" s="365"/>
      <c r="O330" s="365" t="str">
        <f aca="false">A178</f>
        <v>p24-3G 73F30</v>
      </c>
      <c r="P330" s="365"/>
      <c r="R330" s="365" t="s">
        <v>93</v>
      </c>
      <c r="S330" s="365"/>
    </row>
    <row r="331" customFormat="false" ht="12" hidden="false" customHeight="false" outlineLevel="0" collapsed="false">
      <c r="A331" s="364" t="str">
        <v> </v>
      </c>
      <c r="C331" s="365" t="s">
        <v>93</v>
      </c>
      <c r="D331" s="365"/>
      <c r="F331" s="365" t="s">
        <v>93</v>
      </c>
      <c r="G331" s="365"/>
      <c r="H331" s="366"/>
      <c r="I331" s="365" t="s">
        <v>93</v>
      </c>
      <c r="J331" s="365"/>
      <c r="K331" s="366"/>
      <c r="L331" s="365" t="s">
        <v>93</v>
      </c>
      <c r="M331" s="365"/>
      <c r="O331" s="365" t="str">
        <f aca="false">A183</f>
        <v>p24-3G 74F85</v>
      </c>
      <c r="P331" s="365"/>
      <c r="R331" s="365" t="s">
        <v>93</v>
      </c>
      <c r="S331" s="365"/>
    </row>
    <row r="332" customFormat="false" ht="12" hidden="false" customHeight="false" outlineLevel="0" collapsed="false">
      <c r="A332" s="368" t="str">
        <v> </v>
      </c>
      <c r="C332" s="369" t="s">
        <v>93</v>
      </c>
      <c r="D332" s="369"/>
      <c r="F332" s="369" t="s">
        <v>93</v>
      </c>
      <c r="G332" s="369"/>
      <c r="H332" s="366"/>
      <c r="I332" s="369" t="s">
        <v>93</v>
      </c>
      <c r="J332" s="369"/>
      <c r="K332" s="366"/>
      <c r="L332" s="369" t="s">
        <v>93</v>
      </c>
      <c r="M332" s="369"/>
      <c r="O332" s="365" t="str">
        <f aca="false">A188</f>
        <v>p24-3G 75F51</v>
      </c>
      <c r="P332" s="365"/>
      <c r="R332" s="369" t="s">
        <v>93</v>
      </c>
      <c r="S332" s="369"/>
    </row>
    <row r="333" customFormat="false" ht="12" hidden="false" customHeight="false" outlineLevel="0" collapsed="false">
      <c r="A333" s="364" t="str">
        <v> </v>
      </c>
      <c r="C333" s="370" t="s">
        <v>93</v>
      </c>
      <c r="D333" s="370"/>
      <c r="F333" s="370" t="s">
        <v>93</v>
      </c>
      <c r="G333" s="370"/>
      <c r="I333" s="371" t="s">
        <v>93</v>
      </c>
      <c r="J333" s="371"/>
      <c r="L333" s="371" t="s">
        <v>93</v>
      </c>
      <c r="M333" s="371"/>
      <c r="O333" s="365" t="str">
        <f aca="false">A213</f>
        <v>p29-2G 84G88</v>
      </c>
      <c r="P333" s="365"/>
      <c r="R333" s="372" t="s">
        <v>93</v>
      </c>
      <c r="S333" s="372"/>
    </row>
    <row r="334" customFormat="false" ht="12" hidden="false" customHeight="false" outlineLevel="0" collapsed="false">
      <c r="A334" s="364" t="str">
        <v> </v>
      </c>
      <c r="C334" s="363" t="s">
        <v>93</v>
      </c>
      <c r="D334" s="363"/>
      <c r="F334" s="363" t="s">
        <v>93</v>
      </c>
      <c r="G334" s="363"/>
      <c r="I334" s="371" t="s">
        <v>93</v>
      </c>
      <c r="J334" s="371"/>
      <c r="L334" s="371" t="s">
        <v>93</v>
      </c>
      <c r="M334" s="371"/>
      <c r="O334" s="365" t="str">
        <f aca="false">A218</f>
        <v>p29-2G 93G80</v>
      </c>
      <c r="P334" s="365"/>
      <c r="R334" s="373" t="str">
        <f aca="false">A269</f>
        <v>Isard</v>
      </c>
      <c r="S334" s="373"/>
    </row>
    <row r="335" customFormat="false" ht="12" hidden="false" customHeight="false" outlineLevel="0" collapsed="false">
      <c r="A335" s="364" t="str">
        <v> </v>
      </c>
      <c r="C335" s="363" t="s">
        <v>93</v>
      </c>
      <c r="D335" s="363"/>
      <c r="F335" s="363" t="s">
        <v>93</v>
      </c>
      <c r="G335" s="363"/>
      <c r="I335" s="371" t="s">
        <v>93</v>
      </c>
      <c r="J335" s="371"/>
      <c r="L335" s="371" t="s">
        <v>93</v>
      </c>
      <c r="M335" s="371"/>
      <c r="O335" s="365" t="str">
        <f aca="false">A223</f>
        <v>p29-2G 110G250</v>
      </c>
      <c r="P335" s="365"/>
      <c r="R335" s="373" t="str">
        <f aca="false">A274</f>
        <v>Chamois</v>
      </c>
      <c r="S335" s="373"/>
    </row>
    <row r="336" customFormat="false" ht="12" hidden="false" customHeight="false" outlineLevel="0" collapsed="false">
      <c r="A336" s="364" t="str">
        <v> </v>
      </c>
      <c r="C336" s="363" t="s">
        <v>93</v>
      </c>
      <c r="D336" s="363"/>
      <c r="F336" s="363" t="s">
        <v>93</v>
      </c>
      <c r="G336" s="363"/>
      <c r="I336" s="371" t="s">
        <v>93</v>
      </c>
      <c r="J336" s="371"/>
      <c r="L336" s="371" t="s">
        <v>93</v>
      </c>
      <c r="M336" s="371"/>
      <c r="O336" s="365" t="str">
        <f aca="false">A228</f>
        <v>p29-2G 116G126</v>
      </c>
      <c r="P336" s="365"/>
      <c r="R336" s="373" t="str">
        <f aca="false">A284</f>
        <v>Pro75-2G</v>
      </c>
      <c r="S336" s="373"/>
    </row>
    <row r="337" customFormat="false" ht="12" hidden="false" customHeight="false" outlineLevel="0" collapsed="false">
      <c r="A337" s="364" t="str">
        <v> </v>
      </c>
      <c r="C337" s="363" t="s">
        <v>93</v>
      </c>
      <c r="D337" s="363"/>
      <c r="F337" s="363" t="s">
        <v>93</v>
      </c>
      <c r="G337" s="363"/>
      <c r="I337" s="371" t="s">
        <v>93</v>
      </c>
      <c r="J337" s="371"/>
      <c r="L337" s="371" t="s">
        <v>93</v>
      </c>
      <c r="M337" s="371"/>
      <c r="O337" s="365" t="str">
        <f aca="false">A233</f>
        <v>p29-3G 125G131</v>
      </c>
      <c r="P337" s="365"/>
      <c r="R337" s="373" t="str">
        <f aca="false">A294</f>
        <v>Pro98-2G WT</v>
      </c>
      <c r="S337" s="373"/>
    </row>
    <row r="338" customFormat="false" ht="12" hidden="false" customHeight="false" outlineLevel="0" collapsed="false">
      <c r="A338" s="364" t="str">
        <v> </v>
      </c>
      <c r="C338" s="363" t="s">
        <v>93</v>
      </c>
      <c r="D338" s="363"/>
      <c r="F338" s="363" t="s">
        <v>93</v>
      </c>
      <c r="G338" s="363"/>
      <c r="I338" s="371" t="s">
        <v>93</v>
      </c>
      <c r="J338" s="371"/>
      <c r="L338" s="371" t="s">
        <v>93</v>
      </c>
      <c r="M338" s="371"/>
      <c r="O338" s="365" t="str">
        <f aca="false">A248</f>
        <v>p38-1G 128G185</v>
      </c>
      <c r="P338" s="365"/>
      <c r="R338" s="373" t="str">
        <f aca="false">A299</f>
        <v>Pro98-3G WT</v>
      </c>
      <c r="S338" s="373"/>
    </row>
    <row r="339" customFormat="false" ht="12" hidden="false" customHeight="false" outlineLevel="0" collapsed="false">
      <c r="A339" s="364" t="str">
        <v> </v>
      </c>
      <c r="C339" s="363" t="s">
        <v>93</v>
      </c>
      <c r="D339" s="363"/>
      <c r="F339" s="363" t="s">
        <v>93</v>
      </c>
      <c r="G339" s="363"/>
      <c r="I339" s="371" t="s">
        <v>93</v>
      </c>
      <c r="J339" s="371"/>
      <c r="L339" s="371" t="s">
        <v>93</v>
      </c>
      <c r="M339" s="371"/>
      <c r="O339" s="365" t="str">
        <f aca="false">A243</f>
        <v>p38-1G 137G58</v>
      </c>
      <c r="P339" s="365"/>
      <c r="R339" s="373" t="str">
        <f aca="false">A309</f>
        <v>Aucun (2e ét. inerte)</v>
      </c>
      <c r="S339" s="373"/>
    </row>
    <row r="340" customFormat="false" ht="12" hidden="false" customHeight="false" outlineLevel="0" collapsed="false">
      <c r="A340" s="364" t="str">
        <v> </v>
      </c>
      <c r="C340" s="363" t="s">
        <v>93</v>
      </c>
      <c r="D340" s="363"/>
      <c r="F340" s="363" t="s">
        <v>93</v>
      </c>
      <c r="G340" s="363"/>
      <c r="I340" s="371" t="s">
        <v>93</v>
      </c>
      <c r="J340" s="371"/>
      <c r="L340" s="371" t="s">
        <v>93</v>
      </c>
      <c r="M340" s="371"/>
      <c r="O340" s="365" t="str">
        <f aca="false">A253</f>
        <v>p38-1G 141G78</v>
      </c>
      <c r="P340" s="365"/>
      <c r="R340" s="371" t="s">
        <v>93</v>
      </c>
      <c r="S340" s="371"/>
    </row>
    <row r="341" customFormat="false" ht="12" hidden="false" customHeight="false" outlineLevel="0" collapsed="false">
      <c r="A341" s="364" t="str">
        <v> </v>
      </c>
      <c r="C341" s="363" t="s">
        <v>93</v>
      </c>
      <c r="D341" s="363"/>
      <c r="F341" s="363" t="s">
        <v>93</v>
      </c>
      <c r="G341" s="363"/>
      <c r="I341" s="363" t="s">
        <v>93</v>
      </c>
      <c r="J341" s="363"/>
      <c r="L341" s="371" t="s">
        <v>93</v>
      </c>
      <c r="M341" s="371"/>
      <c r="O341" s="365" t="str">
        <f aca="false">A193</f>
        <v>p24-6G 140G145 PK</v>
      </c>
      <c r="P341" s="365"/>
      <c r="R341" s="363" t="s">
        <v>93</v>
      </c>
      <c r="S341" s="363"/>
    </row>
    <row r="342" customFormat="false" ht="12" hidden="false" customHeight="false" outlineLevel="0" collapsed="false">
      <c r="A342" s="364" t="str">
        <v> </v>
      </c>
      <c r="C342" s="363" t="s">
        <v>93</v>
      </c>
      <c r="D342" s="363"/>
      <c r="F342" s="363" t="s">
        <v>93</v>
      </c>
      <c r="G342" s="363"/>
      <c r="I342" s="363" t="s">
        <v>93</v>
      </c>
      <c r="J342" s="363"/>
      <c r="L342" s="371" t="s">
        <v>93</v>
      </c>
      <c r="M342" s="371"/>
      <c r="O342" s="365" t="str">
        <f aca="false">A198</f>
        <v>Pandora (Pro24-6G BS)</v>
      </c>
      <c r="P342" s="365"/>
      <c r="R342" s="363" t="s">
        <v>93</v>
      </c>
      <c r="S342" s="363"/>
    </row>
    <row r="343" customFormat="false" ht="12" hidden="false" customHeight="false" outlineLevel="0" collapsed="false">
      <c r="A343" s="364" t="str">
        <v> </v>
      </c>
      <c r="C343" s="363" t="s">
        <v>93</v>
      </c>
      <c r="D343" s="363"/>
      <c r="F343" s="363" t="s">
        <v>93</v>
      </c>
      <c r="G343" s="363"/>
      <c r="I343" s="363" t="s">
        <v>93</v>
      </c>
      <c r="J343" s="363"/>
      <c r="L343" s="363" t="s">
        <v>93</v>
      </c>
      <c r="M343" s="363"/>
      <c r="O343" s="367" t="str">
        <f aca="false">A203</f>
        <v>p24-6G 142G117 WT</v>
      </c>
      <c r="P343" s="367"/>
      <c r="R343" s="363" t="s">
        <v>93</v>
      </c>
      <c r="S343" s="363"/>
    </row>
    <row r="344" customFormat="false" ht="12" hidden="false" customHeight="false" outlineLevel="0" collapsed="false">
      <c r="A344" s="364" t="str">
        <v> </v>
      </c>
      <c r="C344" s="363" t="s">
        <v>93</v>
      </c>
      <c r="D344" s="363"/>
      <c r="F344" s="363" t="s">
        <v>93</v>
      </c>
      <c r="G344" s="363"/>
      <c r="I344" s="363" t="s">
        <v>93</v>
      </c>
      <c r="J344" s="363"/>
      <c r="L344" s="363" t="s">
        <v>93</v>
      </c>
      <c r="M344" s="363"/>
      <c r="O344" s="367" t="str">
        <f aca="false">A208</f>
        <v>p24-6G 139G107 DT</v>
      </c>
      <c r="P344" s="367"/>
      <c r="R344" s="363" t="s">
        <v>93</v>
      </c>
      <c r="S344" s="363"/>
    </row>
    <row r="345" customFormat="false" ht="12" hidden="false" customHeight="false" outlineLevel="0" collapsed="false">
      <c r="A345" s="364" t="str">
        <v> </v>
      </c>
      <c r="C345" s="363" t="s">
        <v>93</v>
      </c>
      <c r="D345" s="363"/>
      <c r="F345" s="363" t="s">
        <v>93</v>
      </c>
      <c r="G345" s="363"/>
      <c r="I345" s="363" t="s">
        <v>93</v>
      </c>
      <c r="J345" s="363"/>
      <c r="L345" s="363" t="s">
        <v>93</v>
      </c>
      <c r="M345" s="363"/>
      <c r="O345" s="367" t="str">
        <f aca="false">A263</f>
        <v>Cariacou</v>
      </c>
      <c r="P345" s="367"/>
      <c r="R345" s="363" t="s">
        <v>93</v>
      </c>
      <c r="S345" s="363"/>
    </row>
    <row r="346" customFormat="false" ht="12" hidden="false" customHeight="false" outlineLevel="0" collapsed="false">
      <c r="A346" s="374" t="str">
        <v> </v>
      </c>
      <c r="C346" s="363" t="s">
        <v>93</v>
      </c>
      <c r="D346" s="363"/>
      <c r="F346" s="363" t="s">
        <v>93</v>
      </c>
      <c r="G346" s="363"/>
      <c r="I346" s="363" t="s">
        <v>93</v>
      </c>
      <c r="J346" s="363"/>
      <c r="L346" s="363" t="s">
        <v>93</v>
      </c>
      <c r="M346" s="363"/>
      <c r="O346" s="375" t="str">
        <f aca="false">A258</f>
        <v>Wapiti</v>
      </c>
      <c r="P346" s="375"/>
      <c r="R346" s="363" t="s">
        <v>93</v>
      </c>
      <c r="S346" s="363"/>
    </row>
  </sheetData>
  <sheetProtection sheet="true" password="c6ac"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7" topLeftCell="D142" activePane="bottomRight" state="frozen"/>
      <selection pane="topLeft" activeCell="A1" activeCellId="0" sqref="A1"/>
      <selection pane="topRight" activeCell="D1" activeCellId="0" sqref="D1"/>
      <selection pane="bottomLeft" activeCell="A142" activeCellId="0" sqref="A142"/>
      <selection pane="bottomRight" activeCell="B219" activeCellId="0" sqref="B219"/>
    </sheetView>
  </sheetViews>
  <sheetFormatPr defaultColWidth="11.6328125" defaultRowHeight="12" zeroHeight="false" outlineLevelRow="0" outlineLevelCol="0"/>
  <cols>
    <col collapsed="false" customWidth="true" hidden="false" outlineLevel="0" max="1" min="1" style="376" width="4.63"/>
    <col collapsed="false" customWidth="true" hidden="false" outlineLevel="0" max="2" min="2" style="376" width="6"/>
    <col collapsed="false" customWidth="true" hidden="false" outlineLevel="0" max="3" min="3" style="377" width="1.36"/>
    <col collapsed="false" customWidth="true" hidden="false" outlineLevel="0" max="4" min="4" style="376" width="7.18"/>
    <col collapsed="false" customWidth="true" hidden="false" outlineLevel="0" max="6" min="5" style="376" width="7.36"/>
    <col collapsed="false" customWidth="true" hidden="false" outlineLevel="0" max="7" min="7" style="376" width="7.18"/>
    <col collapsed="false" customWidth="true" hidden="false" outlineLevel="0" max="8" min="8" style="376" width="7.36"/>
    <col collapsed="false" customWidth="true" hidden="false" outlineLevel="0" max="9" min="9" style="376" width="7.18"/>
    <col collapsed="false" customWidth="true" hidden="false" outlineLevel="0" max="12" min="10" style="376" width="7.63"/>
    <col collapsed="false" customWidth="true" hidden="false" outlineLevel="0" max="13" min="13" style="376" width="5.73"/>
    <col collapsed="false" customWidth="true" hidden="false" outlineLevel="0" max="14" min="14" style="376" width="6.36"/>
    <col collapsed="false" customWidth="true" hidden="false" outlineLevel="0" max="15" min="15" style="377" width="1.36"/>
    <col collapsed="false" customWidth="true" hidden="false" outlineLevel="0" max="16" min="16" style="376" width="4"/>
    <col collapsed="false" customWidth="true" hidden="false" outlineLevel="0" max="17" min="17" style="376" width="8.63"/>
    <col collapsed="false" customWidth="true" hidden="false" outlineLevel="0" max="18" min="18" style="376" width="5.73"/>
    <col collapsed="false" customWidth="true" hidden="false" outlineLevel="0" max="19" min="19" style="376" width="5.27"/>
    <col collapsed="false" customWidth="true" hidden="false" outlineLevel="0" max="20" min="20" style="376" width="6"/>
    <col collapsed="false" customWidth="true" hidden="false" outlineLevel="0" max="21" min="21" style="376" width="8.73"/>
    <col collapsed="false" customWidth="true" hidden="false" outlineLevel="0" max="22" min="22" style="376" width="6.73"/>
    <col collapsed="false" customWidth="true" hidden="false" outlineLevel="0" max="23" min="23" style="376" width="7.18"/>
    <col collapsed="false" customWidth="true" hidden="false" outlineLevel="0" max="24" min="24" style="377" width="1.36"/>
    <col collapsed="false" customWidth="true" hidden="false" outlineLevel="0" max="25" min="25" style="376" width="15.73"/>
    <col collapsed="false" customWidth="true" hidden="false" outlineLevel="0" max="26" min="26" style="376" width="5.73"/>
    <col collapsed="false" customWidth="true" hidden="false" outlineLevel="0" max="27" min="27" style="376" width="7.73"/>
    <col collapsed="false" customWidth="true" hidden="false" outlineLevel="0" max="28" min="28" style="376" width="1.63"/>
    <col collapsed="false" customWidth="true" hidden="false" outlineLevel="0" max="29" min="29" style="376" width="7.27"/>
    <col collapsed="false" customWidth="true" hidden="false" outlineLevel="0" max="31" min="30" style="376" width="6.73"/>
    <col collapsed="false" customWidth="true" hidden="false" outlineLevel="0" max="32" min="32" style="376" width="1.82"/>
    <col collapsed="false" customWidth="true" hidden="false" outlineLevel="0" max="238" min="33" style="376" width="11.36"/>
    <col collapsed="false" customWidth="true" hidden="false" outlineLevel="0" max="239" min="239" style="376" width="11"/>
  </cols>
  <sheetData>
    <row r="1" customFormat="false" ht="12.75" hidden="false" customHeight="false" outlineLevel="0" collapsed="false">
      <c r="D1" s="378" t="s">
        <v>302</v>
      </c>
      <c r="E1" s="378"/>
      <c r="F1" s="378"/>
      <c r="G1" s="378"/>
      <c r="H1" s="378"/>
      <c r="I1" s="378"/>
      <c r="J1" s="378"/>
      <c r="K1" s="378"/>
      <c r="L1" s="378"/>
      <c r="M1" s="378"/>
      <c r="N1" s="378"/>
      <c r="P1" s="378" t="s">
        <v>303</v>
      </c>
      <c r="Q1" s="378"/>
      <c r="R1" s="378"/>
      <c r="S1" s="378"/>
      <c r="T1" s="378"/>
      <c r="U1" s="378"/>
      <c r="V1" s="378"/>
      <c r="W1" s="378"/>
      <c r="Y1" s="379"/>
      <c r="Z1" s="379"/>
      <c r="AA1" s="379"/>
      <c r="AC1" s="378" t="s">
        <v>304</v>
      </c>
      <c r="AD1" s="378"/>
      <c r="AE1" s="378"/>
      <c r="AG1" s="380" t="s">
        <v>305</v>
      </c>
      <c r="AH1" s="380"/>
    </row>
    <row r="2" s="338" customFormat="true" ht="12" hidden="false" customHeight="false" outlineLevel="0" collapsed="false">
      <c r="A2" s="381" t="s">
        <v>306</v>
      </c>
      <c r="B2" s="382" t="s">
        <v>203</v>
      </c>
      <c r="C2" s="383"/>
      <c r="D2" s="384" t="s">
        <v>307</v>
      </c>
      <c r="E2" s="385" t="s">
        <v>308</v>
      </c>
      <c r="F2" s="382" t="s">
        <v>309</v>
      </c>
      <c r="G2" s="384" t="s">
        <v>310</v>
      </c>
      <c r="H2" s="385" t="s">
        <v>311</v>
      </c>
      <c r="I2" s="382" t="s">
        <v>312</v>
      </c>
      <c r="J2" s="384" t="s">
        <v>313</v>
      </c>
      <c r="K2" s="385" t="s">
        <v>314</v>
      </c>
      <c r="L2" s="382" t="s">
        <v>315</v>
      </c>
      <c r="M2" s="381" t="s">
        <v>316</v>
      </c>
      <c r="N2" s="382" t="s">
        <v>317</v>
      </c>
      <c r="O2" s="383"/>
      <c r="P2" s="381" t="s">
        <v>318</v>
      </c>
      <c r="Q2" s="382" t="s">
        <v>319</v>
      </c>
      <c r="R2" s="381" t="s">
        <v>320</v>
      </c>
      <c r="S2" s="385" t="s">
        <v>175</v>
      </c>
      <c r="T2" s="382" t="s">
        <v>321</v>
      </c>
      <c r="U2" s="386" t="s">
        <v>322</v>
      </c>
      <c r="V2" s="381" t="s">
        <v>323</v>
      </c>
      <c r="W2" s="382" t="s">
        <v>324</v>
      </c>
      <c r="X2" s="387"/>
      <c r="Y2" s="388" t="s">
        <v>325</v>
      </c>
      <c r="Z2" s="388"/>
      <c r="AA2" s="388"/>
      <c r="AC2" s="381" t="s">
        <v>326</v>
      </c>
      <c r="AD2" s="385" t="s">
        <v>202</v>
      </c>
      <c r="AE2" s="382" t="s">
        <v>201</v>
      </c>
      <c r="AG2" s="389" t="s">
        <v>327</v>
      </c>
      <c r="AH2" s="382" t="s">
        <v>328</v>
      </c>
    </row>
    <row r="3" s="338" customFormat="true" ht="12" hidden="false" customHeight="false" outlineLevel="0" collapsed="false">
      <c r="A3" s="390" t="s">
        <v>174</v>
      </c>
      <c r="B3" s="391" t="s">
        <v>174</v>
      </c>
      <c r="C3" s="383"/>
      <c r="D3" s="392" t="s">
        <v>177</v>
      </c>
      <c r="E3" s="393" t="s">
        <v>177</v>
      </c>
      <c r="F3" s="391" t="s">
        <v>177</v>
      </c>
      <c r="G3" s="392" t="s">
        <v>176</v>
      </c>
      <c r="H3" s="393" t="s">
        <v>176</v>
      </c>
      <c r="I3" s="391" t="s">
        <v>176</v>
      </c>
      <c r="J3" s="392" t="s">
        <v>175</v>
      </c>
      <c r="K3" s="393" t="s">
        <v>175</v>
      </c>
      <c r="L3" s="391" t="s">
        <v>175</v>
      </c>
      <c r="M3" s="390" t="s">
        <v>329</v>
      </c>
      <c r="N3" s="391" t="s">
        <v>178</v>
      </c>
      <c r="O3" s="383"/>
      <c r="P3" s="392" t="s">
        <v>11</v>
      </c>
      <c r="Q3" s="394" t="s">
        <v>330</v>
      </c>
      <c r="R3" s="392" t="s">
        <v>331</v>
      </c>
      <c r="S3" s="395" t="s">
        <v>332</v>
      </c>
      <c r="T3" s="394" t="s">
        <v>330</v>
      </c>
      <c r="U3" s="396" t="s">
        <v>330</v>
      </c>
      <c r="V3" s="392" t="s">
        <v>333</v>
      </c>
      <c r="W3" s="394" t="s">
        <v>330</v>
      </c>
      <c r="X3" s="387"/>
      <c r="Y3" s="397"/>
      <c r="Z3" s="398"/>
      <c r="AA3" s="399"/>
      <c r="AC3" s="392" t="s">
        <v>174</v>
      </c>
      <c r="AD3" s="395" t="s">
        <v>175</v>
      </c>
      <c r="AE3" s="394" t="s">
        <v>175</v>
      </c>
      <c r="AG3" s="397" t="s">
        <v>177</v>
      </c>
      <c r="AH3" s="394" t="s">
        <v>177</v>
      </c>
    </row>
    <row r="4" customFormat="false" ht="12" hidden="false" customHeight="false" outlineLevel="0" collapsed="false">
      <c r="A4" s="400" t="s">
        <v>11</v>
      </c>
      <c r="B4" s="401" t="n">
        <f aca="false">T_ini</f>
        <v>0</v>
      </c>
      <c r="C4" s="402"/>
      <c r="D4" s="400" t="s">
        <v>11</v>
      </c>
      <c r="E4" s="403" t="s">
        <v>11</v>
      </c>
      <c r="F4" s="404" t="s">
        <v>11</v>
      </c>
      <c r="G4" s="400" t="n">
        <f aca="false">vit_xz*COS(Beta)</f>
        <v>0</v>
      </c>
      <c r="H4" s="403" t="n">
        <f aca="false">vit_xz*SIN(Beta)</f>
        <v>0</v>
      </c>
      <c r="I4" s="401" t="n">
        <f aca="false">V_ini</f>
        <v>0</v>
      </c>
      <c r="J4" s="405" t="n">
        <f aca="false">X_ini</f>
        <v>0</v>
      </c>
      <c r="K4" s="406" t="n">
        <f aca="false">Z_ini</f>
        <v>0</v>
      </c>
      <c r="L4" s="407" t="n">
        <f aca="false">SQRT(pos_x^2+pos_z^2)</f>
        <v>0</v>
      </c>
      <c r="M4" s="400" t="n">
        <f aca="false">RADIANS(N4)</f>
        <v>1.39626340159546</v>
      </c>
      <c r="N4" s="401" t="n">
        <f aca="false">Beta_rampe</f>
        <v>80</v>
      </c>
      <c r="O4" s="402"/>
      <c r="P4" s="400" t="s">
        <v>11</v>
      </c>
      <c r="Q4" s="404" t="s">
        <v>11</v>
      </c>
      <c r="R4" s="400" t="s">
        <v>11</v>
      </c>
      <c r="S4" s="406" t="n">
        <f aca="false">m_tot</f>
        <v>1.5599</v>
      </c>
      <c r="T4" s="407" t="n">
        <f aca="false">m*g</f>
        <v>15.302619</v>
      </c>
      <c r="U4" s="408" t="n">
        <f aca="false">IF(pos_xz&lt;L_rampe,Poids*COS(Beta),0)</f>
        <v>2.6572719028814</v>
      </c>
      <c r="V4" s="409" t="n">
        <f aca="false">Rho_moyen*(20000-Alt_rampe-pos_z)/(20000+Alt_rampe+pos_z)</f>
        <v>1.225</v>
      </c>
      <c r="W4" s="407" t="n">
        <f aca="false">1/2*Rho*Sref*Cx*vit_xz^2</f>
        <v>0</v>
      </c>
      <c r="X4" s="402"/>
      <c r="Y4" s="410" t="s">
        <v>11</v>
      </c>
      <c r="Z4" s="411" t="s">
        <v>11</v>
      </c>
      <c r="AA4" s="412" t="s">
        <v>11</v>
      </c>
      <c r="AB4" s="413"/>
      <c r="AC4" s="414" t="n">
        <f aca="false">IF(ABS(t-ROUND(t,0))&lt;0.001,t,-1)</f>
        <v>0</v>
      </c>
      <c r="AD4" s="415" t="n">
        <f aca="false">IF(ABS(t-ROUND(t,0))&lt;0.001,pos_x,-1)</f>
        <v>0</v>
      </c>
      <c r="AE4" s="416" t="n">
        <f aca="false">IF(t&lt;T_para, pos_z, NA())</f>
        <v>0</v>
      </c>
      <c r="AF4" s="413"/>
      <c r="AG4" s="400" t="s">
        <v>11</v>
      </c>
      <c r="AH4" s="404" t="s">
        <v>11</v>
      </c>
    </row>
    <row r="5" customFormat="false" ht="12" hidden="false" customHeight="false" outlineLevel="0" collapsed="false">
      <c r="A5" s="417" t="n">
        <f aca="false">IF(B4+0.01&lt;=T_ini+ROUNDUP(Temps_fin_propu,0), 0.01, IF(K4&gt;0, 0.1, 0.0001))</f>
        <v>0.01</v>
      </c>
      <c r="B5" s="418" t="n">
        <f aca="false">B4+pas</f>
        <v>0.01</v>
      </c>
      <c r="C5" s="402"/>
      <c r="D5" s="419" t="n">
        <f aca="false">IF(AND(L4&lt;L_rampe,Poussee&lt;Poids*SIN(M4)),0,(-W4+Poussee)/m*COS(M4)-U4/m*SIN(M4))</f>
        <v>5.281018619504</v>
      </c>
      <c r="E5" s="420" t="n">
        <f aca="false">IF(AND(L4&lt;L_rampe,Poussee&lt;Poids*SIN(M4)),0,(-W4+Poussee)/m*SIN(M4)+U4/m*COS(M4)-Poids/m)</f>
        <v>29.9522314630732</v>
      </c>
      <c r="F5" s="418" t="n">
        <f aca="false">SQRT(acc_x^2+acc_z^2)</f>
        <v>30.414229026511</v>
      </c>
      <c r="G5" s="419" t="n">
        <f aca="false">G4+acc_x*pas</f>
        <v>0.05281018619504</v>
      </c>
      <c r="H5" s="420" t="n">
        <f aca="false">H4+acc_z*pas</f>
        <v>0.299522314630732</v>
      </c>
      <c r="I5" s="418" t="n">
        <f aca="false">SQRT(vit_x^2+vit_z^2)</f>
        <v>0.30414229026511</v>
      </c>
      <c r="J5" s="419" t="n">
        <f aca="false">J4+0.5*(vit_x+G4)*pas*(K4&gt;=0)</f>
        <v>0.0002640509309752</v>
      </c>
      <c r="K5" s="420" t="n">
        <f aca="false">K4+0.5*(vit_z+H4)*pas</f>
        <v>0.00149761157315366</v>
      </c>
      <c r="L5" s="418" t="n">
        <f aca="false">SQRT(pos_x^2+pos_z^2)</f>
        <v>0.00152071145132555</v>
      </c>
      <c r="M5" s="419" t="n">
        <f aca="false">IF(AND(L4&gt;L_rampe,G5&gt;0),ATAN2(G5,H5),$M$4)</f>
        <v>1.39626340159546</v>
      </c>
      <c r="N5" s="418" t="n">
        <f aca="false">DEGREES(Beta)</f>
        <v>79.9999999999998</v>
      </c>
      <c r="O5" s="402"/>
      <c r="P5" s="421" t="n">
        <f aca="false">MATCH(t-pas/2-T_ini,CdP_t)</f>
        <v>1</v>
      </c>
      <c r="Q5" s="418" t="n">
        <f aca="false">(INDEX(CdP,2,i_P+1)-INDEX(CdP,2,i_P+0))/(INDEX(CdP,1,i_P+1)-INDEX(CdP,1,i_P+0))*(t-pas/2-T_ini-INDEX(CdP,1,i_P+0))+INDEX(CdP,2,i_P+0)</f>
        <v>62.5</v>
      </c>
      <c r="R5" s="419" t="n">
        <f aca="false">Poussee/(g*ISP)</f>
        <v>0.0331718618365627</v>
      </c>
      <c r="S5" s="420" t="n">
        <f aca="false">S4-Débit*pas</f>
        <v>1.55956828138163</v>
      </c>
      <c r="T5" s="418" t="n">
        <f aca="false">m*g</f>
        <v>15.2993648403538</v>
      </c>
      <c r="U5" s="422" t="n">
        <f aca="false">IF(pos_xz&lt;L_rampe,Poids*COS(Beta),0)</f>
        <v>2.656706823989</v>
      </c>
      <c r="V5" s="419" t="n">
        <f aca="false">Rho_moyen*(20000-Alt_rampe-pos_z)/(20000+Alt_rampe+pos_z)</f>
        <v>1.2249998165426</v>
      </c>
      <c r="W5" s="418" t="n">
        <f aca="false">1/2*Rho*Sref*Cx*vit_xz^2</f>
        <v>9.98868673793163E-005</v>
      </c>
      <c r="X5" s="402"/>
      <c r="Y5" s="423" t="str">
        <f aca="false">IF(AND(pos_z&lt;=0,K4&gt;0),"Impact balistique","") &amp; IF(AND(H6&lt;0,vit_z&gt;=0),"Apogée","") &amp; IF(AND(Poussee=0,Q4&gt;0),"Fin de propulsion","") &amp; IF(AND(L6&gt;L_rampe,pos_xz&lt;=L_rampe),"Sortie de rampe","")</f>
        <v/>
      </c>
      <c r="Z5" s="424" t="str">
        <f aca="false">IF(ABS(t-T_para)&lt;pas/2,"Para","")</f>
        <v/>
      </c>
      <c r="AA5" s="425" t="str">
        <f aca="false">IF(ABS(t-T_satellite)&lt;pas/2,"Satellite","")</f>
        <v/>
      </c>
      <c r="AB5" s="413"/>
      <c r="AC5" s="421" t="e">
        <f aca="false">IF(ABS(t-ROUND(t,0))&lt;0.001,t,NA())</f>
        <v>#N/A</v>
      </c>
      <c r="AD5" s="426" t="e">
        <f aca="false">IF(ABS(t-ROUND(t,0))&lt;0.001,pos_x,NA())</f>
        <v>#N/A</v>
      </c>
      <c r="AE5" s="427" t="n">
        <f aca="false">IF(t&lt;T_para, pos_z, NA())</f>
        <v>0.00149761157315366</v>
      </c>
      <c r="AF5" s="413"/>
      <c r="AG5" s="419" t="n">
        <f aca="false">IF(AND(L4&lt;L_rampe,Poussee&lt;Poids*SIN(M4)),0,(-W4+Poussee)/m-Poids*SIN(M4)/m)</f>
        <v>30.4142290243527</v>
      </c>
      <c r="AH5" s="418" t="n">
        <f aca="false">IF(AND(L4&lt;L_rampe,Poussee&lt;Poids*SIN(M4)), g*SIN(M4), (-W4+Poussee)/m)</f>
        <v>40.0751930814025</v>
      </c>
    </row>
    <row r="6" customFormat="false" ht="12" hidden="false" customHeight="false" outlineLevel="0" collapsed="false">
      <c r="A6" s="417" t="n">
        <f aca="false">IF(B5+0.01&lt;=T_ini+ROUNDUP(Temps_fin_propu,0), 0.01, IF(K5&gt;0, 0.1, 0.0001))</f>
        <v>0.01</v>
      </c>
      <c r="B6" s="418" t="n">
        <f aca="false">B5+pas</f>
        <v>0.02</v>
      </c>
      <c r="C6" s="402"/>
      <c r="D6" s="419" t="n">
        <f aca="false">IF(AND(L5&lt;L_rampe,Poussee&lt;Poids*SIN(M5)),0,(-W5+Poussee)/m*COS(M5)-U5/m*SIN(M5))</f>
        <v>19.2115916790989</v>
      </c>
      <c r="E6" s="420" t="n">
        <f aca="false">IF(AND(L5&lt;L_rampe,Poussee&lt;Poids*SIN(M5)),0,(-W5+Poussee)/m*SIN(M5)+U5/m*COS(M5)-Poids/m)</f>
        <v>108.960614344111</v>
      </c>
      <c r="F6" s="418" t="n">
        <f aca="false">SQRT(acc_x^2+acc_z^2)</f>
        <v>110.641315669557</v>
      </c>
      <c r="G6" s="419" t="n">
        <f aca="false">G5+acc_x*pas</f>
        <v>0.244926102986029</v>
      </c>
      <c r="H6" s="420" t="n">
        <f aca="false">H5+acc_z*pas</f>
        <v>1.38912845807184</v>
      </c>
      <c r="I6" s="418" t="n">
        <f aca="false">SQRT(vit_x^2+vit_z^2)</f>
        <v>1.41055544696016</v>
      </c>
      <c r="J6" s="419" t="n">
        <f aca="false">J5+0.5*(vit_x+G5)*pas*(K5&gt;=0)</f>
        <v>0.00175273237688055</v>
      </c>
      <c r="K6" s="420" t="n">
        <f aca="false">K5+0.5*(vit_z+H5)*pas</f>
        <v>0.00994086543666655</v>
      </c>
      <c r="L6" s="418" t="n">
        <f aca="false">SQRT(pos_x^2+pos_z^2)</f>
        <v>0.0100942001374491</v>
      </c>
      <c r="M6" s="419" t="n">
        <f aca="false">IF(AND(L5&gt;L_rampe,G6&gt;0),ATAN2(G6,H6),$M$4)</f>
        <v>1.39626340159546</v>
      </c>
      <c r="N6" s="418" t="n">
        <f aca="false">DEGREES(Beta)</f>
        <v>79.9999999999998</v>
      </c>
      <c r="O6" s="402"/>
      <c r="P6" s="421" t="n">
        <f aca="false">MATCH(t-pas/2-T_ini,CdP_t)</f>
        <v>1</v>
      </c>
      <c r="Q6" s="418" t="n">
        <f aca="false">(INDEX(CdP,2,i_P+1)-INDEX(CdP,2,i_P+0))/(INDEX(CdP,1,i_P+1)-INDEX(CdP,1,i_P+0))*(t-pas/2-T_ini-INDEX(CdP,1,i_P+0))+INDEX(CdP,2,i_P+0)</f>
        <v>187.5</v>
      </c>
      <c r="R6" s="419" t="n">
        <f aca="false">Poussee/(g*ISP)</f>
        <v>0.0995155855096881</v>
      </c>
      <c r="S6" s="420" t="n">
        <f aca="false">S5-Débit*pas</f>
        <v>1.55857312552654</v>
      </c>
      <c r="T6" s="418" t="n">
        <f aca="false">m*g</f>
        <v>15.2896023614153</v>
      </c>
      <c r="U6" s="422" t="n">
        <f aca="false">IF(pos_xz&lt;L_rampe,Poids*COS(Beta),0)</f>
        <v>2.65501158731182</v>
      </c>
      <c r="V6" s="419" t="n">
        <f aca="false">Rho_moyen*(20000-Alt_rampe-pos_z)/(20000+Alt_rampe+pos_z)</f>
        <v>1.22499878224459</v>
      </c>
      <c r="W6" s="418" t="n">
        <f aca="false">1/2*Rho*Sref*Cx*vit_xz^2</f>
        <v>0.00214849687924646</v>
      </c>
      <c r="X6" s="402"/>
      <c r="Y6" s="423" t="str">
        <f aca="false">IF(AND(pos_z&lt;=0,K5&gt;0),"Impact balistique","") &amp; IF(AND(H7&lt;0,vit_z&gt;=0),"Apogée","") &amp; IF(AND(Poussee=0,Q5&gt;0),"Fin de propulsion","") &amp; IF(AND(L7&gt;L_rampe,pos_xz&lt;=L_rampe),"Sortie de rampe","")</f>
        <v/>
      </c>
      <c r="Z6" s="424" t="str">
        <f aca="false">IF(ABS(t-T_para)&lt;pas/2,"Para","")</f>
        <v/>
      </c>
      <c r="AA6" s="425" t="str">
        <f aca="false">IF(ABS(t-T_satellite)&lt;pas/2,"Satellite","")</f>
        <v/>
      </c>
      <c r="AB6" s="413"/>
      <c r="AC6" s="421" t="e">
        <f aca="false">IF(ABS(t-ROUND(t,0))&lt;0.001,t,NA())</f>
        <v>#N/A</v>
      </c>
      <c r="AD6" s="426" t="e">
        <f aca="false">IF(ABS(t-ROUND(t,0))&lt;0.001,pos_x,NA())</f>
        <v>#N/A</v>
      </c>
      <c r="AE6" s="427" t="n">
        <f aca="false">IF(t&lt;T_para, pos_z, NA())</f>
        <v>0.00994086543666655</v>
      </c>
      <c r="AF6" s="413"/>
      <c r="AG6" s="419" t="n">
        <f aca="false">IF(AND(L5&lt;L_rampe,Poussee&lt;Poids*SIN(M5)),0,(-W5+Poussee)/m-Poids*SIN(M5)/m)</f>
        <v>110.641315664211</v>
      </c>
      <c r="AH6" s="418" t="n">
        <f aca="false">IF(AND(L5&lt;L_rampe,Poussee&lt;Poids*SIN(M5)), g*SIN(M5), (-W5+Poussee)/m)</f>
        <v>120.30227972126</v>
      </c>
    </row>
    <row r="7" customFormat="false" ht="12" hidden="false" customHeight="false" outlineLevel="0" collapsed="false">
      <c r="A7" s="417" t="n">
        <f aca="false">IF(B6+0.01&lt;=T_ini+ROUNDUP(Temps_fin_propu,0), 0.01, IF(K6&gt;0, 0.1, 0.0001))</f>
        <v>0.01</v>
      </c>
      <c r="B7" s="418" t="n">
        <f aca="false">B6+pas</f>
        <v>0.03</v>
      </c>
      <c r="C7" s="402"/>
      <c r="D7" s="419" t="n">
        <f aca="false">IF(AND(L6&lt;L_rampe,Poussee&lt;Poids*SIN(M6)),0,(-W6+Poussee)/m*COS(M6)-U6/m*SIN(M6))</f>
        <v>25.0822131038227</v>
      </c>
      <c r="E7" s="420" t="n">
        <f aca="false">IF(AND(L6&lt;L_rampe,Poussee&lt;Poids*SIN(M6)),0,(-W6+Poussee)/m*SIN(M6)+U6/m*COS(M6)-Poids/m)</f>
        <v>142.256323301998</v>
      </c>
      <c r="F7" s="418" t="n">
        <f aca="false">SQRT(acc_x^2+acc_z^2)</f>
        <v>144.450610706871</v>
      </c>
      <c r="G7" s="419" t="n">
        <f aca="false">G6+acc_x*pas</f>
        <v>0.495748234024256</v>
      </c>
      <c r="H7" s="420" t="n">
        <f aca="false">H6+acc_z*pas</f>
        <v>2.81169169109182</v>
      </c>
      <c r="I7" s="418" t="n">
        <f aca="false">SQRT(vit_x^2+vit_z^2)</f>
        <v>2.85506155402873</v>
      </c>
      <c r="J7" s="419" t="n">
        <f aca="false">J6+0.5*(vit_x+G6)*pas*(K6&gt;=0)</f>
        <v>0.00545610406193197</v>
      </c>
      <c r="K7" s="420" t="n">
        <f aca="false">K6+0.5*(vit_z+H6)*pas</f>
        <v>0.0309449661824849</v>
      </c>
      <c r="L7" s="418" t="n">
        <f aca="false">SQRT(pos_x^2+pos_z^2)</f>
        <v>0.0314222851423916</v>
      </c>
      <c r="M7" s="419" t="n">
        <f aca="false">IF(AND(L6&gt;L_rampe,G7&gt;0),ATAN2(G7,H7),$M$4)</f>
        <v>1.39626340159546</v>
      </c>
      <c r="N7" s="418" t="n">
        <f aca="false">DEGREES(Beta)</f>
        <v>79.9999999999998</v>
      </c>
      <c r="O7" s="402"/>
      <c r="P7" s="421" t="n">
        <f aca="false">MATCH(t-pas/2-T_ini,CdP_t)</f>
        <v>2</v>
      </c>
      <c r="Q7" s="418" t="n">
        <f aca="false">(INDEX(CdP,2,i_P+1)-INDEX(CdP,2,i_P+0))/(INDEX(CdP,1,i_P+1)-INDEX(CdP,1,i_P+0))*(t-pas/2-T_ini-INDEX(CdP,1,i_P+0))+INDEX(CdP,2,i_P+0)</f>
        <v>240</v>
      </c>
      <c r="R7" s="419" t="n">
        <f aca="false">Poussee/(g*ISP)</f>
        <v>0.127379949452401</v>
      </c>
      <c r="S7" s="420" t="n">
        <f aca="false">S6-Débit*pas</f>
        <v>1.55729932603201</v>
      </c>
      <c r="T7" s="418" t="n">
        <f aca="false">m*g</f>
        <v>15.2771063883741</v>
      </c>
      <c r="U7" s="422" t="n">
        <f aca="false">IF(pos_xz&lt;L_rampe,Poids*COS(Beta),0)</f>
        <v>2.65284168436503</v>
      </c>
      <c r="V7" s="419" t="n">
        <f aca="false">Rho_moyen*(20000-Alt_rampe-pos_z)/(20000+Alt_rampe+pos_z)</f>
        <v>1.22499620924751</v>
      </c>
      <c r="W7" s="418" t="n">
        <f aca="false">1/2*Rho*Sref*Cx*vit_xz^2</f>
        <v>0.00880206238133366</v>
      </c>
      <c r="X7" s="402"/>
      <c r="Y7" s="423" t="str">
        <f aca="false">IF(AND(pos_z&lt;=0,K6&gt;0),"Impact balistique","") &amp; IF(AND(H8&lt;0,vit_z&gt;=0),"Apogée","") &amp; IF(AND(Poussee=0,Q6&gt;0),"Fin de propulsion","") &amp; IF(AND(L8&gt;L_rampe,pos_xz&lt;=L_rampe),"Sortie de rampe","")</f>
        <v/>
      </c>
      <c r="Z7" s="424" t="str">
        <f aca="false">IF(ABS(t-T_para)&lt;pas/2,"Para","")</f>
        <v/>
      </c>
      <c r="AA7" s="425" t="str">
        <f aca="false">IF(ABS(t-T_satellite)&lt;pas/2,"Satellite","")</f>
        <v/>
      </c>
      <c r="AB7" s="413"/>
      <c r="AC7" s="421" t="e">
        <f aca="false">IF(ABS(t-ROUND(t,0))&lt;0.001,t,NA())</f>
        <v>#N/A</v>
      </c>
      <c r="AD7" s="426" t="e">
        <f aca="false">IF(ABS(t-ROUND(t,0))&lt;0.001,pos_x,NA())</f>
        <v>#N/A</v>
      </c>
      <c r="AE7" s="427" t="n">
        <f aca="false">IF(t&lt;T_para, pos_z, NA())</f>
        <v>0.0309449661824849</v>
      </c>
      <c r="AF7" s="413"/>
      <c r="AG7" s="419" t="n">
        <f aca="false">IF(AND(L6&lt;L_rampe,Poussee&lt;Poids*SIN(M6)),0,(-W6+Poussee)/m-Poids*SIN(M6)/m)</f>
        <v>144.450610700151</v>
      </c>
      <c r="AH7" s="418" t="n">
        <f aca="false">IF(AND(L6&lt;L_rampe,Poussee&lt;Poids*SIN(M6)), g*SIN(M6), (-W6+Poussee)/m)</f>
        <v>154.111574757201</v>
      </c>
    </row>
    <row r="8" customFormat="false" ht="12" hidden="false" customHeight="false" outlineLevel="0" collapsed="false">
      <c r="A8" s="417" t="n">
        <f aca="false">IF(B7+0.01&lt;=T_ini+ROUNDUP(Temps_fin_propu,0), 0.01, IF(K7&gt;0, 0.1, 0.0001))</f>
        <v>0.01</v>
      </c>
      <c r="B8" s="418" t="n">
        <f aca="false">B7+pas</f>
        <v>0.04</v>
      </c>
      <c r="C8" s="402"/>
      <c r="D8" s="419" t="n">
        <f aca="false">IF(AND(L7&lt;L_rampe,Poussee&lt;Poids*SIN(M7)),0,(-W7+Poussee)/m*COS(M7)-U7/m*SIN(M7))</f>
        <v>22.8698715564399</v>
      </c>
      <c r="E8" s="420" t="n">
        <f aca="false">IF(AND(L7&lt;L_rampe,Poussee&lt;Poids*SIN(M7)),0,(-W7+Poussee)/m*SIN(M7)+U7/m*COS(M7)-Poids/m)</f>
        <v>129.708847747192</v>
      </c>
      <c r="F8" s="418" t="n">
        <f aca="false">SQRT(acc_x^2+acc_z^2)</f>
        <v>131.709590421169</v>
      </c>
      <c r="G8" s="419" t="n">
        <f aca="false">G7+acc_x*pas</f>
        <v>0.724446949588655</v>
      </c>
      <c r="H8" s="420" t="n">
        <f aca="false">H7+acc_z*pas</f>
        <v>4.10878016856374</v>
      </c>
      <c r="I8" s="418" t="n">
        <f aca="false">SQRT(vit_x^2+vit_z^2)</f>
        <v>4.17215745824039</v>
      </c>
      <c r="J8" s="419" t="n">
        <f aca="false">J7+0.5*(vit_x+G7)*pas*(K7&gt;=0)</f>
        <v>0.0115570799799965</v>
      </c>
      <c r="K8" s="420" t="n">
        <f aca="false">K7+0.5*(vit_z+H7)*pas</f>
        <v>0.0655473254807626</v>
      </c>
      <c r="L8" s="418" t="n">
        <f aca="false">SQRT(pos_x^2+pos_z^2)</f>
        <v>0.066558380203736</v>
      </c>
      <c r="M8" s="419" t="n">
        <f aca="false">IF(AND(L7&gt;L_rampe,G8&gt;0),ATAN2(G8,H8),$M$4)</f>
        <v>1.39626340159546</v>
      </c>
      <c r="N8" s="418" t="n">
        <f aca="false">DEGREES(Beta)</f>
        <v>79.9999999999998</v>
      </c>
      <c r="O8" s="402"/>
      <c r="P8" s="421" t="n">
        <f aca="false">MATCH(t-pas/2-T_ini,CdP_t)</f>
        <v>2</v>
      </c>
      <c r="Q8" s="418" t="n">
        <f aca="false">(INDEX(CdP,2,i_P+1)-INDEX(CdP,2,i_P+0))/(INDEX(CdP,1,i_P+1)-INDEX(CdP,1,i_P+0))*(t-pas/2-T_ini-INDEX(CdP,1,i_P+0))+INDEX(CdP,2,i_P+0)</f>
        <v>220</v>
      </c>
      <c r="R8" s="419" t="n">
        <f aca="false">Poussee/(g*ISP)</f>
        <v>0.116764953664701</v>
      </c>
      <c r="S8" s="420" t="n">
        <f aca="false">S7-Débit*pas</f>
        <v>1.55613167649537</v>
      </c>
      <c r="T8" s="418" t="n">
        <f aca="false">m*g</f>
        <v>15.2656517464195</v>
      </c>
      <c r="U8" s="422" t="n">
        <f aca="false">IF(pos_xz&lt;L_rampe,Poids*COS(Beta),0)</f>
        <v>2.6508526066638</v>
      </c>
      <c r="V8" s="419" t="n">
        <f aca="false">Rho_moyen*(20000-Alt_rampe-pos_z)/(20000+Alt_rampe+pos_z)</f>
        <v>1.22499197047894</v>
      </c>
      <c r="W8" s="418" t="n">
        <f aca="false">1/2*Rho*Sref*Cx*vit_xz^2</f>
        <v>0.0187963432997168</v>
      </c>
      <c r="X8" s="402"/>
      <c r="Y8" s="423" t="str">
        <f aca="false">IF(AND(pos_z&lt;=0,K7&gt;0),"Impact balistique","") &amp; IF(AND(H9&lt;0,vit_z&gt;=0),"Apogée","") &amp; IF(AND(Poussee=0,Q7&gt;0),"Fin de propulsion","") &amp; IF(AND(L9&gt;L_rampe,pos_xz&lt;=L_rampe),"Sortie de rampe","")</f>
        <v/>
      </c>
      <c r="Z8" s="424" t="str">
        <f aca="false">IF(ABS(t-T_para)&lt;pas/2,"Para","")</f>
        <v/>
      </c>
      <c r="AA8" s="425" t="str">
        <f aca="false">IF(ABS(t-T_satellite)&lt;pas/2,"Satellite","")</f>
        <v/>
      </c>
      <c r="AB8" s="413"/>
      <c r="AC8" s="421" t="e">
        <f aca="false">IF(ABS(t-ROUND(t,0))&lt;0.001,t,NA())</f>
        <v>#N/A</v>
      </c>
      <c r="AD8" s="426" t="e">
        <f aca="false">IF(ABS(t-ROUND(t,0))&lt;0.001,pos_x,NA())</f>
        <v>#N/A</v>
      </c>
      <c r="AE8" s="427" t="n">
        <f aca="false">IF(t&lt;T_para, pos_z, NA())</f>
        <v>0.0655473254807626</v>
      </c>
      <c r="AF8" s="413"/>
      <c r="AG8" s="419" t="n">
        <f aca="false">IF(AND(L7&lt;L_rampe,Poussee&lt;Poids*SIN(M7)),0,(-W7+Poussee)/m-Poids*SIN(M7)/m)</f>
        <v>131.709590414967</v>
      </c>
      <c r="AH8" s="418" t="n">
        <f aca="false">IF(AND(L7&lt;L_rampe,Poussee&lt;Poids*SIN(M7)), g*SIN(M7), (-W7+Poussee)/m)</f>
        <v>141.370554472017</v>
      </c>
    </row>
    <row r="9" customFormat="false" ht="12" hidden="false" customHeight="false" outlineLevel="0" collapsed="false">
      <c r="A9" s="417" t="n">
        <f aca="false">IF(B8+0.01&lt;=T_ini+ROUNDUP(Temps_fin_propu,0), 0.01, IF(K8&gt;0, 0.1, 0.0001))</f>
        <v>0.01</v>
      </c>
      <c r="B9" s="418" t="n">
        <f aca="false">B8+pas</f>
        <v>0.05</v>
      </c>
      <c r="C9" s="402"/>
      <c r="D9" s="419" t="n">
        <f aca="false">IF(AND(L8&lt;L_rampe,Poussee&lt;Poids*SIN(M8)),0,(-W8+Poussee)/m*COS(M8)-U8/m*SIN(M8))</f>
        <v>21.7215457456584</v>
      </c>
      <c r="E9" s="420" t="n">
        <f aca="false">IF(AND(L8&lt;L_rampe,Poussee&lt;Poids*SIN(M8)),0,(-W8+Poussee)/m*SIN(M8)+U8/m*COS(M8)-Poids/m)</f>
        <v>123.196024457469</v>
      </c>
      <c r="F9" s="418" t="n">
        <f aca="false">SQRT(acc_x^2+acc_z^2)</f>
        <v>125.096306866774</v>
      </c>
      <c r="G9" s="419" t="n">
        <f aca="false">G8+acc_x*pas</f>
        <v>0.94166240704524</v>
      </c>
      <c r="H9" s="420" t="n">
        <f aca="false">H8+acc_z*pas</f>
        <v>5.34074041313843</v>
      </c>
      <c r="I9" s="418" t="n">
        <f aca="false">SQRT(vit_x^2+vit_z^2)</f>
        <v>5.42312052690812</v>
      </c>
      <c r="J9" s="419" t="n">
        <f aca="false">J8+0.5*(vit_x+G8)*pas*(K8&gt;=0)</f>
        <v>0.019887626763166</v>
      </c>
      <c r="K9" s="420" t="n">
        <f aca="false">K8+0.5*(vit_z+H8)*pas</f>
        <v>0.112794928389273</v>
      </c>
      <c r="L9" s="418" t="n">
        <f aca="false">SQRT(pos_x^2+pos_z^2)</f>
        <v>0.114534770129478</v>
      </c>
      <c r="M9" s="419" t="n">
        <f aca="false">IF(AND(L8&gt;L_rampe,G9&gt;0),ATAN2(G9,H9),$M$4)</f>
        <v>1.39626340159546</v>
      </c>
      <c r="N9" s="418" t="n">
        <f aca="false">DEGREES(Beta)</f>
        <v>79.9999999999998</v>
      </c>
      <c r="O9" s="402"/>
      <c r="P9" s="421" t="n">
        <f aca="false">MATCH(t-pas/2-T_ini,CdP_t)</f>
        <v>3</v>
      </c>
      <c r="Q9" s="418" t="n">
        <f aca="false">(INDEX(CdP,2,i_P+1)-INDEX(CdP,2,i_P+0))/(INDEX(CdP,1,i_P+1)-INDEX(CdP,1,i_P+0))*(t-pas/2-T_ini-INDEX(CdP,1,i_P+0))+INDEX(CdP,2,i_P+0)</f>
        <v>209.568965517241</v>
      </c>
      <c r="R9" s="419" t="n">
        <f aca="false">Poussee/(g*ISP)</f>
        <v>0.111228684309909</v>
      </c>
      <c r="S9" s="420" t="n">
        <f aca="false">S8-Débit*pas</f>
        <v>1.55501938965227</v>
      </c>
      <c r="T9" s="418" t="n">
        <f aca="false">m*g</f>
        <v>15.2547402124887</v>
      </c>
      <c r="U9" s="422" t="n">
        <f aca="false">IF(pos_xz&lt;L_rampe,Poids*COS(Beta),0)</f>
        <v>2.64895783868117</v>
      </c>
      <c r="V9" s="419" t="n">
        <f aca="false">Rho_moyen*(20000-Alt_rampe-pos_z)/(20000+Alt_rampe+pos_z)</f>
        <v>1.2249861826992</v>
      </c>
      <c r="W9" s="418" t="n">
        <f aca="false">1/2*Rho*Sref*Cx*vit_xz^2</f>
        <v>0.0317576566351154</v>
      </c>
      <c r="X9" s="402"/>
      <c r="Y9" s="423" t="str">
        <f aca="false">IF(AND(pos_z&lt;=0,K8&gt;0),"Impact balistique","") &amp; IF(AND(H10&lt;0,vit_z&gt;=0),"Apogée","") &amp; IF(AND(Poussee=0,Q8&gt;0),"Fin de propulsion","") &amp; IF(AND(L10&gt;L_rampe,pos_xz&lt;=L_rampe),"Sortie de rampe","")</f>
        <v/>
      </c>
      <c r="Z9" s="424" t="str">
        <f aca="false">IF(ABS(t-T_para)&lt;pas/2,"Para","")</f>
        <v/>
      </c>
      <c r="AA9" s="425" t="str">
        <f aca="false">IF(ABS(t-T_satellite)&lt;pas/2,"Satellite","")</f>
        <v/>
      </c>
      <c r="AB9" s="413"/>
      <c r="AC9" s="421" t="e">
        <f aca="false">IF(ABS(t-ROUND(t,0))&lt;0.001,t,NA())</f>
        <v>#N/A</v>
      </c>
      <c r="AD9" s="426" t="e">
        <f aca="false">IF(ABS(t-ROUND(t,0))&lt;0.001,pos_x,NA())</f>
        <v>#N/A</v>
      </c>
      <c r="AE9" s="427" t="n">
        <f aca="false">IF(t&lt;T_para, pos_z, NA())</f>
        <v>0.112794928389273</v>
      </c>
      <c r="AF9" s="413"/>
      <c r="AG9" s="419" t="n">
        <f aca="false">IF(AND(L8&lt;L_rampe,Poussee&lt;Poids*SIN(M8)),0,(-W8+Poussee)/m-Poids*SIN(M8)/m)</f>
        <v>125.09630686084</v>
      </c>
      <c r="AH9" s="418" t="n">
        <f aca="false">IF(AND(L8&lt;L_rampe,Poussee&lt;Poids*SIN(M8)), g*SIN(M8), (-W8+Poussee)/m)</f>
        <v>134.757270917889</v>
      </c>
    </row>
    <row r="10" customFormat="false" ht="12" hidden="false" customHeight="false" outlineLevel="0" collapsed="false">
      <c r="A10" s="417" t="n">
        <f aca="false">IF(B9+0.01&lt;=T_ini+ROUNDUP(Temps_fin_propu,0), 0.01, IF(K9&gt;0, 0.1, 0.0001))</f>
        <v>0.01</v>
      </c>
      <c r="B10" s="418" t="n">
        <f aca="false">B9+pas</f>
        <v>0.06</v>
      </c>
      <c r="C10" s="402"/>
      <c r="D10" s="419" t="n">
        <f aca="false">IF(AND(L9&lt;L_rampe,Poussee&lt;Poids*SIN(M9)),0,(-W9+Poussee)/m*COS(M9)-U9/m*SIN(M9))</f>
        <v>21.6404470392506</v>
      </c>
      <c r="E10" s="420" t="n">
        <f aca="false">IF(AND(L9&lt;L_rampe,Poussee&lt;Poids*SIN(M9)),0,(-W9+Poussee)/m*SIN(M9)+U9/m*COS(M9)-Poids/m)</f>
        <v>122.736066955158</v>
      </c>
      <c r="F10" s="418" t="n">
        <f aca="false">SQRT(acc_x^2+acc_z^2)</f>
        <v>124.629254509844</v>
      </c>
      <c r="G10" s="419" t="n">
        <f aca="false">G9+acc_x*pas</f>
        <v>1.15806687743775</v>
      </c>
      <c r="H10" s="420" t="n">
        <f aca="false">H9+acc_z*pas</f>
        <v>6.56810108269</v>
      </c>
      <c r="I10" s="418" t="n">
        <f aca="false">SQRT(vit_x^2+vit_z^2)</f>
        <v>6.66941307200656</v>
      </c>
      <c r="J10" s="419" t="n">
        <f aca="false">J9+0.5*(vit_x+G9)*pas*(K9&gt;=0)</f>
        <v>0.0303862731855809</v>
      </c>
      <c r="K10" s="420" t="n">
        <f aca="false">K9+0.5*(vit_z+H9)*pas</f>
        <v>0.172339135868416</v>
      </c>
      <c r="L10" s="418" t="n">
        <f aca="false">SQRT(pos_x^2+pos_z^2)</f>
        <v>0.174997438124051</v>
      </c>
      <c r="M10" s="419" t="n">
        <f aca="false">IF(AND(L9&gt;L_rampe,G10&gt;0),ATAN2(G10,H10),$M$4)</f>
        <v>1.39626340159546</v>
      </c>
      <c r="N10" s="418" t="n">
        <f aca="false">DEGREES(Beta)</f>
        <v>79.9999999999998</v>
      </c>
      <c r="O10" s="402"/>
      <c r="P10" s="421" t="n">
        <f aca="false">MATCH(t-pas/2-T_ini,CdP_t)</f>
        <v>3</v>
      </c>
      <c r="Q10" s="418" t="n">
        <f aca="false">(INDEX(CdP,2,i_P+1)-INDEX(CdP,2,i_P+0))/(INDEX(CdP,1,i_P+1)-INDEX(CdP,1,i_P+0))*(t-pas/2-T_ini-INDEX(CdP,1,i_P+0))+INDEX(CdP,2,i_P+0)</f>
        <v>208.706896551724</v>
      </c>
      <c r="R10" s="419" t="n">
        <f aca="false">Poussee/(g*ISP)</f>
        <v>0.110771141388025</v>
      </c>
      <c r="S10" s="420" t="n">
        <f aca="false">S9-Débit*pas</f>
        <v>1.55391167823839</v>
      </c>
      <c r="T10" s="418" t="n">
        <f aca="false">m*g</f>
        <v>15.2438735635186</v>
      </c>
      <c r="U10" s="422" t="n">
        <f aca="false">IF(pos_xz&lt;L_rampe,Poids*COS(Beta),0)</f>
        <v>2.64707086489015</v>
      </c>
      <c r="V10" s="419" t="n">
        <f aca="false">Rho_moyen*(20000-Alt_rampe-pos_z)/(20000+Alt_rampe+pos_z)</f>
        <v>1.22497888863777</v>
      </c>
      <c r="W10" s="418" t="n">
        <f aca="false">1/2*Rho*Sref*Cx*vit_xz^2</f>
        <v>0.0480311054829479</v>
      </c>
      <c r="X10" s="402"/>
      <c r="Y10" s="423" t="str">
        <f aca="false">IF(AND(pos_z&lt;=0,K9&gt;0),"Impact balistique","") &amp; IF(AND(H11&lt;0,vit_z&gt;=0),"Apogée","") &amp; IF(AND(Poussee=0,Q9&gt;0),"Fin de propulsion","") &amp; IF(AND(L11&gt;L_rampe,pos_xz&lt;=L_rampe),"Sortie de rampe","")</f>
        <v/>
      </c>
      <c r="Z10" s="424" t="str">
        <f aca="false">IF(ABS(t-T_para)&lt;pas/2,"Para","")</f>
        <v/>
      </c>
      <c r="AA10" s="425" t="str">
        <f aca="false">IF(ABS(t-T_satellite)&lt;pas/2,"Satellite","")</f>
        <v/>
      </c>
      <c r="AB10" s="413"/>
      <c r="AC10" s="421" t="e">
        <f aca="false">IF(ABS(t-ROUND(t,0))&lt;0.001,t,NA())</f>
        <v>#N/A</v>
      </c>
      <c r="AD10" s="426" t="e">
        <f aca="false">IF(ABS(t-ROUND(t,0))&lt;0.001,pos_x,NA())</f>
        <v>#N/A</v>
      </c>
      <c r="AE10" s="427" t="n">
        <f aca="false">IF(t&lt;T_para, pos_z, NA())</f>
        <v>0.172339135868416</v>
      </c>
      <c r="AF10" s="413"/>
      <c r="AG10" s="419" t="n">
        <f aca="false">IF(AND(L9&lt;L_rampe,Poussee&lt;Poids*SIN(M9)),0,(-W9+Poussee)/m-Poids*SIN(M9)/m)</f>
        <v>124.629254503928</v>
      </c>
      <c r="AH10" s="418" t="n">
        <f aca="false">IF(AND(L9&lt;L_rampe,Poussee&lt;Poids*SIN(M9)), g*SIN(M9), (-W9+Poussee)/m)</f>
        <v>134.290218560978</v>
      </c>
    </row>
    <row r="11" customFormat="false" ht="12" hidden="false" customHeight="false" outlineLevel="0" collapsed="false">
      <c r="A11" s="417" t="n">
        <f aca="false">IF(B10+0.01&lt;=T_ini+ROUNDUP(Temps_fin_propu,0), 0.01, IF(K10&gt;0, 0.1, 0.0001))</f>
        <v>0.01</v>
      </c>
      <c r="B11" s="418" t="n">
        <f aca="false">B10+pas</f>
        <v>0.07</v>
      </c>
      <c r="C11" s="402"/>
      <c r="D11" s="419" t="n">
        <f aca="false">IF(AND(L10&lt;L_rampe,Poussee&lt;Poids*SIN(M10)),0,(-W10+Poussee)/m*COS(M10)-U10/m*SIN(M10))</f>
        <v>21.5587937678397</v>
      </c>
      <c r="E11" s="420" t="n">
        <f aca="false">IF(AND(L10&lt;L_rampe,Poussee&lt;Poids*SIN(M10)),0,(-W10+Poussee)/m*SIN(M10)+U10/m*COS(M10)-Poids/m)</f>
        <v>122.272964303816</v>
      </c>
      <c r="F11" s="418" t="n">
        <f aca="false">SQRT(acc_x^2+acc_z^2)</f>
        <v>124.159008486564</v>
      </c>
      <c r="G11" s="419" t="n">
        <f aca="false">G10+acc_x*pas</f>
        <v>1.37365481511614</v>
      </c>
      <c r="H11" s="420" t="n">
        <f aca="false">H10+acc_z*pas</f>
        <v>7.79083072572817</v>
      </c>
      <c r="I11" s="418" t="n">
        <f aca="false">SQRT(vit_x^2+vit_z^2)</f>
        <v>7.9110031568722</v>
      </c>
      <c r="J11" s="419" t="n">
        <f aca="false">J10+0.5*(vit_x+G10)*pas*(K10&gt;=0)</f>
        <v>0.0430448816483504</v>
      </c>
      <c r="K11" s="420" t="n">
        <f aca="false">K10+0.5*(vit_z+H10)*pas</f>
        <v>0.244133794910506</v>
      </c>
      <c r="L11" s="418" t="n">
        <f aca="false">SQRT(pos_x^2+pos_z^2)</f>
        <v>0.247899519268444</v>
      </c>
      <c r="M11" s="419" t="n">
        <f aca="false">IF(AND(L10&gt;L_rampe,G11&gt;0),ATAN2(G11,H11),$M$4)</f>
        <v>1.39626340159546</v>
      </c>
      <c r="N11" s="418" t="n">
        <f aca="false">DEGREES(Beta)</f>
        <v>79.9999999999998</v>
      </c>
      <c r="O11" s="402"/>
      <c r="P11" s="421" t="n">
        <f aca="false">MATCH(t-pas/2-T_ini,CdP_t)</f>
        <v>3</v>
      </c>
      <c r="Q11" s="418" t="n">
        <f aca="false">(INDEX(CdP,2,i_P+1)-INDEX(CdP,2,i_P+0))/(INDEX(CdP,1,i_P+1)-INDEX(CdP,1,i_P+0))*(t-pas/2-T_ini-INDEX(CdP,1,i_P+0))+INDEX(CdP,2,i_P+0)</f>
        <v>207.844827586207</v>
      </c>
      <c r="R11" s="419" t="n">
        <f aca="false">Poussee/(g*ISP)</f>
        <v>0.110313598466142</v>
      </c>
      <c r="S11" s="420" t="n">
        <f aca="false">S10-Débit*pas</f>
        <v>1.55280854225373</v>
      </c>
      <c r="T11" s="418" t="n">
        <f aca="false">m*g</f>
        <v>15.233051799509</v>
      </c>
      <c r="U11" s="422" t="n">
        <f aca="false">IF(pos_xz&lt;L_rampe,Poids*COS(Beta),0)</f>
        <v>2.64519168529075</v>
      </c>
      <c r="V11" s="419" t="n">
        <f aca="false">Rho_moyen*(20000-Alt_rampe-pos_z)/(20000+Alt_rampe+pos_z)</f>
        <v>1.22497009397518</v>
      </c>
      <c r="W11" s="418" t="n">
        <f aca="false">1/2*Rho*Sref*Cx*vit_xz^2</f>
        <v>0.0675783131996424</v>
      </c>
      <c r="X11" s="402"/>
      <c r="Y11" s="423" t="str">
        <f aca="false">IF(AND(pos_z&lt;=0,K10&gt;0),"Impact balistique","") &amp; IF(AND(H12&lt;0,vit_z&gt;=0),"Apogée","") &amp; IF(AND(Poussee=0,Q10&gt;0),"Fin de propulsion","") &amp; IF(AND(L12&gt;L_rampe,pos_xz&lt;=L_rampe),"Sortie de rampe","")</f>
        <v/>
      </c>
      <c r="Z11" s="424" t="str">
        <f aca="false">IF(ABS(t-T_para)&lt;pas/2,"Para","")</f>
        <v/>
      </c>
      <c r="AA11" s="425" t="str">
        <f aca="false">IF(ABS(t-T_satellite)&lt;pas/2,"Satellite","")</f>
        <v/>
      </c>
      <c r="AB11" s="413"/>
      <c r="AC11" s="421" t="e">
        <f aca="false">IF(ABS(t-ROUND(t,0))&lt;0.001,t,NA())</f>
        <v>#N/A</v>
      </c>
      <c r="AD11" s="426" t="e">
        <f aca="false">IF(ABS(t-ROUND(t,0))&lt;0.001,pos_x,NA())</f>
        <v>#N/A</v>
      </c>
      <c r="AE11" s="427" t="n">
        <f aca="false">IF(t&lt;T_para, pos_z, NA())</f>
        <v>0.244133794910506</v>
      </c>
      <c r="AF11" s="413"/>
      <c r="AG11" s="419" t="n">
        <f aca="false">IF(AND(L10&lt;L_rampe,Poussee&lt;Poids*SIN(M10)),0,(-W10+Poussee)/m-Poids*SIN(M10)/m)</f>
        <v>124.159008480666</v>
      </c>
      <c r="AH11" s="418" t="n">
        <f aca="false">IF(AND(L10&lt;L_rampe,Poussee&lt;Poids*SIN(M10)), g*SIN(M10), (-W10+Poussee)/m)</f>
        <v>133.819972537716</v>
      </c>
    </row>
    <row r="12" customFormat="false" ht="12" hidden="false" customHeight="false" outlineLevel="0" collapsed="false">
      <c r="A12" s="417" t="n">
        <f aca="false">IF(B11+0.01&lt;=T_ini+ROUNDUP(Temps_fin_propu,0), 0.01, IF(K11&gt;0, 0.1, 0.0001))</f>
        <v>0.01</v>
      </c>
      <c r="B12" s="418" t="n">
        <f aca="false">B11+pas</f>
        <v>0.08</v>
      </c>
      <c r="C12" s="402"/>
      <c r="D12" s="419" t="n">
        <f aca="false">IF(AND(L11&lt;L_rampe,Poussee&lt;Poids*SIN(M11)),0,(-W11+Poussee)/m*COS(M11)-U11/m*SIN(M11))</f>
        <v>21.4765897656143</v>
      </c>
      <c r="E12" s="420" t="n">
        <f aca="false">IF(AND(L11&lt;L_rampe,Poussee&lt;Poids*SIN(M11)),0,(-W11+Poussee)/m*SIN(M11)+U11/m*COS(M11)-Poids/m)</f>
        <v>121.806738248305</v>
      </c>
      <c r="F12" s="418" t="n">
        <f aca="false">SQRT(acc_x^2+acc_z^2)</f>
        <v>123.685590877239</v>
      </c>
      <c r="G12" s="419" t="n">
        <f aca="false">G11+acc_x*pas</f>
        <v>1.58842071277229</v>
      </c>
      <c r="H12" s="420" t="n">
        <f aca="false">H11+acc_z*pas</f>
        <v>9.00889810821122</v>
      </c>
      <c r="I12" s="418" t="n">
        <f aca="false">SQRT(vit_x^2+vit_z^2)</f>
        <v>9.14785906564458</v>
      </c>
      <c r="J12" s="419" t="n">
        <f aca="false">J11+0.5*(vit_x+G11)*pas*(K11&gt;=0)</f>
        <v>0.0578552592877925</v>
      </c>
      <c r="K12" s="420" t="n">
        <f aca="false">K11+0.5*(vit_z+H11)*pas</f>
        <v>0.328132439080203</v>
      </c>
      <c r="L12" s="418" t="n">
        <f aca="false">SQRT(pos_x^2+pos_z^2)</f>
        <v>0.333193830381028</v>
      </c>
      <c r="M12" s="419" t="n">
        <f aca="false">IF(AND(L11&gt;L_rampe,G12&gt;0),ATAN2(G12,H12),$M$4)</f>
        <v>1.39626340159546</v>
      </c>
      <c r="N12" s="418" t="n">
        <f aca="false">DEGREES(Beta)</f>
        <v>79.9999999999998</v>
      </c>
      <c r="O12" s="402"/>
      <c r="P12" s="421" t="n">
        <f aca="false">MATCH(t-pas/2-T_ini,CdP_t)</f>
        <v>3</v>
      </c>
      <c r="Q12" s="418" t="n">
        <f aca="false">(INDEX(CdP,2,i_P+1)-INDEX(CdP,2,i_P+0))/(INDEX(CdP,1,i_P+1)-INDEX(CdP,1,i_P+0))*(t-pas/2-T_ini-INDEX(CdP,1,i_P+0))+INDEX(CdP,2,i_P+0)</f>
        <v>206.98275862069</v>
      </c>
      <c r="R12" s="419" t="n">
        <f aca="false">Poussee/(g*ISP)</f>
        <v>0.109856055544258</v>
      </c>
      <c r="S12" s="420" t="n">
        <f aca="false">S11-Débit*pas</f>
        <v>1.55170998169828</v>
      </c>
      <c r="T12" s="418" t="n">
        <f aca="false">m*g</f>
        <v>15.2222749204602</v>
      </c>
      <c r="U12" s="422" t="n">
        <f aca="false">IF(pos_xz&lt;L_rampe,Poids*COS(Beta),0)</f>
        <v>2.64332029988298</v>
      </c>
      <c r="V12" s="419" t="n">
        <f aca="false">Rho_moyen*(20000-Alt_rampe-pos_z)/(20000+Alt_rampe+pos_z)</f>
        <v>1.22495980443569</v>
      </c>
      <c r="W12" s="418" t="n">
        <f aca="false">1/2*Rho*Sref*Cx*vit_xz^2</f>
        <v>0.0903606848688475</v>
      </c>
      <c r="X12" s="402"/>
      <c r="Y12" s="423" t="str">
        <f aca="false">IF(AND(pos_z&lt;=0,K11&gt;0),"Impact balistique","") &amp; IF(AND(H13&lt;0,vit_z&gt;=0),"Apogée","") &amp; IF(AND(Poussee=0,Q11&gt;0),"Fin de propulsion","") &amp; IF(AND(L13&gt;L_rampe,pos_xz&lt;=L_rampe),"Sortie de rampe","")</f>
        <v/>
      </c>
      <c r="Z12" s="424" t="str">
        <f aca="false">IF(ABS(t-T_para)&lt;pas/2,"Para","")</f>
        <v/>
      </c>
      <c r="AA12" s="425" t="str">
        <f aca="false">IF(ABS(t-T_satellite)&lt;pas/2,"Satellite","")</f>
        <v/>
      </c>
      <c r="AB12" s="413"/>
      <c r="AC12" s="421" t="e">
        <f aca="false">IF(ABS(t-ROUND(t,0))&lt;0.001,t,NA())</f>
        <v>#N/A</v>
      </c>
      <c r="AD12" s="426" t="e">
        <f aca="false">IF(ABS(t-ROUND(t,0))&lt;0.001,pos_x,NA())</f>
        <v>#N/A</v>
      </c>
      <c r="AE12" s="427" t="n">
        <f aca="false">IF(t&lt;T_para, pos_z, NA())</f>
        <v>0.328132439080203</v>
      </c>
      <c r="AF12" s="413"/>
      <c r="AG12" s="419" t="n">
        <f aca="false">IF(AND(L11&lt;L_rampe,Poussee&lt;Poids*SIN(M11)),0,(-W11+Poussee)/m-Poids*SIN(M11)/m)</f>
        <v>123.685590871359</v>
      </c>
      <c r="AH12" s="418" t="n">
        <f aca="false">IF(AND(L11&lt;L_rampe,Poussee&lt;Poids*SIN(M11)), g*SIN(M11), (-W11+Poussee)/m)</f>
        <v>133.346554928409</v>
      </c>
    </row>
    <row r="13" customFormat="false" ht="12" hidden="false" customHeight="false" outlineLevel="0" collapsed="false">
      <c r="A13" s="417" t="n">
        <f aca="false">IF(B12+0.01&lt;=T_ini+ROUNDUP(Temps_fin_propu,0), 0.01, IF(K12&gt;0, 0.1, 0.0001))</f>
        <v>0.01</v>
      </c>
      <c r="B13" s="418" t="n">
        <f aca="false">B12+pas</f>
        <v>0.09</v>
      </c>
      <c r="C13" s="402"/>
      <c r="D13" s="419" t="n">
        <f aca="false">IF(AND(L12&lt;L_rampe,Poussee&lt;Poids*SIN(M12)),0,(-W12+Poussee)/m*COS(M12)-U12/m*SIN(M12))</f>
        <v>21.3938389118451</v>
      </c>
      <c r="E13" s="420" t="n">
        <f aca="false">IF(AND(L12&lt;L_rampe,Poussee&lt;Poids*SIN(M12)),0,(-W12+Poussee)/m*SIN(M12)+U12/m*COS(M12)-Poids/m)</f>
        <v>121.337410789158</v>
      </c>
      <c r="F13" s="418" t="n">
        <f aca="false">SQRT(acc_x^2+acc_z^2)</f>
        <v>123.209024021793</v>
      </c>
      <c r="G13" s="419" t="n">
        <f aca="false">G12+acc_x*pas</f>
        <v>1.80235910189074</v>
      </c>
      <c r="H13" s="420" t="n">
        <f aca="false">H12+acc_z*pas</f>
        <v>10.2222722161028</v>
      </c>
      <c r="I13" s="418" t="n">
        <f aca="false">SQRT(vit_x^2+vit_z^2)</f>
        <v>10.3799493058625</v>
      </c>
      <c r="J13" s="419" t="n">
        <f aca="false">J12+0.5*(vit_x+G12)*pas*(K12&gt;=0)</f>
        <v>0.0748091583611076</v>
      </c>
      <c r="K13" s="420" t="n">
        <f aca="false">K12+0.5*(vit_z+H12)*pas</f>
        <v>0.424288290701774</v>
      </c>
      <c r="L13" s="418" t="n">
        <f aca="false">SQRT(pos_x^2+pos_z^2)</f>
        <v>0.430832872238563</v>
      </c>
      <c r="M13" s="419" t="n">
        <f aca="false">IF(AND(L12&gt;L_rampe,G13&gt;0),ATAN2(G13,H13),$M$4)</f>
        <v>1.39626340159546</v>
      </c>
      <c r="N13" s="418" t="n">
        <f aca="false">DEGREES(Beta)</f>
        <v>79.9999999999998</v>
      </c>
      <c r="O13" s="402"/>
      <c r="P13" s="421" t="n">
        <f aca="false">MATCH(t-pas/2-T_ini,CdP_t)</f>
        <v>3</v>
      </c>
      <c r="Q13" s="418" t="n">
        <f aca="false">(INDEX(CdP,2,i_P+1)-INDEX(CdP,2,i_P+0))/(INDEX(CdP,1,i_P+1)-INDEX(CdP,1,i_P+0))*(t-pas/2-T_ini-INDEX(CdP,1,i_P+0))+INDEX(CdP,2,i_P+0)</f>
        <v>206.120689655172</v>
      </c>
      <c r="R13" s="419" t="n">
        <f aca="false">Poussee/(g*ISP)</f>
        <v>0.109398512622374</v>
      </c>
      <c r="S13" s="420" t="n">
        <f aca="false">S12-Débit*pas</f>
        <v>1.55061599657206</v>
      </c>
      <c r="T13" s="418" t="n">
        <f aca="false">m*g</f>
        <v>15.2115429263719</v>
      </c>
      <c r="U13" s="422" t="n">
        <f aca="false">IF(pos_xz&lt;L_rampe,Poids*COS(Beta),0)</f>
        <v>2.64145670866682</v>
      </c>
      <c r="V13" s="419" t="n">
        <f aca="false">Rho_moyen*(20000-Alt_rampe-pos_z)/(20000+Alt_rampe+pos_z)</f>
        <v>1.22494802578699</v>
      </c>
      <c r="W13" s="418" t="n">
        <f aca="false">1/2*Rho*Sref*Cx*vit_xz^2</f>
        <v>0.116339414184161</v>
      </c>
      <c r="X13" s="402"/>
      <c r="Y13" s="423" t="str">
        <f aca="false">IF(AND(pos_z&lt;=0,K12&gt;0),"Impact balistique","") &amp; IF(AND(H14&lt;0,vit_z&gt;=0),"Apogée","") &amp; IF(AND(Poussee=0,Q12&gt;0),"Fin de propulsion","") &amp; IF(AND(L14&gt;L_rampe,pos_xz&lt;=L_rampe),"Sortie de rampe","")</f>
        <v/>
      </c>
      <c r="Z13" s="424" t="str">
        <f aca="false">IF(ABS(t-T_para)&lt;pas/2,"Para","")</f>
        <v/>
      </c>
      <c r="AA13" s="425" t="str">
        <f aca="false">IF(ABS(t-T_satellite)&lt;pas/2,"Satellite","")</f>
        <v/>
      </c>
      <c r="AB13" s="413"/>
      <c r="AC13" s="421" t="e">
        <f aca="false">IF(ABS(t-ROUND(t,0))&lt;0.001,t,NA())</f>
        <v>#N/A</v>
      </c>
      <c r="AD13" s="426" t="e">
        <f aca="false">IF(ABS(t-ROUND(t,0))&lt;0.001,pos_x,NA())</f>
        <v>#N/A</v>
      </c>
      <c r="AE13" s="427" t="n">
        <f aca="false">IF(t&lt;T_para, pos_z, NA())</f>
        <v>0.424288290701774</v>
      </c>
      <c r="AF13" s="413"/>
      <c r="AG13" s="419" t="n">
        <f aca="false">IF(AND(L12&lt;L_rampe,Poussee&lt;Poids*SIN(M12)),0,(-W12+Poussee)/m-Poids*SIN(M12)/m)</f>
        <v>123.209024015932</v>
      </c>
      <c r="AH13" s="418" t="n">
        <f aca="false">IF(AND(L12&lt;L_rampe,Poussee&lt;Poids*SIN(M12)), g*SIN(M12), (-W12+Poussee)/m)</f>
        <v>132.869988072981</v>
      </c>
    </row>
    <row r="14" customFormat="false" ht="12" hidden="false" customHeight="false" outlineLevel="0" collapsed="false">
      <c r="A14" s="417" t="n">
        <f aca="false">IF(B13+0.01&lt;=T_ini+ROUNDUP(Temps_fin_propu,0), 0.01, IF(K13&gt;0, 0.1, 0.0001))</f>
        <v>0.01</v>
      </c>
      <c r="B14" s="418" t="n">
        <f aca="false">B13+pas</f>
        <v>0.1</v>
      </c>
      <c r="C14" s="402"/>
      <c r="D14" s="419" t="n">
        <f aca="false">IF(AND(L13&lt;L_rampe,Poussee&lt;Poids*SIN(M13)),0,(-W13+Poussee)/m*COS(M13)-U13/m*SIN(M13))</f>
        <v>21.3105451301589</v>
      </c>
      <c r="E14" s="420" t="n">
        <f aca="false">IF(AND(L13&lt;L_rampe,Poussee&lt;Poids*SIN(M13)),0,(-W13+Poussee)/m*SIN(M13)+U13/m*COS(M13)-Poids/m)</f>
        <v>120.865004178465</v>
      </c>
      <c r="F14" s="418" t="n">
        <f aca="false">SQRT(acc_x^2+acc_z^2)</f>
        <v>122.72933051559</v>
      </c>
      <c r="G14" s="419" t="n">
        <f aca="false">G13+acc_x*pas</f>
        <v>2.01546455319233</v>
      </c>
      <c r="H14" s="420" t="n">
        <f aca="false">H13+acc_z*pas</f>
        <v>11.4309222578875</v>
      </c>
      <c r="I14" s="418" t="n">
        <f aca="false">SQRT(vit_x^2+vit_z^2)</f>
        <v>11.6072426110184</v>
      </c>
      <c r="J14" s="419" t="n">
        <f aca="false">J13+0.5*(vit_x+G13)*pas*(K13&gt;=0)</f>
        <v>0.093898276636523</v>
      </c>
      <c r="K14" s="420" t="n">
        <f aca="false">K13+0.5*(vit_z+H13)*pas</f>
        <v>0.532554263071725</v>
      </c>
      <c r="L14" s="418" t="n">
        <f aca="false">SQRT(pos_x^2+pos_z^2)</f>
        <v>0.540768831822967</v>
      </c>
      <c r="M14" s="419" t="n">
        <f aca="false">IF(AND(L13&gt;L_rampe,G14&gt;0),ATAN2(G14,H14),$M$4)</f>
        <v>1.39626340159546</v>
      </c>
      <c r="N14" s="418" t="n">
        <f aca="false">DEGREES(Beta)</f>
        <v>79.9999999999998</v>
      </c>
      <c r="O14" s="402"/>
      <c r="P14" s="421" t="n">
        <f aca="false">MATCH(t-pas/2-T_ini,CdP_t)</f>
        <v>3</v>
      </c>
      <c r="Q14" s="418" t="n">
        <f aca="false">(INDEX(CdP,2,i_P+1)-INDEX(CdP,2,i_P+0))/(INDEX(CdP,1,i_P+1)-INDEX(CdP,1,i_P+0))*(t-pas/2-T_ini-INDEX(CdP,1,i_P+0))+INDEX(CdP,2,i_P+0)</f>
        <v>205.258620689655</v>
      </c>
      <c r="R14" s="419" t="n">
        <f aca="false">Poussee/(g*ISP)</f>
        <v>0.108940969700491</v>
      </c>
      <c r="S14" s="420" t="n">
        <f aca="false">S13-Débit*pas</f>
        <v>1.54952658687505</v>
      </c>
      <c r="T14" s="418" t="n">
        <f aca="false">m*g</f>
        <v>15.2008558172443</v>
      </c>
      <c r="U14" s="422" t="n">
        <f aca="false">IF(pos_xz&lt;L_rampe,Poids*COS(Beta),0)</f>
        <v>2.63960091164228</v>
      </c>
      <c r="V14" s="419" t="n">
        <f aca="false">Rho_moyen*(20000-Alt_rampe-pos_z)/(20000+Alt_rampe+pos_z)</f>
        <v>1.22493476383986</v>
      </c>
      <c r="W14" s="418" t="n">
        <f aca="false">1/2*Rho*Sref*Cx*vit_xz^2</f>
        <v>0.145475490361046</v>
      </c>
      <c r="X14" s="402"/>
      <c r="Y14" s="423" t="str">
        <f aca="false">IF(AND(pos_z&lt;=0,K13&gt;0),"Impact balistique","") &amp; IF(AND(H15&lt;0,vit_z&gt;=0),"Apogée","") &amp; IF(AND(Poussee=0,Q13&gt;0),"Fin de propulsion","") &amp; IF(AND(L15&gt;L_rampe,pos_xz&lt;=L_rampe),"Sortie de rampe","")</f>
        <v/>
      </c>
      <c r="Z14" s="424" t="str">
        <f aca="false">IF(ABS(t-T_para)&lt;pas/2,"Para","")</f>
        <v/>
      </c>
      <c r="AA14" s="425" t="str">
        <f aca="false">IF(ABS(t-T_satellite)&lt;pas/2,"Satellite","")</f>
        <v/>
      </c>
      <c r="AB14" s="413"/>
      <c r="AC14" s="421" t="e">
        <f aca="false">IF(ABS(t-ROUND(t,0))&lt;0.001,t,NA())</f>
        <v>#N/A</v>
      </c>
      <c r="AD14" s="426" t="e">
        <f aca="false">IF(ABS(t-ROUND(t,0))&lt;0.001,pos_x,NA())</f>
        <v>#N/A</v>
      </c>
      <c r="AE14" s="427" t="n">
        <f aca="false">IF(t&lt;T_para, pos_z, NA())</f>
        <v>0.532554263071725</v>
      </c>
      <c r="AF14" s="413"/>
      <c r="AG14" s="419" t="n">
        <f aca="false">IF(AND(L13&lt;L_rampe,Poussee&lt;Poids*SIN(M13)),0,(-W13+Poussee)/m-Poids*SIN(M13)/m)</f>
        <v>122.729330509747</v>
      </c>
      <c r="AH14" s="418" t="n">
        <f aca="false">IF(AND(L13&lt;L_rampe,Poussee&lt;Poids*SIN(M13)), g*SIN(M13), (-W13+Poussee)/m)</f>
        <v>132.390294566796</v>
      </c>
    </row>
    <row r="15" customFormat="false" ht="12" hidden="false" customHeight="false" outlineLevel="0" collapsed="false">
      <c r="A15" s="417" t="n">
        <f aca="false">IF(B14+0.01&lt;=T_ini+ROUNDUP(Temps_fin_propu,0), 0.01, IF(K14&gt;0, 0.1, 0.0001))</f>
        <v>0.01</v>
      </c>
      <c r="B15" s="418" t="n">
        <f aca="false">B14+pas</f>
        <v>0.11</v>
      </c>
      <c r="C15" s="402"/>
      <c r="D15" s="419" t="n">
        <f aca="false">IF(AND(L14&lt;L_rampe,Poussee&lt;Poids*SIN(M14)),0,(-W14+Poussee)/m*COS(M14)-U14/m*SIN(M14))</f>
        <v>21.2267123878042</v>
      </c>
      <c r="E15" s="420" t="n">
        <f aca="false">IF(AND(L14&lt;L_rampe,Poussee&lt;Poids*SIN(M14)),0,(-W14+Poussee)/m*SIN(M14)+U14/m*COS(M14)-Poids/m)</f>
        <v>120.389540915711</v>
      </c>
      <c r="F15" s="418" t="n">
        <f aca="false">SQRT(acc_x^2+acc_z^2)</f>
        <v>122.246533205201</v>
      </c>
      <c r="G15" s="419" t="n">
        <f aca="false">G14+acc_x*pas</f>
        <v>2.22773167707037</v>
      </c>
      <c r="H15" s="420" t="n">
        <f aca="false">H14+acc_z*pas</f>
        <v>12.6348176670446</v>
      </c>
      <c r="I15" s="418" t="n">
        <f aca="false">SQRT(vit_x^2+vit_z^2)</f>
        <v>12.8297079430704</v>
      </c>
      <c r="J15" s="419" t="n">
        <f aca="false">J14+0.5*(vit_x+G14)*pas*(K14&gt;=0)</f>
        <v>0.115114257787836</v>
      </c>
      <c r="K15" s="420" t="n">
        <f aca="false">K14+0.5*(vit_z+H14)*pas</f>
        <v>0.652882962696385</v>
      </c>
      <c r="L15" s="418" t="n">
        <f aca="false">SQRT(pos_x^2+pos_z^2)</f>
        <v>0.662953584593411</v>
      </c>
      <c r="M15" s="419" t="n">
        <f aca="false">IF(AND(L14&gt;L_rampe,G15&gt;0),ATAN2(G15,H15),$M$4)</f>
        <v>1.39626340159546</v>
      </c>
      <c r="N15" s="418" t="n">
        <f aca="false">DEGREES(Beta)</f>
        <v>79.9999999999998</v>
      </c>
      <c r="O15" s="402"/>
      <c r="P15" s="421" t="n">
        <f aca="false">MATCH(t-pas/2-T_ini,CdP_t)</f>
        <v>3</v>
      </c>
      <c r="Q15" s="418" t="n">
        <f aca="false">(INDEX(CdP,2,i_P+1)-INDEX(CdP,2,i_P+0))/(INDEX(CdP,1,i_P+1)-INDEX(CdP,1,i_P+0))*(t-pas/2-T_ini-INDEX(CdP,1,i_P+0))+INDEX(CdP,2,i_P+0)</f>
        <v>204.396551724138</v>
      </c>
      <c r="R15" s="419" t="n">
        <f aca="false">Poussee/(g*ISP)</f>
        <v>0.108483426778607</v>
      </c>
      <c r="S15" s="420" t="n">
        <f aca="false">S14-Débit*pas</f>
        <v>1.54844175260727</v>
      </c>
      <c r="T15" s="418" t="n">
        <f aca="false">m*g</f>
        <v>15.1902135930773</v>
      </c>
      <c r="U15" s="422" t="n">
        <f aca="false">IF(pos_xz&lt;L_rampe,Poids*COS(Beta),0)</f>
        <v>2.63775290880936</v>
      </c>
      <c r="V15" s="419" t="n">
        <f aca="false">Rho_moyen*(20000-Alt_rampe-pos_z)/(20000+Alt_rampe+pos_z)</f>
        <v>1.2249200244478</v>
      </c>
      <c r="W15" s="418" t="n">
        <f aca="false">1/2*Rho*Sref*Cx*vit_xz^2</f>
        <v>0.177729705075805</v>
      </c>
      <c r="X15" s="402"/>
      <c r="Y15" s="423" t="str">
        <f aca="false">IF(AND(pos_z&lt;=0,K14&gt;0),"Impact balistique","") &amp; IF(AND(H16&lt;0,vit_z&gt;=0),"Apogée","") &amp; IF(AND(Poussee=0,Q14&gt;0),"Fin de propulsion","") &amp; IF(AND(L16&gt;L_rampe,pos_xz&lt;=L_rampe),"Sortie de rampe","")</f>
        <v/>
      </c>
      <c r="Z15" s="424" t="str">
        <f aca="false">IF(ABS(t-T_para)&lt;pas/2,"Para","")</f>
        <v/>
      </c>
      <c r="AA15" s="425" t="str">
        <f aca="false">IF(ABS(t-T_satellite)&lt;pas/2,"Satellite","")</f>
        <v/>
      </c>
      <c r="AB15" s="413"/>
      <c r="AC15" s="421" t="e">
        <f aca="false">IF(ABS(t-ROUND(t,0))&lt;0.001,t,NA())</f>
        <v>#N/A</v>
      </c>
      <c r="AD15" s="426" t="e">
        <f aca="false">IF(ABS(t-ROUND(t,0))&lt;0.001,pos_x,NA())</f>
        <v>#N/A</v>
      </c>
      <c r="AE15" s="427" t="n">
        <f aca="false">IF(t&lt;T_para, pos_z, NA())</f>
        <v>0.652882962696385</v>
      </c>
      <c r="AF15" s="413"/>
      <c r="AG15" s="419" t="n">
        <f aca="false">IF(AND(L14&lt;L_rampe,Poussee&lt;Poids*SIN(M14)),0,(-W14+Poussee)/m-Poids*SIN(M14)/m)</f>
        <v>122.246533199375</v>
      </c>
      <c r="AH15" s="418" t="n">
        <f aca="false">IF(AND(L14&lt;L_rampe,Poussee&lt;Poids*SIN(M14)), g*SIN(M14), (-W14+Poussee)/m)</f>
        <v>131.907497256425</v>
      </c>
    </row>
    <row r="16" customFormat="false" ht="12" hidden="false" customHeight="false" outlineLevel="0" collapsed="false">
      <c r="A16" s="417" t="n">
        <f aca="false">IF(B15+0.01&lt;=T_ini+ROUNDUP(Temps_fin_propu,0), 0.01, IF(K15&gt;0, 0.1, 0.0001))</f>
        <v>0.01</v>
      </c>
      <c r="B16" s="418" t="n">
        <f aca="false">B15+pas</f>
        <v>0.12</v>
      </c>
      <c r="C16" s="402"/>
      <c r="D16" s="419" t="n">
        <f aca="false">IF(AND(L15&lt;L_rampe,Poussee&lt;Poids*SIN(M15)),0,(-W15+Poussee)/m*COS(M15)-U15/m*SIN(M15))</f>
        <v>21.1423446949088</v>
      </c>
      <c r="E16" s="420" t="n">
        <f aca="false">IF(AND(L15&lt;L_rampe,Poussee&lt;Poids*SIN(M15)),0,(-W15+Poussee)/m*SIN(M15)+U15/m*COS(M15)-Poids/m)</f>
        <v>119.91104374356</v>
      </c>
      <c r="F16" s="418" t="n">
        <f aca="false">SQRT(acc_x^2+acc_z^2)</f>
        <v>121.760655184129</v>
      </c>
      <c r="G16" s="419" t="n">
        <f aca="false">G15+acc_x*pas</f>
        <v>2.43915512401946</v>
      </c>
      <c r="H16" s="420" t="n">
        <f aca="false">H15+acc_z*pas</f>
        <v>13.8339281044802</v>
      </c>
      <c r="I16" s="418" t="n">
        <f aca="false">SQRT(vit_x^2+vit_z^2)</f>
        <v>14.0473144949117</v>
      </c>
      <c r="J16" s="419" t="n">
        <f aca="false">J15+0.5*(vit_x+G15)*pas*(K15&gt;=0)</f>
        <v>0.138448691793286</v>
      </c>
      <c r="K16" s="420" t="n">
        <f aca="false">K15+0.5*(vit_z+H15)*pas</f>
        <v>0.785226691554009</v>
      </c>
      <c r="L16" s="418" t="n">
        <f aca="false">SQRT(pos_x^2+pos_z^2)</f>
        <v>0.797338696783322</v>
      </c>
      <c r="M16" s="419" t="n">
        <f aca="false">IF(AND(L15&gt;L_rampe,G16&gt;0),ATAN2(G16,H16),$M$4)</f>
        <v>1.39626340159546</v>
      </c>
      <c r="N16" s="418" t="n">
        <f aca="false">DEGREES(Beta)</f>
        <v>79.9999999999998</v>
      </c>
      <c r="O16" s="402"/>
      <c r="P16" s="421" t="n">
        <f aca="false">MATCH(t-pas/2-T_ini,CdP_t)</f>
        <v>3</v>
      </c>
      <c r="Q16" s="418" t="n">
        <f aca="false">(INDEX(CdP,2,i_P+1)-INDEX(CdP,2,i_P+0))/(INDEX(CdP,1,i_P+1)-INDEX(CdP,1,i_P+0))*(t-pas/2-T_ini-INDEX(CdP,1,i_P+0))+INDEX(CdP,2,i_P+0)</f>
        <v>203.534482758621</v>
      </c>
      <c r="R16" s="419" t="n">
        <f aca="false">Poussee/(g*ISP)</f>
        <v>0.108025883856723</v>
      </c>
      <c r="S16" s="420" t="n">
        <f aca="false">S15-Débit*pas</f>
        <v>1.5473614937687</v>
      </c>
      <c r="T16" s="418" t="n">
        <f aca="false">m*g</f>
        <v>15.179616253871</v>
      </c>
      <c r="U16" s="422" t="n">
        <f aca="false">IF(pos_xz&lt;L_rampe,Poids*COS(Beta),0)</f>
        <v>2.63591270016806</v>
      </c>
      <c r="V16" s="419" t="n">
        <f aca="false">Rho_moyen*(20000-Alt_rampe-pos_z)/(20000+Alt_rampe+pos_z)</f>
        <v>1.22490381350669</v>
      </c>
      <c r="W16" s="418" t="n">
        <f aca="false">1/2*Rho*Sref*Cx*vit_xz^2</f>
        <v>0.21306265942945</v>
      </c>
      <c r="X16" s="402"/>
      <c r="Y16" s="423" t="str">
        <f aca="false">IF(AND(pos_z&lt;=0,K15&gt;0),"Impact balistique","") &amp; IF(AND(H17&lt;0,vit_z&gt;=0),"Apogée","") &amp; IF(AND(Poussee=0,Q15&gt;0),"Fin de propulsion","") &amp; IF(AND(L17&gt;L_rampe,pos_xz&lt;=L_rampe),"Sortie de rampe","")</f>
        <v/>
      </c>
      <c r="Z16" s="424" t="str">
        <f aca="false">IF(ABS(t-T_para)&lt;pas/2,"Para","")</f>
        <v/>
      </c>
      <c r="AA16" s="425" t="str">
        <f aca="false">IF(ABS(t-T_satellite)&lt;pas/2,"Satellite","")</f>
        <v/>
      </c>
      <c r="AB16" s="413"/>
      <c r="AC16" s="421" t="e">
        <f aca="false">IF(ABS(t-ROUND(t,0))&lt;0.001,t,NA())</f>
        <v>#N/A</v>
      </c>
      <c r="AD16" s="426" t="e">
        <f aca="false">IF(ABS(t-ROUND(t,0))&lt;0.001,pos_x,NA())</f>
        <v>#N/A</v>
      </c>
      <c r="AE16" s="427" t="n">
        <f aca="false">IF(t&lt;T_para, pos_z, NA())</f>
        <v>0.785226691554009</v>
      </c>
      <c r="AF16" s="413"/>
      <c r="AG16" s="419" t="n">
        <f aca="false">IF(AND(L15&lt;L_rampe,Poussee&lt;Poids*SIN(M15)),0,(-W15+Poussee)/m-Poids*SIN(M15)/m)</f>
        <v>121.760655178321</v>
      </c>
      <c r="AH16" s="418" t="n">
        <f aca="false">IF(AND(L15&lt;L_rampe,Poussee&lt;Poids*SIN(M15)), g*SIN(M15), (-W15+Poussee)/m)</f>
        <v>131.421619235371</v>
      </c>
    </row>
    <row r="17" customFormat="false" ht="12" hidden="false" customHeight="false" outlineLevel="0" collapsed="false">
      <c r="A17" s="417" t="n">
        <f aca="false">IF(B16+0.01&lt;=T_ini+ROUNDUP(Temps_fin_propu,0), 0.01, IF(K16&gt;0, 0.1, 0.0001))</f>
        <v>0.01</v>
      </c>
      <c r="B17" s="418" t="n">
        <f aca="false">B16+pas</f>
        <v>0.13</v>
      </c>
      <c r="C17" s="402"/>
      <c r="D17" s="419" t="n">
        <f aca="false">IF(AND(L16&lt;L_rampe,Poussee&lt;Poids*SIN(M16)),0,(-W16+Poussee)/m*COS(M16)-U16/m*SIN(M16))</f>
        <v>21.0574461037294</v>
      </c>
      <c r="E17" s="420" t="n">
        <f aca="false">IF(AND(L16&lt;L_rampe,Poussee&lt;Poids*SIN(M16)),0,(-W16+Poussee)/m*SIN(M16)+U16/m*COS(M16)-Poids/m)</f>
        <v>119.429535643604</v>
      </c>
      <c r="F17" s="418" t="n">
        <f aca="false">SQRT(acc_x^2+acc_z^2)</f>
        <v>121.271719788491</v>
      </c>
      <c r="G17" s="419" t="n">
        <f aca="false">G16+acc_x*pas</f>
        <v>2.64972958505675</v>
      </c>
      <c r="H17" s="420" t="n">
        <f aca="false">H16+acc_z*pas</f>
        <v>15.0282234609162</v>
      </c>
      <c r="I17" s="418" t="n">
        <f aca="false">SQRT(vit_x^2+vit_z^2)</f>
        <v>15.2600316927966</v>
      </c>
      <c r="J17" s="419" t="n">
        <f aca="false">J16+0.5*(vit_x+G16)*pas*(K16&gt;=0)</f>
        <v>0.163893115338667</v>
      </c>
      <c r="K17" s="420" t="n">
        <f aca="false">K16+0.5*(vit_z+H16)*pas</f>
        <v>0.92953744938099</v>
      </c>
      <c r="L17" s="418" t="n">
        <f aca="false">SQRT(pos_x^2+pos_z^2)</f>
        <v>0.943875427721863</v>
      </c>
      <c r="M17" s="419" t="n">
        <f aca="false">IF(AND(L16&gt;L_rampe,G17&gt;0),ATAN2(G17,H17),$M$4)</f>
        <v>1.39626340159546</v>
      </c>
      <c r="N17" s="418" t="n">
        <f aca="false">DEGREES(Beta)</f>
        <v>79.9999999999998</v>
      </c>
      <c r="O17" s="402"/>
      <c r="P17" s="421" t="n">
        <f aca="false">MATCH(t-pas/2-T_ini,CdP_t)</f>
        <v>3</v>
      </c>
      <c r="Q17" s="418" t="n">
        <f aca="false">(INDEX(CdP,2,i_P+1)-INDEX(CdP,2,i_P+0))/(INDEX(CdP,1,i_P+1)-INDEX(CdP,1,i_P+0))*(t-pas/2-T_ini-INDEX(CdP,1,i_P+0))+INDEX(CdP,2,i_P+0)</f>
        <v>202.672413793103</v>
      </c>
      <c r="R17" s="419" t="n">
        <f aca="false">Poussee/(g*ISP)</f>
        <v>0.10756834093484</v>
      </c>
      <c r="S17" s="420" t="n">
        <f aca="false">S16-Débit*pas</f>
        <v>1.54628581035935</v>
      </c>
      <c r="T17" s="418" t="n">
        <f aca="false">m*g</f>
        <v>15.1690637996253</v>
      </c>
      <c r="U17" s="422" t="n">
        <f aca="false">IF(pos_xz&lt;L_rampe,Poids*COS(Beta),0)</f>
        <v>2.63408028571838</v>
      </c>
      <c r="V17" s="419" t="n">
        <f aca="false">Rho_moyen*(20000-Alt_rampe-pos_z)/(20000+Alt_rampe+pos_z)</f>
        <v>1.22488613695445</v>
      </c>
      <c r="W17" s="418" t="n">
        <f aca="false">1/2*Rho*Sref*Cx*vit_xz^2</f>
        <v>0.251434770934349</v>
      </c>
      <c r="X17" s="402"/>
      <c r="Y17" s="423" t="str">
        <f aca="false">IF(AND(pos_z&lt;=0,K16&gt;0),"Impact balistique","") &amp; IF(AND(H18&lt;0,vit_z&gt;=0),"Apogée","") &amp; IF(AND(Poussee=0,Q16&gt;0),"Fin de propulsion","") &amp; IF(AND(L18&gt;L_rampe,pos_xz&lt;=L_rampe),"Sortie de rampe","")</f>
        <v/>
      </c>
      <c r="Z17" s="424" t="str">
        <f aca="false">IF(ABS(t-T_para)&lt;pas/2,"Para","")</f>
        <v/>
      </c>
      <c r="AA17" s="425" t="str">
        <f aca="false">IF(ABS(t-T_satellite)&lt;pas/2,"Satellite","")</f>
        <v/>
      </c>
      <c r="AB17" s="413"/>
      <c r="AC17" s="421" t="e">
        <f aca="false">IF(ABS(t-ROUND(t,0))&lt;0.001,t,NA())</f>
        <v>#N/A</v>
      </c>
      <c r="AD17" s="426" t="e">
        <f aca="false">IF(ABS(t-ROUND(t,0))&lt;0.001,pos_x,NA())</f>
        <v>#N/A</v>
      </c>
      <c r="AE17" s="427" t="n">
        <f aca="false">IF(t&lt;T_para, pos_z, NA())</f>
        <v>0.92953744938099</v>
      </c>
      <c r="AF17" s="413"/>
      <c r="AG17" s="419" t="n">
        <f aca="false">IF(AND(L16&lt;L_rampe,Poussee&lt;Poids*SIN(M16)),0,(-W16+Poussee)/m-Poids*SIN(M16)/m)</f>
        <v>121.271719782701</v>
      </c>
      <c r="AH17" s="418" t="n">
        <f aca="false">IF(AND(L16&lt;L_rampe,Poussee&lt;Poids*SIN(M16)), g*SIN(M16), (-W16+Poussee)/m)</f>
        <v>130.932683839751</v>
      </c>
    </row>
    <row r="18" customFormat="false" ht="12" hidden="false" customHeight="false" outlineLevel="0" collapsed="false">
      <c r="A18" s="417" t="n">
        <f aca="false">IF(B17+0.01&lt;=T_ini+ROUNDUP(Temps_fin_propu,0), 0.01, IF(K17&gt;0, 0.1, 0.0001))</f>
        <v>0.01</v>
      </c>
      <c r="B18" s="418" t="n">
        <f aca="false">B17+pas</f>
        <v>0.14</v>
      </c>
      <c r="C18" s="402"/>
      <c r="D18" s="419" t="n">
        <f aca="false">IF(AND(L17&lt;L_rampe,Poussee&lt;Poids*SIN(M17)),0,(-W17+Poussee)/m*COS(M17)-U17/m*SIN(M17))</f>
        <v>20.9720207078938</v>
      </c>
      <c r="E18" s="420" t="n">
        <f aca="false">IF(AND(L17&lt;L_rampe,Poussee&lt;Poids*SIN(M17)),0,(-W17+Poussee)/m*SIN(M17)+U17/m*COS(M17)-Poids/m)</f>
        <v>118.945039832062</v>
      </c>
      <c r="F18" s="418" t="n">
        <f aca="false">SQRT(acc_x^2+acc_z^2)</f>
        <v>120.779750592651</v>
      </c>
      <c r="G18" s="419" t="n">
        <f aca="false">G17+acc_x*pas</f>
        <v>2.85944979213569</v>
      </c>
      <c r="H18" s="420" t="n">
        <f aca="false">H17+acc_z*pas</f>
        <v>16.2176738592368</v>
      </c>
      <c r="I18" s="418" t="n">
        <f aca="false">SQRT(vit_x^2+vit_z^2)</f>
        <v>16.4678291987231</v>
      </c>
      <c r="J18" s="419" t="n">
        <f aca="false">J17+0.5*(vit_x+G17)*pas*(K17&gt;=0)</f>
        <v>0.191439012224629</v>
      </c>
      <c r="K18" s="420" t="n">
        <f aca="false">K17+0.5*(vit_z+H17)*pas</f>
        <v>1.08576693598176</v>
      </c>
      <c r="L18" s="418" t="n">
        <f aca="false">SQRT(pos_x^2+pos_z^2)</f>
        <v>1.10251473217946</v>
      </c>
      <c r="M18" s="419" t="n">
        <f aca="false">IF(AND(L17&gt;L_rampe,G18&gt;0),ATAN2(G18,H18),$M$4)</f>
        <v>1.39626340159546</v>
      </c>
      <c r="N18" s="418" t="n">
        <f aca="false">DEGREES(Beta)</f>
        <v>79.9999999999998</v>
      </c>
      <c r="O18" s="402"/>
      <c r="P18" s="421" t="n">
        <f aca="false">MATCH(t-pas/2-T_ini,CdP_t)</f>
        <v>3</v>
      </c>
      <c r="Q18" s="418" t="n">
        <f aca="false">(INDEX(CdP,2,i_P+1)-INDEX(CdP,2,i_P+0))/(INDEX(CdP,1,i_P+1)-INDEX(CdP,1,i_P+0))*(t-pas/2-T_ini-INDEX(CdP,1,i_P+0))+INDEX(CdP,2,i_P+0)</f>
        <v>201.810344827586</v>
      </c>
      <c r="R18" s="419" t="n">
        <f aca="false">Poussee/(g*ISP)</f>
        <v>0.107110798012956</v>
      </c>
      <c r="S18" s="420" t="n">
        <f aca="false">S17-Débit*pas</f>
        <v>1.54521470237922</v>
      </c>
      <c r="T18" s="418" t="n">
        <f aca="false">m*g</f>
        <v>15.1585562303402</v>
      </c>
      <c r="U18" s="422" t="n">
        <f aca="false">IF(pos_xz&lt;L_rampe,Poids*COS(Beta),0)</f>
        <v>2.63225566546032</v>
      </c>
      <c r="V18" s="419" t="n">
        <f aca="false">Rho_moyen*(20000-Alt_rampe-pos_z)/(20000+Alt_rampe+pos_z)</f>
        <v>1.22486700077065</v>
      </c>
      <c r="W18" s="418" t="n">
        <f aca="false">1/2*Rho*Sref*Cx*vit_xz^2</f>
        <v>0.292806280521482</v>
      </c>
      <c r="X18" s="402"/>
      <c r="Y18" s="423" t="str">
        <f aca="false">IF(AND(pos_z&lt;=0,K17&gt;0),"Impact balistique","") &amp; IF(AND(H19&lt;0,vit_z&gt;=0),"Apogée","") &amp; IF(AND(Poussee=0,Q17&gt;0),"Fin de propulsion","") &amp; IF(AND(L19&gt;L_rampe,pos_xz&lt;=L_rampe),"Sortie de rampe","")</f>
        <v/>
      </c>
      <c r="Z18" s="424" t="str">
        <f aca="false">IF(ABS(t-T_para)&lt;pas/2,"Para","")</f>
        <v/>
      </c>
      <c r="AA18" s="425" t="str">
        <f aca="false">IF(ABS(t-T_satellite)&lt;pas/2,"Satellite","")</f>
        <v/>
      </c>
      <c r="AB18" s="413"/>
      <c r="AC18" s="421" t="e">
        <f aca="false">IF(ABS(t-ROUND(t,0))&lt;0.001,t,NA())</f>
        <v>#N/A</v>
      </c>
      <c r="AD18" s="426" t="e">
        <f aca="false">IF(ABS(t-ROUND(t,0))&lt;0.001,pos_x,NA())</f>
        <v>#N/A</v>
      </c>
      <c r="AE18" s="427" t="n">
        <f aca="false">IF(t&lt;T_para, pos_z, NA())</f>
        <v>1.08576693598176</v>
      </c>
      <c r="AF18" s="413"/>
      <c r="AG18" s="419" t="n">
        <f aca="false">IF(AND(L17&lt;L_rampe,Poussee&lt;Poids*SIN(M17)),0,(-W17+Poussee)/m-Poids*SIN(M17)/m)</f>
        <v>120.779750586879</v>
      </c>
      <c r="AH18" s="418" t="n">
        <f aca="false">IF(AND(L17&lt;L_rampe,Poussee&lt;Poids*SIN(M17)), g*SIN(M17), (-W17+Poussee)/m)</f>
        <v>130.440714643929</v>
      </c>
    </row>
    <row r="19" customFormat="false" ht="12" hidden="false" customHeight="false" outlineLevel="0" collapsed="false">
      <c r="A19" s="417" t="n">
        <f aca="false">IF(B18+0.01&lt;=T_ini+ROUNDUP(Temps_fin_propu,0), 0.01, IF(K18&gt;0, 0.1, 0.0001))</f>
        <v>0.01</v>
      </c>
      <c r="B19" s="418" t="n">
        <f aca="false">B18+pas</f>
        <v>0.15</v>
      </c>
      <c r="C19" s="402"/>
      <c r="D19" s="419" t="n">
        <f aca="false">IF(AND(L18&lt;L_rampe,Poussee&lt;Poids*SIN(M18)),0,(-W18+Poussee)/m*COS(M18)-U18/m*SIN(M18))</f>
        <v>20.8860726416357</v>
      </c>
      <c r="E19" s="420" t="n">
        <f aca="false">IF(AND(L18&lt;L_rampe,Poussee&lt;Poids*SIN(M18)),0,(-W18+Poussee)/m*SIN(M18)+U18/m*COS(M18)-Poids/m)</f>
        <v>118.457579755443</v>
      </c>
      <c r="F19" s="418" t="n">
        <f aca="false">SQRT(acc_x^2+acc_z^2)</f>
        <v>120.284771404815</v>
      </c>
      <c r="G19" s="419" t="n">
        <f aca="false">G18+acc_x*pas</f>
        <v>3.06831051855204</v>
      </c>
      <c r="H19" s="420" t="n">
        <f aca="false">H18+acc_z*pas</f>
        <v>17.4022496567913</v>
      </c>
      <c r="I19" s="418" t="n">
        <f aca="false">SQRT(vit_x^2+vit_z^2)</f>
        <v>17.6706769127713</v>
      </c>
      <c r="J19" s="419" t="n">
        <f aca="false">J18+0.5*(vit_x+G18)*pas*(K18&gt;=0)</f>
        <v>0.221077813778067</v>
      </c>
      <c r="K19" s="420" t="n">
        <f aca="false">K18+0.5*(vit_z+H18)*pas</f>
        <v>1.2538665535619</v>
      </c>
      <c r="L19" s="418" t="n">
        <f aca="false">SQRT(pos_x^2+pos_z^2)</f>
        <v>1.27320726273693</v>
      </c>
      <c r="M19" s="419" t="n">
        <f aca="false">IF(AND(L18&gt;L_rampe,G19&gt;0),ATAN2(G19,H19),$M$4)</f>
        <v>1.39626340159546</v>
      </c>
      <c r="N19" s="418" t="n">
        <f aca="false">DEGREES(Beta)</f>
        <v>79.9999999999998</v>
      </c>
      <c r="O19" s="402"/>
      <c r="P19" s="421" t="n">
        <f aca="false">MATCH(t-pas/2-T_ini,CdP_t)</f>
        <v>3</v>
      </c>
      <c r="Q19" s="418" t="n">
        <f aca="false">(INDEX(CdP,2,i_P+1)-INDEX(CdP,2,i_P+0))/(INDEX(CdP,1,i_P+1)-INDEX(CdP,1,i_P+0))*(t-pas/2-T_ini-INDEX(CdP,1,i_P+0))+INDEX(CdP,2,i_P+0)</f>
        <v>200.948275862069</v>
      </c>
      <c r="R19" s="419" t="n">
        <f aca="false">Poussee/(g*ISP)</f>
        <v>0.106653255091073</v>
      </c>
      <c r="S19" s="420" t="n">
        <f aca="false">S18-Débit*pas</f>
        <v>1.54414816982831</v>
      </c>
      <c r="T19" s="418" t="n">
        <f aca="false">m*g</f>
        <v>15.1480935460157</v>
      </c>
      <c r="U19" s="422" t="n">
        <f aca="false">IF(pos_xz&lt;L_rampe,Poids*COS(Beta),0)</f>
        <v>2.63043883939388</v>
      </c>
      <c r="V19" s="419" t="n">
        <f aca="false">Rho_moyen*(20000-Alt_rampe-pos_z)/(20000+Alt_rampe+pos_z)</f>
        <v>1.2248464109762</v>
      </c>
      <c r="W19" s="418" t="n">
        <f aca="false">1/2*Rho*Sref*Cx*vit_xz^2</f>
        <v>0.33713725956618</v>
      </c>
      <c r="X19" s="402"/>
      <c r="Y19" s="423" t="str">
        <f aca="false">IF(AND(pos_z&lt;=0,K18&gt;0),"Impact balistique","") &amp; IF(AND(H20&lt;0,vit_z&gt;=0),"Apogée","") &amp; IF(AND(Poussee=0,Q18&gt;0),"Fin de propulsion","") &amp; IF(AND(L20&gt;L_rampe,pos_xz&lt;=L_rampe),"Sortie de rampe","")</f>
        <v/>
      </c>
      <c r="Z19" s="424" t="str">
        <f aca="false">IF(ABS(t-T_para)&lt;pas/2,"Para","")</f>
        <v/>
      </c>
      <c r="AA19" s="425" t="str">
        <f aca="false">IF(ABS(t-T_satellite)&lt;pas/2,"Satellite","")</f>
        <v/>
      </c>
      <c r="AB19" s="413"/>
      <c r="AC19" s="421" t="e">
        <f aca="false">IF(ABS(t-ROUND(t,0))&lt;0.001,t,NA())</f>
        <v>#N/A</v>
      </c>
      <c r="AD19" s="426" t="e">
        <f aca="false">IF(ABS(t-ROUND(t,0))&lt;0.001,pos_x,NA())</f>
        <v>#N/A</v>
      </c>
      <c r="AE19" s="427" t="n">
        <f aca="false">IF(t&lt;T_para, pos_z, NA())</f>
        <v>1.2538665535619</v>
      </c>
      <c r="AF19" s="413"/>
      <c r="AG19" s="419" t="n">
        <f aca="false">IF(AND(L18&lt;L_rampe,Poussee&lt;Poids*SIN(M18)),0,(-W18+Poussee)/m-Poids*SIN(M18)/m)</f>
        <v>120.284771399061</v>
      </c>
      <c r="AH19" s="418" t="n">
        <f aca="false">IF(AND(L18&lt;L_rampe,Poussee&lt;Poids*SIN(M18)), g*SIN(M18), (-W18+Poussee)/m)</f>
        <v>129.945735456111</v>
      </c>
    </row>
    <row r="20" customFormat="false" ht="12" hidden="false" customHeight="false" outlineLevel="0" collapsed="false">
      <c r="A20" s="417" t="n">
        <f aca="false">IF(B19+0.01&lt;=T_ini+ROUNDUP(Temps_fin_propu,0), 0.01, IF(K19&gt;0, 0.1, 0.0001))</f>
        <v>0.01</v>
      </c>
      <c r="B20" s="418" t="n">
        <f aca="false">B19+pas</f>
        <v>0.16</v>
      </c>
      <c r="C20" s="402"/>
      <c r="D20" s="419" t="n">
        <f aca="false">IF(AND(L19&lt;L_rampe,Poussee&lt;Poids*SIN(M19)),0,(-W19+Poussee)/m*COS(M19)-U19/m*SIN(M19))</f>
        <v>20.7996060790225</v>
      </c>
      <c r="E20" s="420" t="n">
        <f aca="false">IF(AND(L19&lt;L_rampe,Poussee&lt;Poids*SIN(M19)),0,(-W19+Poussee)/m*SIN(M19)+U19/m*COS(M19)-Poids/m)</f>
        <v>117.967179086164</v>
      </c>
      <c r="F20" s="418" t="n">
        <f aca="false">SQRT(acc_x^2+acc_z^2)</f>
        <v>119.786806262583</v>
      </c>
      <c r="G20" s="419" t="n">
        <f aca="false">G19+acc_x*pas</f>
        <v>3.27630657934227</v>
      </c>
      <c r="H20" s="420" t="n">
        <f aca="false">H19+acc_z*pas</f>
        <v>18.5819214476529</v>
      </c>
      <c r="I20" s="418" t="n">
        <f aca="false">SQRT(vit_x^2+vit_z^2)</f>
        <v>18.8685449753971</v>
      </c>
      <c r="J20" s="419" t="n">
        <f aca="false">J19+0.5*(vit_x+G19)*pas*(K19&gt;=0)</f>
        <v>0.252800899267539</v>
      </c>
      <c r="K20" s="420" t="n">
        <f aca="false">K19+0.5*(vit_z+H19)*pas</f>
        <v>1.43378740908412</v>
      </c>
      <c r="L20" s="418" t="n">
        <f aca="false">SQRT(pos_x^2+pos_z^2)</f>
        <v>1.45590337217778</v>
      </c>
      <c r="M20" s="419" t="n">
        <f aca="false">IF(AND(L19&gt;L_rampe,G20&gt;0),ATAN2(G20,H20),$M$4)</f>
        <v>1.39626340159546</v>
      </c>
      <c r="N20" s="418" t="n">
        <f aca="false">DEGREES(Beta)</f>
        <v>79.9999999999998</v>
      </c>
      <c r="O20" s="402"/>
      <c r="P20" s="421" t="n">
        <f aca="false">MATCH(t-pas/2-T_ini,CdP_t)</f>
        <v>3</v>
      </c>
      <c r="Q20" s="418" t="n">
        <f aca="false">(INDEX(CdP,2,i_P+1)-INDEX(CdP,2,i_P+0))/(INDEX(CdP,1,i_P+1)-INDEX(CdP,1,i_P+0))*(t-pas/2-T_ini-INDEX(CdP,1,i_P+0))+INDEX(CdP,2,i_P+0)</f>
        <v>200.086206896552</v>
      </c>
      <c r="R20" s="419" t="n">
        <f aca="false">Poussee/(g*ISP)</f>
        <v>0.106195712169189</v>
      </c>
      <c r="S20" s="420" t="n">
        <f aca="false">S19-Débit*pas</f>
        <v>1.54308621270662</v>
      </c>
      <c r="T20" s="418" t="n">
        <f aca="false">m*g</f>
        <v>15.137675746652</v>
      </c>
      <c r="U20" s="422" t="n">
        <f aca="false">IF(pos_xz&lt;L_rampe,Poids*COS(Beta),0)</f>
        <v>2.62862980751905</v>
      </c>
      <c r="V20" s="419" t="n">
        <f aca="false">Rho_moyen*(20000-Alt_rampe-pos_z)/(20000+Alt_rampe+pos_z)</f>
        <v>1.22482437363293</v>
      </c>
      <c r="W20" s="418" t="n">
        <f aca="false">1/2*Rho*Sref*Cx*vit_xz^2</f>
        <v>0.384387616930194</v>
      </c>
      <c r="X20" s="402"/>
      <c r="Y20" s="423" t="str">
        <f aca="false">IF(AND(pos_z&lt;=0,K19&gt;0),"Impact balistique","") &amp; IF(AND(H21&lt;0,vit_z&gt;=0),"Apogée","") &amp; IF(AND(Poussee=0,Q19&gt;0),"Fin de propulsion","") &amp; IF(AND(L21&gt;L_rampe,pos_xz&lt;=L_rampe),"Sortie de rampe","")</f>
        <v/>
      </c>
      <c r="Z20" s="424" t="str">
        <f aca="false">IF(ABS(t-T_para)&lt;pas/2,"Para","")</f>
        <v/>
      </c>
      <c r="AA20" s="425" t="str">
        <f aca="false">IF(ABS(t-T_satellite)&lt;pas/2,"Satellite","")</f>
        <v/>
      </c>
      <c r="AB20" s="413"/>
      <c r="AC20" s="421" t="e">
        <f aca="false">IF(ABS(t-ROUND(t,0))&lt;0.001,t,NA())</f>
        <v>#N/A</v>
      </c>
      <c r="AD20" s="426" t="e">
        <f aca="false">IF(ABS(t-ROUND(t,0))&lt;0.001,pos_x,NA())</f>
        <v>#N/A</v>
      </c>
      <c r="AE20" s="427" t="n">
        <f aca="false">IF(t&lt;T_para, pos_z, NA())</f>
        <v>1.43378740908412</v>
      </c>
      <c r="AF20" s="413"/>
      <c r="AG20" s="419" t="n">
        <f aca="false">IF(AND(L19&lt;L_rampe,Poussee&lt;Poids*SIN(M19)),0,(-W19+Poussee)/m-Poids*SIN(M19)/m)</f>
        <v>119.786806256846</v>
      </c>
      <c r="AH20" s="418" t="n">
        <f aca="false">IF(AND(L19&lt;L_rampe,Poussee&lt;Poids*SIN(M19)), g*SIN(M19), (-W19+Poussee)/m)</f>
        <v>129.447770313896</v>
      </c>
    </row>
    <row r="21" customFormat="false" ht="12" hidden="false" customHeight="false" outlineLevel="0" collapsed="false">
      <c r="A21" s="417" t="n">
        <f aca="false">IF(B20+0.01&lt;=T_ini+ROUNDUP(Temps_fin_propu,0), 0.01, IF(K20&gt;0, 0.1, 0.0001))</f>
        <v>0.01</v>
      </c>
      <c r="B21" s="418" t="n">
        <f aca="false">B20+pas</f>
        <v>0.17</v>
      </c>
      <c r="C21" s="402"/>
      <c r="D21" s="419" t="n">
        <f aca="false">IF(AND(L20&lt;L_rampe,Poussee&lt;Poids*SIN(M20)),0,(-W20+Poussee)/m*COS(M20)-U20/m*SIN(M20))</f>
        <v>20.7126252331761</v>
      </c>
      <c r="E21" s="420" t="n">
        <f aca="false">IF(AND(L20&lt;L_rampe,Poussee&lt;Poids*SIN(M20)),0,(-W20+Poussee)/m*SIN(M20)+U20/m*COS(M20)-Poids/m)</f>
        <v>117.473861718132</v>
      </c>
      <c r="F21" s="418" t="n">
        <f aca="false">SQRT(acc_x^2+acc_z^2)</f>
        <v>119.285879428459</v>
      </c>
      <c r="G21" s="419" t="n">
        <f aca="false">G20+acc_x*pas</f>
        <v>3.48343283167403</v>
      </c>
      <c r="H21" s="420" t="n">
        <f aca="false">H20+acc_z*pas</f>
        <v>19.7566600648342</v>
      </c>
      <c r="I21" s="418" t="n">
        <f aca="false">SQRT(vit_x^2+vit_z^2)</f>
        <v>20.0614037696817</v>
      </c>
      <c r="J21" s="419" t="n">
        <f aca="false">J20+0.5*(vit_x+G20)*pas*(K20&gt;=0)</f>
        <v>0.28659959632262</v>
      </c>
      <c r="K21" s="420" t="n">
        <f aca="false">K20+0.5*(vit_z+H20)*pas</f>
        <v>1.62548031664655</v>
      </c>
      <c r="L21" s="418" t="n">
        <f aca="false">SQRT(pos_x^2+pos_z^2)</f>
        <v>1.65055311590317</v>
      </c>
      <c r="M21" s="419" t="n">
        <f aca="false">IF(AND(L20&gt;L_rampe,G21&gt;0),ATAN2(G21,H21),$M$4)</f>
        <v>1.39626340159546</v>
      </c>
      <c r="N21" s="418" t="n">
        <f aca="false">DEGREES(Beta)</f>
        <v>79.9999999999998</v>
      </c>
      <c r="O21" s="402"/>
      <c r="P21" s="421" t="n">
        <f aca="false">MATCH(t-pas/2-T_ini,CdP_t)</f>
        <v>3</v>
      </c>
      <c r="Q21" s="418" t="n">
        <f aca="false">(INDEX(CdP,2,i_P+1)-INDEX(CdP,2,i_P+0))/(INDEX(CdP,1,i_P+1)-INDEX(CdP,1,i_P+0))*(t-pas/2-T_ini-INDEX(CdP,1,i_P+0))+INDEX(CdP,2,i_P+0)</f>
        <v>199.224137931034</v>
      </c>
      <c r="R21" s="419" t="n">
        <f aca="false">Poussee/(g*ISP)</f>
        <v>0.105738169247305</v>
      </c>
      <c r="S21" s="420" t="n">
        <f aca="false">S20-Débit*pas</f>
        <v>1.54202883101415</v>
      </c>
      <c r="T21" s="418" t="n">
        <f aca="false">m*g</f>
        <v>15.1273028322488</v>
      </c>
      <c r="U21" s="422" t="n">
        <f aca="false">IF(pos_xz&lt;L_rampe,Poids*COS(Beta),0)</f>
        <v>2.62682856983585</v>
      </c>
      <c r="V21" s="419" t="n">
        <f aca="false">Rho_moyen*(20000-Alt_rampe-pos_z)/(20000+Alt_rampe+pos_z)</f>
        <v>1.22480089484329</v>
      </c>
      <c r="W21" s="418" t="n">
        <f aca="false">1/2*Rho*Sref*Cx*vit_xz^2</f>
        <v>0.434517106017955</v>
      </c>
      <c r="X21" s="402"/>
      <c r="Y21" s="423" t="str">
        <f aca="false">IF(AND(pos_z&lt;=0,K20&gt;0),"Impact balistique","") &amp; IF(AND(H22&lt;0,vit_z&gt;=0),"Apogée","") &amp; IF(AND(Poussee=0,Q20&gt;0),"Fin de propulsion","") &amp; IF(AND(L22&gt;L_rampe,pos_xz&lt;=L_rampe),"Sortie de rampe","")</f>
        <v/>
      </c>
      <c r="Z21" s="424" t="str">
        <f aca="false">IF(ABS(t-T_para)&lt;pas/2,"Para","")</f>
        <v/>
      </c>
      <c r="AA21" s="425" t="str">
        <f aca="false">IF(ABS(t-T_satellite)&lt;pas/2,"Satellite","")</f>
        <v/>
      </c>
      <c r="AB21" s="413"/>
      <c r="AC21" s="421" t="e">
        <f aca="false">IF(ABS(t-ROUND(t,0))&lt;0.001,t,NA())</f>
        <v>#N/A</v>
      </c>
      <c r="AD21" s="426" t="e">
        <f aca="false">IF(ABS(t-ROUND(t,0))&lt;0.001,pos_x,NA())</f>
        <v>#N/A</v>
      </c>
      <c r="AE21" s="427" t="n">
        <f aca="false">IF(t&lt;T_para, pos_z, NA())</f>
        <v>1.62548031664655</v>
      </c>
      <c r="AF21" s="413"/>
      <c r="AG21" s="419" t="n">
        <f aca="false">IF(AND(L20&lt;L_rampe,Poussee&lt;Poids*SIN(M20)),0,(-W20+Poussee)/m-Poids*SIN(M20)/m)</f>
        <v>119.28587942274</v>
      </c>
      <c r="AH21" s="418" t="n">
        <f aca="false">IF(AND(L20&lt;L_rampe,Poussee&lt;Poids*SIN(M20)), g*SIN(M20), (-W20+Poussee)/m)</f>
        <v>128.94684347979</v>
      </c>
    </row>
    <row r="22" customFormat="false" ht="12" hidden="false" customHeight="false" outlineLevel="0" collapsed="false">
      <c r="A22" s="417" t="n">
        <f aca="false">IF(B21+0.01&lt;=T_ini+ROUNDUP(Temps_fin_propu,0), 0.01, IF(K21&gt;0, 0.1, 0.0001))</f>
        <v>0.01</v>
      </c>
      <c r="B22" s="418" t="n">
        <f aca="false">B21+pas</f>
        <v>0.18</v>
      </c>
      <c r="C22" s="402"/>
      <c r="D22" s="419" t="n">
        <f aca="false">IF(AND(L21&lt;L_rampe,Poussee&lt;Poids*SIN(M21)),0,(-W21+Poussee)/m*COS(M21)-U21/m*SIN(M21))</f>
        <v>20.6251343554869</v>
      </c>
      <c r="E22" s="420" t="n">
        <f aca="false">IF(AND(L21&lt;L_rampe,Poussee&lt;Poids*SIN(M21)),0,(-W21+Poussee)/m*SIN(M21)+U21/m*COS(M21)-Poids/m)</f>
        <v>116.977651762291</v>
      </c>
      <c r="F22" s="418" t="n">
        <f aca="false">SQRT(acc_x^2+acc_z^2)</f>
        <v>118.782015385334</v>
      </c>
      <c r="G22" s="419" t="n">
        <f aca="false">G21+acc_x*pas</f>
        <v>3.6896841752289</v>
      </c>
      <c r="H22" s="420" t="n">
        <f aca="false">H21+acc_z*pas</f>
        <v>20.9264365824571</v>
      </c>
      <c r="I22" s="418" t="n">
        <f aca="false">SQRT(vit_x^2+vit_z^2)</f>
        <v>21.249223923535</v>
      </c>
      <c r="J22" s="419" t="n">
        <f aca="false">J21+0.5*(vit_x+G21)*pas*(K21&gt;=0)</f>
        <v>0.322465181357135</v>
      </c>
      <c r="K22" s="420" t="n">
        <f aca="false">K21+0.5*(vit_z+H21)*pas</f>
        <v>1.82889579988301</v>
      </c>
      <c r="L22" s="418" t="n">
        <f aca="false">SQRT(pos_x^2+pos_z^2)</f>
        <v>1.85710625436925</v>
      </c>
      <c r="M22" s="419" t="n">
        <f aca="false">IF(AND(L21&gt;L_rampe,G22&gt;0),ATAN2(G22,H22),$M$4)</f>
        <v>1.39626340159546</v>
      </c>
      <c r="N22" s="418" t="n">
        <f aca="false">DEGREES(Beta)</f>
        <v>79.9999999999998</v>
      </c>
      <c r="O22" s="402"/>
      <c r="P22" s="421" t="n">
        <f aca="false">MATCH(t-pas/2-T_ini,CdP_t)</f>
        <v>3</v>
      </c>
      <c r="Q22" s="418" t="n">
        <f aca="false">(INDEX(CdP,2,i_P+1)-INDEX(CdP,2,i_P+0))/(INDEX(CdP,1,i_P+1)-INDEX(CdP,1,i_P+0))*(t-pas/2-T_ini-INDEX(CdP,1,i_P+0))+INDEX(CdP,2,i_P+0)</f>
        <v>198.362068965517</v>
      </c>
      <c r="R22" s="419" t="n">
        <f aca="false">Poussee/(g*ISP)</f>
        <v>0.105280626325422</v>
      </c>
      <c r="S22" s="420" t="n">
        <f aca="false">S21-Débit*pas</f>
        <v>1.54097602475089</v>
      </c>
      <c r="T22" s="418" t="n">
        <f aca="false">m*g</f>
        <v>15.1169748028063</v>
      </c>
      <c r="U22" s="422" t="n">
        <f aca="false">IF(pos_xz&lt;L_rampe,Poids*COS(Beta),0)</f>
        <v>2.62503512634427</v>
      </c>
      <c r="V22" s="419" t="n">
        <f aca="false">Rho_moyen*(20000-Alt_rampe-pos_z)/(20000+Alt_rampe+pos_z)</f>
        <v>1.22477598074991</v>
      </c>
      <c r="W22" s="418" t="n">
        <f aca="false">1/2*Rho*Sref*Cx*vit_xz^2</f>
        <v>0.487485331844899</v>
      </c>
      <c r="X22" s="402"/>
      <c r="Y22" s="423" t="str">
        <f aca="false">IF(AND(pos_z&lt;=0,K21&gt;0),"Impact balistique","") &amp; IF(AND(H23&lt;0,vit_z&gt;=0),"Apogée","") &amp; IF(AND(Poussee=0,Q21&gt;0),"Fin de propulsion","") &amp; IF(AND(L23&gt;L_rampe,pos_xz&lt;=L_rampe),"Sortie de rampe","")</f>
        <v/>
      </c>
      <c r="Z22" s="424" t="str">
        <f aca="false">IF(ABS(t-T_para)&lt;pas/2,"Para","")</f>
        <v/>
      </c>
      <c r="AA22" s="425" t="str">
        <f aca="false">IF(ABS(t-T_satellite)&lt;pas/2,"Satellite","")</f>
        <v/>
      </c>
      <c r="AB22" s="413"/>
      <c r="AC22" s="421" t="e">
        <f aca="false">IF(ABS(t-ROUND(t,0))&lt;0.001,t,NA())</f>
        <v>#N/A</v>
      </c>
      <c r="AD22" s="426" t="e">
        <f aca="false">IF(ABS(t-ROUND(t,0))&lt;0.001,pos_x,NA())</f>
        <v>#N/A</v>
      </c>
      <c r="AE22" s="427" t="n">
        <f aca="false">IF(t&lt;T_para, pos_z, NA())</f>
        <v>1.82889579988301</v>
      </c>
      <c r="AF22" s="413"/>
      <c r="AG22" s="419" t="n">
        <f aca="false">IF(AND(L21&lt;L_rampe,Poussee&lt;Poids*SIN(M21)),0,(-W21+Poussee)/m-Poids*SIN(M21)/m)</f>
        <v>118.782015379632</v>
      </c>
      <c r="AH22" s="418" t="n">
        <f aca="false">IF(AND(L21&lt;L_rampe,Poussee&lt;Poids*SIN(M21)), g*SIN(M21), (-W21+Poussee)/m)</f>
        <v>128.442979436682</v>
      </c>
    </row>
    <row r="23" customFormat="false" ht="12" hidden="false" customHeight="false" outlineLevel="0" collapsed="false">
      <c r="A23" s="417" t="n">
        <f aca="false">IF(B22+0.01&lt;=T_ini+ROUNDUP(Temps_fin_propu,0), 0.01, IF(K22&gt;0, 0.1, 0.0001))</f>
        <v>0.01</v>
      </c>
      <c r="B23" s="418" t="n">
        <f aca="false">B22+pas</f>
        <v>0.19</v>
      </c>
      <c r="C23" s="402"/>
      <c r="D23" s="419" t="n">
        <f aca="false">IF(AND(L22&lt;L_rampe,Poussee&lt;Poids*SIN(M22)),0,(-W22+Poussee)/m*COS(M22)-U22/m*SIN(M22))</f>
        <v>20.5371377348226</v>
      </c>
      <c r="E23" s="420" t="n">
        <f aca="false">IF(AND(L22&lt;L_rampe,Poussee&lt;Poids*SIN(M22)),0,(-W22+Poussee)/m*SIN(M22)+U22/m*COS(M22)-Poids/m)</f>
        <v>116.478573542125</v>
      </c>
      <c r="F23" s="418" t="n">
        <f aca="false">SQRT(acc_x^2+acc_z^2)</f>
        <v>118.275238831918</v>
      </c>
      <c r="G23" s="419" t="n">
        <f aca="false">G22+acc_x*pas</f>
        <v>3.89505555257713</v>
      </c>
      <c r="H23" s="420" t="n">
        <f aca="false">H22+acc_z*pas</f>
        <v>22.0912223178784</v>
      </c>
      <c r="I23" s="418" t="n">
        <f aca="false">SQRT(vit_x^2+vit_z^2)</f>
        <v>22.4319763118542</v>
      </c>
      <c r="J23" s="419" t="n">
        <f aca="false">J22+0.5*(vit_x+G22)*pas*(K22&gt;=0)</f>
        <v>0.360388879996165</v>
      </c>
      <c r="K23" s="420" t="n">
        <f aca="false">K22+0.5*(vit_z+H22)*pas</f>
        <v>2.04398409438469</v>
      </c>
      <c r="L23" s="418" t="n">
        <f aca="false">SQRT(pos_x^2+pos_z^2)</f>
        <v>2.0755122555462</v>
      </c>
      <c r="M23" s="419" t="n">
        <f aca="false">IF(AND(L22&gt;L_rampe,G23&gt;0),ATAN2(G23,H23),$M$4)</f>
        <v>1.39626340159546</v>
      </c>
      <c r="N23" s="418" t="n">
        <f aca="false">DEGREES(Beta)</f>
        <v>79.9999999999998</v>
      </c>
      <c r="O23" s="402"/>
      <c r="P23" s="421" t="n">
        <f aca="false">MATCH(t-pas/2-T_ini,CdP_t)</f>
        <v>3</v>
      </c>
      <c r="Q23" s="418" t="n">
        <f aca="false">(INDEX(CdP,2,i_P+1)-INDEX(CdP,2,i_P+0))/(INDEX(CdP,1,i_P+1)-INDEX(CdP,1,i_P+0))*(t-pas/2-T_ini-INDEX(CdP,1,i_P+0))+INDEX(CdP,2,i_P+0)</f>
        <v>197.5</v>
      </c>
      <c r="R23" s="419" t="n">
        <f aca="false">Poussee/(g*ISP)</f>
        <v>0.104823083403538</v>
      </c>
      <c r="S23" s="420" t="n">
        <f aca="false">S22-Débit*pas</f>
        <v>1.53992779391686</v>
      </c>
      <c r="T23" s="418" t="n">
        <f aca="false">m*g</f>
        <v>15.1066916583244</v>
      </c>
      <c r="U23" s="422" t="n">
        <f aca="false">IF(pos_xz&lt;L_rampe,Poids*COS(Beta),0)</f>
        <v>2.6232494770443</v>
      </c>
      <c r="V23" s="419" t="n">
        <f aca="false">Rho_moyen*(20000-Alt_rampe-pos_z)/(20000+Alt_rampe+pos_z)</f>
        <v>1.22474963753528</v>
      </c>
      <c r="W23" s="418" t="n">
        <f aca="false">1/2*Rho*Sref*Cx*vit_xz^2</f>
        <v>0.543251758115718</v>
      </c>
      <c r="X23" s="402"/>
      <c r="Y23" s="423" t="str">
        <f aca="false">IF(AND(pos_z&lt;=0,K22&gt;0),"Impact balistique","") &amp; IF(AND(H24&lt;0,vit_z&gt;=0),"Apogée","") &amp; IF(AND(Poussee=0,Q22&gt;0),"Fin de propulsion","") &amp; IF(AND(L24&gt;L_rampe,pos_xz&lt;=L_rampe),"Sortie de rampe","")</f>
        <v/>
      </c>
      <c r="Z23" s="424" t="str">
        <f aca="false">IF(ABS(t-T_para)&lt;pas/2,"Para","")</f>
        <v/>
      </c>
      <c r="AA23" s="425" t="str">
        <f aca="false">IF(ABS(t-T_satellite)&lt;pas/2,"Satellite","")</f>
        <v/>
      </c>
      <c r="AB23" s="413"/>
      <c r="AC23" s="421" t="e">
        <f aca="false">IF(ABS(t-ROUND(t,0))&lt;0.001,t,NA())</f>
        <v>#N/A</v>
      </c>
      <c r="AD23" s="426" t="e">
        <f aca="false">IF(ABS(t-ROUND(t,0))&lt;0.001,pos_x,NA())</f>
        <v>#N/A</v>
      </c>
      <c r="AE23" s="427" t="n">
        <f aca="false">IF(t&lt;T_para, pos_z, NA())</f>
        <v>2.04398409438469</v>
      </c>
      <c r="AF23" s="413"/>
      <c r="AG23" s="419" t="n">
        <f aca="false">IF(AND(L22&lt;L_rampe,Poussee&lt;Poids*SIN(M22)),0,(-W22+Poussee)/m-Poids*SIN(M22)/m)</f>
        <v>118.275238826234</v>
      </c>
      <c r="AH23" s="418" t="n">
        <f aca="false">IF(AND(L22&lt;L_rampe,Poussee&lt;Poids*SIN(M22)), g*SIN(M22), (-W22+Poussee)/m)</f>
        <v>127.936202883284</v>
      </c>
    </row>
    <row r="24" customFormat="false" ht="12" hidden="false" customHeight="false" outlineLevel="0" collapsed="false">
      <c r="A24" s="417" t="n">
        <f aca="false">IF(B23+0.01&lt;=T_ini+ROUNDUP(Temps_fin_propu,0), 0.01, IF(K23&gt;0, 0.1, 0.0001))</f>
        <v>0.01</v>
      </c>
      <c r="B24" s="418" t="n">
        <f aca="false">B23+pas</f>
        <v>0.2</v>
      </c>
      <c r="C24" s="402"/>
      <c r="D24" s="419" t="n">
        <f aca="false">IF(AND(L23&lt;L_rampe,Poussee&lt;Poids*SIN(M23)),0,(-W23+Poussee)/m*COS(M23)-U23/m*SIN(M23))</f>
        <v>20.4486396967294</v>
      </c>
      <c r="E24" s="420" t="n">
        <f aca="false">IF(AND(L23&lt;L_rampe,Poussee&lt;Poids*SIN(M23)),0,(-W23+Poussee)/m*SIN(M23)+U23/m*COS(M23)-Poids/m)</f>
        <v>115.976651589137</v>
      </c>
      <c r="F24" s="418" t="n">
        <f aca="false">SQRT(acc_x^2+acc_z^2)</f>
        <v>117.765574678149</v>
      </c>
      <c r="G24" s="419" t="n">
        <f aca="false">G23+acc_x*pas</f>
        <v>4.09954194954442</v>
      </c>
      <c r="H24" s="420" t="n">
        <f aca="false">H23+acc_z*pas</f>
        <v>23.2509888337697</v>
      </c>
      <c r="I24" s="418" t="n">
        <f aca="false">SQRT(vit_x^2+vit_z^2)</f>
        <v>23.6096320586357</v>
      </c>
      <c r="J24" s="419" t="n">
        <f aca="false">J23+0.5*(vit_x+G23)*pas*(K23&gt;=0)</f>
        <v>0.400361867506773</v>
      </c>
      <c r="K24" s="420" t="n">
        <f aca="false">K23+0.5*(vit_z+H23)*pas</f>
        <v>2.27069515014293</v>
      </c>
      <c r="L24" s="418" t="n">
        <f aca="false">SQRT(pos_x^2+pos_z^2)</f>
        <v>2.30572029739865</v>
      </c>
      <c r="M24" s="419" t="n">
        <f aca="false">IF(AND(L23&gt;L_rampe,G24&gt;0),ATAN2(G24,H24),$M$4)</f>
        <v>1.39626340159546</v>
      </c>
      <c r="N24" s="418" t="n">
        <f aca="false">DEGREES(Beta)</f>
        <v>79.9999999999998</v>
      </c>
      <c r="O24" s="402"/>
      <c r="P24" s="421" t="n">
        <f aca="false">MATCH(t-pas/2-T_ini,CdP_t)</f>
        <v>3</v>
      </c>
      <c r="Q24" s="418" t="n">
        <f aca="false">(INDEX(CdP,2,i_P+1)-INDEX(CdP,2,i_P+0))/(INDEX(CdP,1,i_P+1)-INDEX(CdP,1,i_P+0))*(t-pas/2-T_ini-INDEX(CdP,1,i_P+0))+INDEX(CdP,2,i_P+0)</f>
        <v>196.637931034483</v>
      </c>
      <c r="R24" s="419" t="n">
        <f aca="false">Poussee/(g*ISP)</f>
        <v>0.104365540481654</v>
      </c>
      <c r="S24" s="420" t="n">
        <f aca="false">S23-Débit*pas</f>
        <v>1.53888413851204</v>
      </c>
      <c r="T24" s="418" t="n">
        <f aca="false">m*g</f>
        <v>15.0964533988031</v>
      </c>
      <c r="U24" s="422" t="n">
        <f aca="false">IF(pos_xz&lt;L_rampe,Poids*COS(Beta),0)</f>
        <v>2.62147162193595</v>
      </c>
      <c r="V24" s="419" t="n">
        <f aca="false">Rho_moyen*(20000-Alt_rampe-pos_z)/(20000+Alt_rampe+pos_z)</f>
        <v>1.22472187142137</v>
      </c>
      <c r="W24" s="418" t="n">
        <f aca="false">1/2*Rho*Sref*Cx*vit_xz^2</f>
        <v>0.601775714310401</v>
      </c>
      <c r="X24" s="402"/>
      <c r="Y24" s="423" t="str">
        <f aca="false">IF(AND(pos_z&lt;=0,K23&gt;0),"Impact balistique","") &amp; IF(AND(H25&lt;0,vit_z&gt;=0),"Apogée","") &amp; IF(AND(Poussee=0,Q23&gt;0),"Fin de propulsion","") &amp; IF(AND(L25&gt;L_rampe,pos_xz&lt;=L_rampe),"Sortie de rampe","")</f>
        <v>Sortie de rampe</v>
      </c>
      <c r="Z24" s="424" t="str">
        <f aca="false">IF(ABS(t-T_para)&lt;pas/2,"Para","")</f>
        <v/>
      </c>
      <c r="AA24" s="425" t="str">
        <f aca="false">IF(ABS(t-T_satellite)&lt;pas/2,"Satellite","")</f>
        <v/>
      </c>
      <c r="AB24" s="413"/>
      <c r="AC24" s="421" t="e">
        <f aca="false">IF(ABS(t-ROUND(t,0))&lt;0.001,t,NA())</f>
        <v>#N/A</v>
      </c>
      <c r="AD24" s="426" t="e">
        <f aca="false">IF(ABS(t-ROUND(t,0))&lt;0.001,pos_x,NA())</f>
        <v>#N/A</v>
      </c>
      <c r="AE24" s="427" t="n">
        <f aca="false">IF(t&lt;T_para, pos_z, NA())</f>
        <v>2.27069515014293</v>
      </c>
      <c r="AF24" s="413"/>
      <c r="AG24" s="419" t="n">
        <f aca="false">IF(AND(L23&lt;L_rampe,Poussee&lt;Poids*SIN(M23)),0,(-W23+Poussee)/m-Poids*SIN(M23)/m)</f>
        <v>117.765574672482</v>
      </c>
      <c r="AH24" s="418" t="n">
        <f aca="false">IF(AND(L23&lt;L_rampe,Poussee&lt;Poids*SIN(M23)), g*SIN(M23), (-W23+Poussee)/m)</f>
        <v>127.426538729532</v>
      </c>
    </row>
    <row r="25" customFormat="false" ht="12" hidden="false" customHeight="false" outlineLevel="0" collapsed="false">
      <c r="A25" s="417" t="n">
        <f aca="false">IF(B24+0.01&lt;=T_ini+ROUNDUP(Temps_fin_propu,0), 0.01, IF(K24&gt;0, 0.1, 0.0001))</f>
        <v>0.01</v>
      </c>
      <c r="B25" s="418" t="n">
        <f aca="false">B24+pas</f>
        <v>0.21</v>
      </c>
      <c r="C25" s="402"/>
      <c r="D25" s="419" t="n">
        <f aca="false">IF(AND(L24&lt;L_rampe,Poussee&lt;Poids*SIN(M24)),0,(-W24+Poussee)/m*COS(M24)-U24/m*SIN(M24))</f>
        <v>20.3596446026286</v>
      </c>
      <c r="E25" s="420" t="n">
        <f aca="false">IF(AND(L24&lt;L_rampe,Poussee&lt;Poids*SIN(M24)),0,(-W24+Poussee)/m*SIN(M24)+U24/m*COS(M24)-Poids/m)</f>
        <v>115.471910638286</v>
      </c>
      <c r="F25" s="418" t="n">
        <f aca="false">SQRT(acc_x^2+acc_z^2)</f>
        <v>117.25304804056</v>
      </c>
      <c r="G25" s="419" t="n">
        <f aca="false">G24+acc_x*pas</f>
        <v>4.30313839557071</v>
      </c>
      <c r="H25" s="420" t="n">
        <f aca="false">H24+acc_z*pas</f>
        <v>24.4057079401526</v>
      </c>
      <c r="I25" s="418" t="n">
        <f aca="false">SQRT(vit_x^2+vit_z^2)</f>
        <v>24.7821625390413</v>
      </c>
      <c r="J25" s="419" t="n">
        <f aca="false">J24+0.5*(vit_x+G24)*pas*(K24&gt;=0)</f>
        <v>0.442375269232349</v>
      </c>
      <c r="K25" s="420" t="n">
        <f aca="false">K24+0.5*(vit_z+H24)*pas</f>
        <v>2.50897863401254</v>
      </c>
      <c r="L25" s="418" t="n">
        <f aca="false">SQRT(pos_x^2+pos_z^2)</f>
        <v>2.54767927038703</v>
      </c>
      <c r="M25" s="419" t="n">
        <f aca="false">IF(AND(L24&gt;L_rampe,G25&gt;0),ATAN2(G25,H25),$M$4)</f>
        <v>1.39626340159546</v>
      </c>
      <c r="N25" s="418" t="n">
        <f aca="false">DEGREES(Beta)</f>
        <v>79.9999999999998</v>
      </c>
      <c r="O25" s="402"/>
      <c r="P25" s="421" t="n">
        <f aca="false">MATCH(t-pas/2-T_ini,CdP_t)</f>
        <v>3</v>
      </c>
      <c r="Q25" s="418" t="n">
        <f aca="false">(INDEX(CdP,2,i_P+1)-INDEX(CdP,2,i_P+0))/(INDEX(CdP,1,i_P+1)-INDEX(CdP,1,i_P+0))*(t-pas/2-T_ini-INDEX(CdP,1,i_P+0))+INDEX(CdP,2,i_P+0)</f>
        <v>195.775862068966</v>
      </c>
      <c r="R25" s="419" t="n">
        <f aca="false">Poussee/(g*ISP)</f>
        <v>0.103907997559771</v>
      </c>
      <c r="S25" s="420" t="n">
        <f aca="false">S24-Débit*pas</f>
        <v>1.53784505853644</v>
      </c>
      <c r="T25" s="418" t="n">
        <f aca="false">m*g</f>
        <v>15.0862600242425</v>
      </c>
      <c r="U25" s="422" t="n">
        <f aca="false">IF(pos_xz&lt;L_rampe,Poids*COS(Beta),0)</f>
        <v>0</v>
      </c>
      <c r="V25" s="419" t="n">
        <f aca="false">Rho_moyen*(20000-Alt_rampe-pos_z)/(20000+Alt_rampe+pos_z)</f>
        <v>1.22469268866921</v>
      </c>
      <c r="W25" s="418" t="n">
        <f aca="false">1/2*Rho*Sref*Cx*vit_xz^2</f>
        <v>0.66301640277598</v>
      </c>
      <c r="X25" s="402"/>
      <c r="Y25" s="423" t="str">
        <f aca="false">IF(AND(pos_z&lt;=0,K24&gt;0),"Impact balistique","") &amp; IF(AND(H26&lt;0,vit_z&gt;=0),"Apogée","") &amp; IF(AND(Poussee=0,Q24&gt;0),"Fin de propulsion","") &amp; IF(AND(L26&gt;L_rampe,pos_xz&lt;=L_rampe),"Sortie de rampe","")</f>
        <v/>
      </c>
      <c r="Z25" s="424" t="str">
        <f aca="false">IF(ABS(t-T_para)&lt;pas/2,"Para","")</f>
        <v/>
      </c>
      <c r="AA25" s="425" t="str">
        <f aca="false">IF(ABS(t-T_satellite)&lt;pas/2,"Satellite","")</f>
        <v/>
      </c>
      <c r="AB25" s="413"/>
      <c r="AC25" s="421" t="e">
        <f aca="false">IF(ABS(t-ROUND(t,0))&lt;0.001,t,NA())</f>
        <v>#N/A</v>
      </c>
      <c r="AD25" s="426" t="e">
        <f aca="false">IF(ABS(t-ROUND(t,0))&lt;0.001,pos_x,NA())</f>
        <v>#N/A</v>
      </c>
      <c r="AE25" s="427" t="n">
        <f aca="false">IF(t&lt;T_para, pos_z, NA())</f>
        <v>2.50897863401254</v>
      </c>
      <c r="AF25" s="413"/>
      <c r="AG25" s="419" t="n">
        <f aca="false">IF(AND(L24&lt;L_rampe,Poussee&lt;Poids*SIN(M24)),0,(-W24+Poussee)/m-Poids*SIN(M24)/m)</f>
        <v>117.25304803491</v>
      </c>
      <c r="AH25" s="418" t="n">
        <f aca="false">IF(AND(L24&lt;L_rampe,Poussee&lt;Poids*SIN(M24)), g*SIN(M24), (-W24+Poussee)/m)</f>
        <v>126.91401209196</v>
      </c>
    </row>
    <row r="26" customFormat="false" ht="12" hidden="false" customHeight="false" outlineLevel="0" collapsed="false">
      <c r="A26" s="417" t="n">
        <f aca="false">IF(B25+0.01&lt;=T_ini+ROUNDUP(Temps_fin_propu,0), 0.01, IF(K25&gt;0, 0.1, 0.0001))</f>
        <v>0.01</v>
      </c>
      <c r="B26" s="418" t="n">
        <f aca="false">B25+pas</f>
        <v>0.22</v>
      </c>
      <c r="C26" s="402"/>
      <c r="D26" s="419" t="n">
        <f aca="false">IF(AND(L25&lt;L_rampe,Poussee&lt;Poids*SIN(M25)),0,(-W25+Poussee)/m*COS(M25)-U25/m*SIN(M25))</f>
        <v>21.9488949349552</v>
      </c>
      <c r="E26" s="420" t="n">
        <f aca="false">IF(AND(L25&lt;L_rampe,Poussee&lt;Poids*SIN(M25)),0,(-W25+Poussee)/m*SIN(M25)+U25/m*COS(M25)-Poids/m)</f>
        <v>114.668368805308</v>
      </c>
      <c r="F26" s="418" t="n">
        <f aca="false">SQRT(acc_x^2+acc_z^2)</f>
        <v>116.750112605238</v>
      </c>
      <c r="G26" s="419" t="n">
        <f aca="false">G25+acc_x*pas</f>
        <v>4.52262734492026</v>
      </c>
      <c r="H26" s="420" t="n">
        <f aca="false">H25+acc_z*pas</f>
        <v>25.5523916282057</v>
      </c>
      <c r="I26" s="418" t="n">
        <f aca="false">SQRT(vit_x^2+vit_z^2)</f>
        <v>25.9495448133915</v>
      </c>
      <c r="J26" s="419" t="n">
        <f aca="false">J25+0.5*(vit_x+G25)*pas*(K25&gt;=0)</f>
        <v>0.486504097934803</v>
      </c>
      <c r="K26" s="420" t="n">
        <f aca="false">K25+0.5*(vit_z+H25)*pas</f>
        <v>2.75876913185433</v>
      </c>
      <c r="L26" s="418" t="n">
        <f aca="false">SQRT(pos_x^2+pos_z^2)</f>
        <v>2.80133778045056</v>
      </c>
      <c r="M26" s="419" t="n">
        <f aca="false">IF(AND(L25&gt;L_rampe,G26&gt;0),ATAN2(G26,H26),$M$4)</f>
        <v>1.39561629070063</v>
      </c>
      <c r="N26" s="418" t="n">
        <f aca="false">DEGREES(Beta)</f>
        <v>79.9629232768489</v>
      </c>
      <c r="O26" s="402"/>
      <c r="P26" s="421" t="n">
        <f aca="false">MATCH(t-pas/2-T_ini,CdP_t)</f>
        <v>3</v>
      </c>
      <c r="Q26" s="418" t="n">
        <f aca="false">(INDEX(CdP,2,i_P+1)-INDEX(CdP,2,i_P+0))/(INDEX(CdP,1,i_P+1)-INDEX(CdP,1,i_P+0))*(t-pas/2-T_ini-INDEX(CdP,1,i_P+0))+INDEX(CdP,2,i_P+0)</f>
        <v>194.913793103448</v>
      </c>
      <c r="R26" s="419" t="n">
        <f aca="false">Poussee/(g*ISP)</f>
        <v>0.103450454637887</v>
      </c>
      <c r="S26" s="420" t="n">
        <f aca="false">S25-Débit*pas</f>
        <v>1.53681055399007</v>
      </c>
      <c r="T26" s="418" t="n">
        <f aca="false">m*g</f>
        <v>15.0761115346425</v>
      </c>
      <c r="U26" s="422" t="n">
        <f aca="false">IF(pos_xz&lt;L_rampe,Poids*COS(Beta),0)</f>
        <v>0</v>
      </c>
      <c r="V26" s="419" t="n">
        <f aca="false">Rho_moyen*(20000-Alt_rampe-pos_z)/(20000+Alt_rampe+pos_z)</f>
        <v>1.22466209739111</v>
      </c>
      <c r="W26" s="418" t="n">
        <f aca="false">1/2*Rho*Sref*Cx*vit_xz^2</f>
        <v>0.726933211233063</v>
      </c>
      <c r="X26" s="402"/>
      <c r="Y26" s="423" t="str">
        <f aca="false">IF(AND(pos_z&lt;=0,K25&gt;0),"Impact balistique","") &amp; IF(AND(H27&lt;0,vit_z&gt;=0),"Apogée","") &amp; IF(AND(Poussee=0,Q25&gt;0),"Fin de propulsion","") &amp; IF(AND(L27&gt;L_rampe,pos_xz&lt;=L_rampe),"Sortie de rampe","")</f>
        <v/>
      </c>
      <c r="Z26" s="424" t="str">
        <f aca="false">IF(ABS(t-T_para)&lt;pas/2,"Para","")</f>
        <v/>
      </c>
      <c r="AA26" s="425" t="str">
        <f aca="false">IF(ABS(t-T_satellite)&lt;pas/2,"Satellite","")</f>
        <v/>
      </c>
      <c r="AB26" s="413"/>
      <c r="AC26" s="421" t="e">
        <f aca="false">IF(ABS(t-ROUND(t,0))&lt;0.001,t,NA())</f>
        <v>#N/A</v>
      </c>
      <c r="AD26" s="426" t="e">
        <f aca="false">IF(ABS(t-ROUND(t,0))&lt;0.001,pos_x,NA())</f>
        <v>#N/A</v>
      </c>
      <c r="AE26" s="427" t="n">
        <f aca="false">IF(t&lt;T_para, pos_z, NA())</f>
        <v>2.75876913185433</v>
      </c>
      <c r="AF26" s="413"/>
      <c r="AG26" s="419" t="n">
        <f aca="false">IF(AND(L25&lt;L_rampe,Poussee&lt;Poids*SIN(M25)),0,(-W25+Poussee)/m-Poids*SIN(M25)/m)</f>
        <v>116.737684231989</v>
      </c>
      <c r="AH26" s="418" t="n">
        <f aca="false">IF(AND(L25&lt;L_rampe,Poussee&lt;Poids*SIN(M25)), g*SIN(M25), (-W25+Poussee)/m)</f>
        <v>126.398648289038</v>
      </c>
    </row>
    <row r="27" customFormat="false" ht="12" hidden="false" customHeight="false" outlineLevel="0" collapsed="false">
      <c r="A27" s="417" t="n">
        <f aca="false">IF(B26+0.01&lt;=T_ini+ROUNDUP(Temps_fin_propu,0), 0.01, IF(K26&gt;0, 0.1, 0.0001))</f>
        <v>0.01</v>
      </c>
      <c r="B27" s="418" t="n">
        <f aca="false">B26+pas</f>
        <v>0.23</v>
      </c>
      <c r="C27" s="402"/>
      <c r="D27" s="419" t="n">
        <f aca="false">IF(AND(L26&lt;L_rampe,Poussee&lt;Poids*SIN(M26)),0,(-W26+Poussee)/m*COS(M26)-U26/m*SIN(M26))</f>
        <v>21.9391311807743</v>
      </c>
      <c r="E27" s="420" t="n">
        <f aca="false">IF(AND(L26&lt;L_rampe,Poussee&lt;Poids*SIN(M26)),0,(-W26+Poussee)/m*SIN(M26)+U26/m*COS(M26)-Poids/m)</f>
        <v>114.143894309549</v>
      </c>
      <c r="F27" s="418" t="n">
        <f aca="false">SQRT(acc_x^2+acc_z^2)</f>
        <v>116.233188397793</v>
      </c>
      <c r="G27" s="419" t="n">
        <f aca="false">G26+acc_x*pas</f>
        <v>4.742018656728</v>
      </c>
      <c r="H27" s="420" t="n">
        <f aca="false">H26+acc_z*pas</f>
        <v>26.6938305713012</v>
      </c>
      <c r="I27" s="418" t="n">
        <f aca="false">SQRT(vit_x^2+vit_z^2)</f>
        <v>27.1117563339244</v>
      </c>
      <c r="J27" s="419" t="n">
        <f aca="false">J26+0.5*(vit_x+G26)*pas*(K26&gt;=0)</f>
        <v>0.532827327943045</v>
      </c>
      <c r="K27" s="420" t="n">
        <f aca="false">K26+0.5*(vit_z+H26)*pas</f>
        <v>3.02000024285186</v>
      </c>
      <c r="L27" s="418" t="n">
        <f aca="false">SQRT(pos_x^2+pos_z^2)</f>
        <v>3.06664416394016</v>
      </c>
      <c r="M27" s="419" t="n">
        <f aca="false">IF(AND(L26&gt;L_rampe,G27&gt;0),ATAN2(G27,H27),$M$4)</f>
        <v>1.39498566387101</v>
      </c>
      <c r="N27" s="418" t="n">
        <f aca="false">DEGREES(Beta)</f>
        <v>79.926791021064</v>
      </c>
      <c r="O27" s="402"/>
      <c r="P27" s="421" t="n">
        <f aca="false">MATCH(t-pas/2-T_ini,CdP_t)</f>
        <v>3</v>
      </c>
      <c r="Q27" s="418" t="n">
        <f aca="false">(INDEX(CdP,2,i_P+1)-INDEX(CdP,2,i_P+0))/(INDEX(CdP,1,i_P+1)-INDEX(CdP,1,i_P+0))*(t-pas/2-T_ini-INDEX(CdP,1,i_P+0))+INDEX(CdP,2,i_P+0)</f>
        <v>194.051724137931</v>
      </c>
      <c r="R27" s="419" t="n">
        <f aca="false">Poussee/(g*ISP)</f>
        <v>0.102992911716004</v>
      </c>
      <c r="S27" s="420" t="n">
        <f aca="false">S26-Débit*pas</f>
        <v>1.53578062487291</v>
      </c>
      <c r="T27" s="418" t="n">
        <f aca="false">m*g</f>
        <v>15.0660079300032</v>
      </c>
      <c r="U27" s="422" t="n">
        <f aca="false">IF(pos_xz&lt;L_rampe,Poids*COS(Beta),0)</f>
        <v>0</v>
      </c>
      <c r="V27" s="419" t="n">
        <f aca="false">Rho_moyen*(20000-Alt_rampe-pos_z)/(20000+Alt_rampe+pos_z)</f>
        <v>1.22463010582428</v>
      </c>
      <c r="W27" s="418" t="n">
        <f aca="false">1/2*Rho*Sref*Cx*vit_xz^2</f>
        <v>0.793485477404674</v>
      </c>
      <c r="X27" s="402"/>
      <c r="Y27" s="423" t="str">
        <f aca="false">IF(AND(pos_z&lt;=0,K26&gt;0),"Impact balistique","") &amp; IF(AND(H28&lt;0,vit_z&gt;=0),"Apogée","") &amp; IF(AND(Poussee=0,Q26&gt;0),"Fin de propulsion","") &amp; IF(AND(L28&gt;L_rampe,pos_xz&lt;=L_rampe),"Sortie de rampe","")</f>
        <v/>
      </c>
      <c r="Z27" s="424" t="str">
        <f aca="false">IF(ABS(t-T_para)&lt;pas/2,"Para","")</f>
        <v/>
      </c>
      <c r="AA27" s="425" t="str">
        <f aca="false">IF(ABS(t-T_satellite)&lt;pas/2,"Satellite","")</f>
        <v/>
      </c>
      <c r="AB27" s="413"/>
      <c r="AC27" s="421" t="e">
        <f aca="false">IF(ABS(t-ROUND(t,0))&lt;0.001,t,NA())</f>
        <v>#N/A</v>
      </c>
      <c r="AD27" s="426" t="e">
        <f aca="false">IF(ABS(t-ROUND(t,0))&lt;0.001,pos_x,NA())</f>
        <v>#N/A</v>
      </c>
      <c r="AE27" s="427" t="n">
        <f aca="false">IF(t&lt;T_para, pos_z, NA())</f>
        <v>3.02000024285186</v>
      </c>
      <c r="AF27" s="413"/>
      <c r="AG27" s="419" t="n">
        <f aca="false">IF(AND(L26&lt;L_rampe,Poussee&lt;Poids*SIN(M26)),0,(-W26+Poussee)/m-Poids*SIN(M26)/m)</f>
        <v>116.220612949315</v>
      </c>
      <c r="AH27" s="418" t="n">
        <f aca="false">IF(AND(L26&lt;L_rampe,Poussee&lt;Poids*SIN(M26)), g*SIN(M26), (-W26+Poussee)/m)</f>
        <v>125.880472637618</v>
      </c>
    </row>
    <row r="28" customFormat="false" ht="12" hidden="false" customHeight="false" outlineLevel="0" collapsed="false">
      <c r="A28" s="417" t="n">
        <f aca="false">IF(B27+0.01&lt;=T_ini+ROUNDUP(Temps_fin_propu,0), 0.01, IF(K27&gt;0, 0.1, 0.0001))</f>
        <v>0.01</v>
      </c>
      <c r="B28" s="418" t="n">
        <f aca="false">B27+pas</f>
        <v>0.24</v>
      </c>
      <c r="C28" s="402"/>
      <c r="D28" s="419" t="n">
        <f aca="false">IF(AND(L27&lt;L_rampe,Poussee&lt;Poids*SIN(M27)),0,(-W27+Poussee)/m*COS(M27)-U27/m*SIN(M27))</f>
        <v>21.9261758909325</v>
      </c>
      <c r="E28" s="420" t="n">
        <f aca="false">IF(AND(L27&lt;L_rampe,Poussee&lt;Poids*SIN(M27)),0,(-W27+Poussee)/m*SIN(M27)+U27/m*COS(M27)-Poids/m)</f>
        <v>113.617102818055</v>
      </c>
      <c r="F28" s="418" t="n">
        <f aca="false">SQRT(acc_x^2+acc_z^2)</f>
        <v>115.71345315895</v>
      </c>
      <c r="G28" s="419" t="n">
        <f aca="false">G27+acc_x*pas</f>
        <v>4.96128041563733</v>
      </c>
      <c r="H28" s="420" t="n">
        <f aca="false">H27+acc_z*pas</f>
        <v>27.8300015994817</v>
      </c>
      <c r="I28" s="418" t="n">
        <f aca="false">SQRT(vit_x^2+vit_z^2)</f>
        <v>28.2687688516805</v>
      </c>
      <c r="J28" s="419" t="n">
        <f aca="false">J27+0.5*(vit_x+G27)*pas*(K27&gt;=0)</f>
        <v>0.581343823304871</v>
      </c>
      <c r="K28" s="420" t="n">
        <f aca="false">K27+0.5*(vit_z+H27)*pas</f>
        <v>3.29261940370578</v>
      </c>
      <c r="L28" s="418" t="n">
        <f aca="false">SQRT(pos_x^2+pos_z^2)</f>
        <v>3.3435464971426</v>
      </c>
      <c r="M28" s="419" t="n">
        <f aca="false">IF(AND(L27&gt;L_rampe,G28&gt;0),ATAN2(G28,H28),$M$4)</f>
        <v>1.39437869314597</v>
      </c>
      <c r="N28" s="418" t="n">
        <f aca="false">DEGREES(Beta)</f>
        <v>79.8920141602316</v>
      </c>
      <c r="O28" s="402"/>
      <c r="P28" s="421" t="n">
        <f aca="false">MATCH(t-pas/2-T_ini,CdP_t)</f>
        <v>3</v>
      </c>
      <c r="Q28" s="418" t="n">
        <f aca="false">(INDEX(CdP,2,i_P+1)-INDEX(CdP,2,i_P+0))/(INDEX(CdP,1,i_P+1)-INDEX(CdP,1,i_P+0))*(t-pas/2-T_ini-INDEX(CdP,1,i_P+0))+INDEX(CdP,2,i_P+0)</f>
        <v>193.189655172414</v>
      </c>
      <c r="R28" s="419" t="n">
        <f aca="false">Poussee/(g*ISP)</f>
        <v>0.10253536879412</v>
      </c>
      <c r="S28" s="420" t="n">
        <f aca="false">S27-Débit*pas</f>
        <v>1.53475527118496</v>
      </c>
      <c r="T28" s="418" t="n">
        <f aca="false">m*g</f>
        <v>15.0559492103245</v>
      </c>
      <c r="U28" s="422" t="n">
        <f aca="false">IF(pos_xz&lt;L_rampe,Poids*COS(Beta),0)</f>
        <v>0</v>
      </c>
      <c r="V28" s="419" t="n">
        <f aca="false">Rho_moyen*(20000-Alt_rampe-pos_z)/(20000+Alt_rampe+pos_z)</f>
        <v>1.22459672051534</v>
      </c>
      <c r="W28" s="418" t="n">
        <f aca="false">1/2*Rho*Sref*Cx*vit_xz^2</f>
        <v>0.862632123997917</v>
      </c>
      <c r="X28" s="402"/>
      <c r="Y28" s="423" t="str">
        <f aca="false">IF(AND(pos_z&lt;=0,K27&gt;0),"Impact balistique","") &amp; IF(AND(H29&lt;0,vit_z&gt;=0),"Apogée","") &amp; IF(AND(Poussee=0,Q27&gt;0),"Fin de propulsion","") &amp; IF(AND(L29&gt;L_rampe,pos_xz&lt;=L_rampe),"Sortie de rampe","")</f>
        <v/>
      </c>
      <c r="Z28" s="424" t="str">
        <f aca="false">IF(ABS(t-T_para)&lt;pas/2,"Para","")</f>
        <v/>
      </c>
      <c r="AA28" s="425" t="str">
        <f aca="false">IF(ABS(t-T_satellite)&lt;pas/2,"Satellite","")</f>
        <v/>
      </c>
      <c r="AB28" s="413"/>
      <c r="AC28" s="421" t="e">
        <f aca="false">IF(ABS(t-ROUND(t,0))&lt;0.001,t,NA())</f>
        <v>#N/A</v>
      </c>
      <c r="AD28" s="426" t="e">
        <f aca="false">IF(ABS(t-ROUND(t,0))&lt;0.001,pos_x,NA())</f>
        <v>#N/A</v>
      </c>
      <c r="AE28" s="427" t="n">
        <f aca="false">IF(t&lt;T_para, pos_z, NA())</f>
        <v>3.29261940370578</v>
      </c>
      <c r="AF28" s="413"/>
      <c r="AG28" s="419" t="n">
        <f aca="false">IF(AND(L27&lt;L_rampe,Poussee&lt;Poids*SIN(M27)),0,(-W27+Poussee)/m-Poids*SIN(M27)/m)</f>
        <v>115.700731045878</v>
      </c>
      <c r="AH28" s="418" t="n">
        <f aca="false">IF(AND(L27&lt;L_rampe,Poussee&lt;Poids*SIN(M27)), g*SIN(M27), (-W27+Poussee)/m)</f>
        <v>125.359510605533</v>
      </c>
    </row>
    <row r="29" customFormat="false" ht="12" hidden="false" customHeight="false" outlineLevel="0" collapsed="false">
      <c r="A29" s="417" t="n">
        <f aca="false">IF(B28+0.01&lt;=T_ini+ROUNDUP(Temps_fin_propu,0), 0.01, IF(K28&gt;0, 0.1, 0.0001))</f>
        <v>0.01</v>
      </c>
      <c r="B29" s="418" t="n">
        <f aca="false">B28+pas</f>
        <v>0.25</v>
      </c>
      <c r="C29" s="402"/>
      <c r="D29" s="419" t="n">
        <f aca="false">IF(AND(L28&lt;L_rampe,Poussee&lt;Poids*SIN(M28)),0,(-W28+Poussee)/m*COS(M28)-U28/m*SIN(M28))</f>
        <v>21.9091731114782</v>
      </c>
      <c r="E29" s="420" t="n">
        <f aca="false">IF(AND(L28&lt;L_rampe,Poussee&lt;Poids*SIN(M28)),0,(-W28+Poussee)/m*SIN(M28)+U28/m*COS(M28)-Poids/m)</f>
        <v>113.088177819976</v>
      </c>
      <c r="F29" s="418" t="n">
        <f aca="false">SQRT(acc_x^2+acc_z^2)</f>
        <v>115.190919039095</v>
      </c>
      <c r="G29" s="419" t="n">
        <f aca="false">G28+acc_x*pas</f>
        <v>5.18037214675211</v>
      </c>
      <c r="H29" s="420" t="n">
        <f aca="false">H28+acc_z*pas</f>
        <v>28.9608833776815</v>
      </c>
      <c r="I29" s="418" t="n">
        <f aca="false">SQRT(vit_x^2+vit_z^2)</f>
        <v>29.4205544066476</v>
      </c>
      <c r="J29" s="419" t="n">
        <f aca="false">J28+0.5*(vit_x+G28)*pas*(K28&gt;=0)</f>
        <v>0.632052086116819</v>
      </c>
      <c r="K29" s="420" t="n">
        <f aca="false">K28+0.5*(vit_z+H28)*pas</f>
        <v>3.57657382859159</v>
      </c>
      <c r="L29" s="418" t="n">
        <f aca="false">SQRT(pos_x^2+pos_z^2)</f>
        <v>3.63199259235629</v>
      </c>
      <c r="M29" s="419" t="n">
        <f aca="false">IF(AND(L28&gt;L_rampe,G29&gt;0),ATAN2(G29,H29),$M$4)</f>
        <v>1.39379349214613</v>
      </c>
      <c r="N29" s="418" t="n">
        <f aca="false">DEGREES(Beta)</f>
        <v>79.8584846127734</v>
      </c>
      <c r="O29" s="402"/>
      <c r="P29" s="421" t="n">
        <f aca="false">MATCH(t-pas/2-T_ini,CdP_t)</f>
        <v>3</v>
      </c>
      <c r="Q29" s="418" t="n">
        <f aca="false">(INDEX(CdP,2,i_P+1)-INDEX(CdP,2,i_P+0))/(INDEX(CdP,1,i_P+1)-INDEX(CdP,1,i_P+0))*(t-pas/2-T_ini-INDEX(CdP,1,i_P+0))+INDEX(CdP,2,i_P+0)</f>
        <v>192.327586206897</v>
      </c>
      <c r="R29" s="419" t="n">
        <f aca="false">Poussee/(g*ISP)</f>
        <v>0.102077825872236</v>
      </c>
      <c r="S29" s="420" t="n">
        <f aca="false">S28-Débit*pas</f>
        <v>1.53373449292624</v>
      </c>
      <c r="T29" s="418" t="n">
        <f aca="false">m*g</f>
        <v>15.0459353756064</v>
      </c>
      <c r="U29" s="422" t="n">
        <f aca="false">IF(pos_xz&lt;L_rampe,Poids*COS(Beta),0)</f>
        <v>0</v>
      </c>
      <c r="V29" s="419" t="n">
        <f aca="false">Rho_moyen*(20000-Alt_rampe-pos_z)/(20000+Alt_rampe+pos_z)</f>
        <v>1.22456194804226</v>
      </c>
      <c r="W29" s="418" t="n">
        <f aca="false">1/2*Rho*Sref*Cx*vit_xz^2</f>
        <v>0.934331972322221</v>
      </c>
      <c r="X29" s="402"/>
      <c r="Y29" s="423" t="str">
        <f aca="false">IF(AND(pos_z&lt;=0,K28&gt;0),"Impact balistique","") &amp; IF(AND(H30&lt;0,vit_z&gt;=0),"Apogée","") &amp; IF(AND(Poussee=0,Q28&gt;0),"Fin de propulsion","") &amp; IF(AND(L30&gt;L_rampe,pos_xz&lt;=L_rampe),"Sortie de rampe","")</f>
        <v/>
      </c>
      <c r="Z29" s="424" t="str">
        <f aca="false">IF(ABS(t-T_para)&lt;pas/2,"Para","")</f>
        <v/>
      </c>
      <c r="AA29" s="425" t="str">
        <f aca="false">IF(ABS(t-T_satellite)&lt;pas/2,"Satellite","")</f>
        <v/>
      </c>
      <c r="AB29" s="413"/>
      <c r="AC29" s="421" t="e">
        <f aca="false">IF(ABS(t-ROUND(t,0))&lt;0.001,t,NA())</f>
        <v>#N/A</v>
      </c>
      <c r="AD29" s="426" t="e">
        <f aca="false">IF(ABS(t-ROUND(t,0))&lt;0.001,pos_x,NA())</f>
        <v>#N/A</v>
      </c>
      <c r="AE29" s="427" t="n">
        <f aca="false">IF(t&lt;T_para, pos_z, NA())</f>
        <v>3.57657382859159</v>
      </c>
      <c r="AF29" s="413"/>
      <c r="AG29" s="419" t="n">
        <f aca="false">IF(AND(L28&lt;L_rampe,Poussee&lt;Poids*SIN(M28)),0,(-W28+Poussee)/m-Poids*SIN(M28)/m)</f>
        <v>115.178051728264</v>
      </c>
      <c r="AH29" s="418" t="n">
        <f aca="false">IF(AND(L28&lt;L_rampe,Poussee&lt;Poids*SIN(M28)), g*SIN(M28), (-W28+Poussee)/m)</f>
        <v>124.835788049338</v>
      </c>
    </row>
    <row r="30" customFormat="false" ht="12" hidden="false" customHeight="false" outlineLevel="0" collapsed="false">
      <c r="A30" s="417" t="n">
        <f aca="false">IF(B29+0.01&lt;=T_ini+ROUNDUP(Temps_fin_propu,0), 0.01, IF(K29&gt;0, 0.1, 0.0001))</f>
        <v>0.01</v>
      </c>
      <c r="B30" s="418" t="n">
        <f aca="false">B29+pas</f>
        <v>0.26</v>
      </c>
      <c r="C30" s="402"/>
      <c r="D30" s="419" t="n">
        <f aca="false">IF(AND(L29&lt;L_rampe,Poussee&lt;Poids*SIN(M29)),0,(-W29+Poussee)/m*COS(M29)-U29/m*SIN(M29))</f>
        <v>21.8883909203709</v>
      </c>
      <c r="E30" s="420" t="n">
        <f aca="false">IF(AND(L29&lt;L_rampe,Poussee&lt;Poids*SIN(M29)),0,(-W29+Poussee)/m*SIN(M29)+U29/m*COS(M29)-Poids/m)</f>
        <v>112.557103909204</v>
      </c>
      <c r="F30" s="418" t="n">
        <f aca="false">SQRT(acc_x^2+acc_z^2)</f>
        <v>114.665615149052</v>
      </c>
      <c r="G30" s="419" t="n">
        <f aca="false">G29+acc_x*pas</f>
        <v>5.39925605595582</v>
      </c>
      <c r="H30" s="420" t="n">
        <f aca="false">H29+acc_z*pas</f>
        <v>30.0864544167735</v>
      </c>
      <c r="I30" s="418" t="n">
        <f aca="false">SQRT(vit_x^2+vit_z^2)</f>
        <v>30.5670853260557</v>
      </c>
      <c r="J30" s="419" t="n">
        <f aca="false">J29+0.5*(vit_x+G29)*pas*(K29&gt;=0)</f>
        <v>0.684950227130358</v>
      </c>
      <c r="K30" s="420" t="n">
        <f aca="false">K29+0.5*(vit_z+H29)*pas</f>
        <v>3.87181051756387</v>
      </c>
      <c r="L30" s="418" t="n">
        <f aca="false">SQRT(pos_x^2+pos_z^2)</f>
        <v>3.93192999652386</v>
      </c>
      <c r="M30" s="419" t="n">
        <f aca="false">IF(AND(L29&gt;L_rampe,G30&gt;0),ATAN2(G30,H30),$M$4)</f>
        <v>1.39322839240483</v>
      </c>
      <c r="N30" s="418" t="n">
        <f aca="false">DEGREES(Beta)</f>
        <v>79.8261067825935</v>
      </c>
      <c r="O30" s="402"/>
      <c r="P30" s="421" t="n">
        <f aca="false">MATCH(t-pas/2-T_ini,CdP_t)</f>
        <v>3</v>
      </c>
      <c r="Q30" s="418" t="n">
        <f aca="false">(INDEX(CdP,2,i_P+1)-INDEX(CdP,2,i_P+0))/(INDEX(CdP,1,i_P+1)-INDEX(CdP,1,i_P+0))*(t-pas/2-T_ini-INDEX(CdP,1,i_P+0))+INDEX(CdP,2,i_P+0)</f>
        <v>191.465517241379</v>
      </c>
      <c r="R30" s="419" t="n">
        <f aca="false">Poussee/(g*ISP)</f>
        <v>0.101620282950353</v>
      </c>
      <c r="S30" s="420" t="n">
        <f aca="false">S29-Débit*pas</f>
        <v>1.53271829009674</v>
      </c>
      <c r="T30" s="418" t="n">
        <f aca="false">m*g</f>
        <v>15.035966425849</v>
      </c>
      <c r="U30" s="422" t="n">
        <f aca="false">IF(pos_xz&lt;L_rampe,Poids*COS(Beta),0)</f>
        <v>0</v>
      </c>
      <c r="V30" s="419" t="n">
        <f aca="false">Rho_moyen*(20000-Alt_rampe-pos_z)/(20000+Alt_rampe+pos_z)</f>
        <v>1.22452579501319</v>
      </c>
      <c r="W30" s="418" t="n">
        <f aca="false">1/2*Rho*Sref*Cx*vit_xz^2</f>
        <v>1.00854374955311</v>
      </c>
      <c r="X30" s="402"/>
      <c r="Y30" s="423" t="str">
        <f aca="false">IF(AND(pos_z&lt;=0,K29&gt;0),"Impact balistique","") &amp; IF(AND(H31&lt;0,vit_z&gt;=0),"Apogée","") &amp; IF(AND(Poussee=0,Q29&gt;0),"Fin de propulsion","") &amp; IF(AND(L31&gt;L_rampe,pos_xz&lt;=L_rampe),"Sortie de rampe","")</f>
        <v/>
      </c>
      <c r="Z30" s="424" t="str">
        <f aca="false">IF(ABS(t-T_para)&lt;pas/2,"Para","")</f>
        <v/>
      </c>
      <c r="AA30" s="425" t="str">
        <f aca="false">IF(ABS(t-T_satellite)&lt;pas/2,"Satellite","")</f>
        <v/>
      </c>
      <c r="AB30" s="413"/>
      <c r="AC30" s="421" t="e">
        <f aca="false">IF(ABS(t-ROUND(t,0))&lt;0.001,t,NA())</f>
        <v>#N/A</v>
      </c>
      <c r="AD30" s="426" t="e">
        <f aca="false">IF(ABS(t-ROUND(t,0))&lt;0.001,pos_x,NA())</f>
        <v>#N/A</v>
      </c>
      <c r="AE30" s="427" t="n">
        <f aca="false">IF(t&lt;T_para, pos_z, NA())</f>
        <v>3.87181051756387</v>
      </c>
      <c r="AF30" s="413"/>
      <c r="AG30" s="419" t="n">
        <f aca="false">IF(AND(L29&lt;L_rampe,Poussee&lt;Poids*SIN(M29)),0,(-W29+Poussee)/m-Poids*SIN(M29)/m)</f>
        <v>114.652603879653</v>
      </c>
      <c r="AH30" s="418" t="n">
        <f aca="false">IF(AND(L29&lt;L_rampe,Poussee&lt;Poids*SIN(M29)), g*SIN(M29), (-W29+Poussee)/m)</f>
        <v>124.309331010222</v>
      </c>
    </row>
    <row r="31" customFormat="false" ht="12" hidden="false" customHeight="false" outlineLevel="0" collapsed="false">
      <c r="A31" s="417" t="n">
        <f aca="false">IF(B30+0.01&lt;=T_ini+ROUNDUP(Temps_fin_propu,0), 0.01, IF(K30&gt;0, 0.1, 0.0001))</f>
        <v>0.01</v>
      </c>
      <c r="B31" s="418" t="n">
        <f aca="false">B30+pas</f>
        <v>0.27</v>
      </c>
      <c r="C31" s="402"/>
      <c r="D31" s="419" t="n">
        <f aca="false">IF(AND(L30&lt;L_rampe,Poussee&lt;Poids*SIN(M30)),0,(-W30+Poussee)/m*COS(M30)-U30/m*SIN(M30))</f>
        <v>21.8640672534919</v>
      </c>
      <c r="E31" s="420" t="n">
        <f aca="false">IF(AND(L30&lt;L_rampe,Poussee&lt;Poids*SIN(M30)),0,(-W30+Poussee)/m*SIN(M30)+U30/m*COS(M30)-Poids/m)</f>
        <v>112.023870438842</v>
      </c>
      <c r="F31" s="418" t="n">
        <f aca="false">SQRT(acc_x^2+acc_z^2)</f>
        <v>114.137570435697</v>
      </c>
      <c r="G31" s="419" t="n">
        <f aca="false">G30+acc_x*pas</f>
        <v>5.61789672849074</v>
      </c>
      <c r="H31" s="420" t="n">
        <f aca="false">H30+acc_z*pas</f>
        <v>31.2066931211619</v>
      </c>
      <c r="I31" s="418" t="n">
        <f aca="false">SQRT(vit_x^2+vit_z^2)</f>
        <v>31.7083342232033</v>
      </c>
      <c r="J31" s="419" t="n">
        <f aca="false">J30+0.5*(vit_x+G30)*pas*(K30&gt;=0)</f>
        <v>0.740035991052591</v>
      </c>
      <c r="K31" s="420" t="n">
        <f aca="false">K30+0.5*(vit_z+H30)*pas</f>
        <v>4.17827625525355</v>
      </c>
      <c r="L31" s="418" t="n">
        <f aca="false">SQRT(pos_x^2+pos_z^2)</f>
        <v>4.24330599100145</v>
      </c>
      <c r="M31" s="419" t="n">
        <f aca="false">IF(AND(L30&gt;L_rampe,G31&gt;0),ATAN2(G31,H31),$M$4)</f>
        <v>1.39268191086437</v>
      </c>
      <c r="N31" s="418" t="n">
        <f aca="false">DEGREES(Beta)</f>
        <v>79.7947956967429</v>
      </c>
      <c r="O31" s="402"/>
      <c r="P31" s="421" t="n">
        <f aca="false">MATCH(t-pas/2-T_ini,CdP_t)</f>
        <v>3</v>
      </c>
      <c r="Q31" s="418" t="n">
        <f aca="false">(INDEX(CdP,2,i_P+1)-INDEX(CdP,2,i_P+0))/(INDEX(CdP,1,i_P+1)-INDEX(CdP,1,i_P+0))*(t-pas/2-T_ini-INDEX(CdP,1,i_P+0))+INDEX(CdP,2,i_P+0)</f>
        <v>190.603448275862</v>
      </c>
      <c r="R31" s="419" t="n">
        <f aca="false">Poussee/(g*ISP)</f>
        <v>0.101162740028469</v>
      </c>
      <c r="S31" s="420" t="n">
        <f aca="false">S30-Débit*pas</f>
        <v>1.53170666269645</v>
      </c>
      <c r="T31" s="418" t="n">
        <f aca="false">m*g</f>
        <v>15.0260423610522</v>
      </c>
      <c r="U31" s="422" t="n">
        <f aca="false">IF(pos_xz&lt;L_rampe,Poids*COS(Beta),0)</f>
        <v>0</v>
      </c>
      <c r="V31" s="419" t="n">
        <f aca="false">Rho_moyen*(20000-Alt_rampe-pos_z)/(20000+Alt_rampe+pos_z)</f>
        <v>1.2244882680666</v>
      </c>
      <c r="W31" s="418" t="n">
        <f aca="false">1/2*Rho*Sref*Cx*vit_xz^2</f>
        <v>1.08522609597254</v>
      </c>
      <c r="X31" s="402"/>
      <c r="Y31" s="423" t="str">
        <f aca="false">IF(AND(pos_z&lt;=0,K30&gt;0),"Impact balistique","") &amp; IF(AND(H32&lt;0,vit_z&gt;=0),"Apogée","") &amp; IF(AND(Poussee=0,Q30&gt;0),"Fin de propulsion","") &amp; IF(AND(L32&gt;L_rampe,pos_xz&lt;=L_rampe),"Sortie de rampe","")</f>
        <v/>
      </c>
      <c r="Z31" s="424" t="str">
        <f aca="false">IF(ABS(t-T_para)&lt;pas/2,"Para","")</f>
        <v/>
      </c>
      <c r="AA31" s="425" t="str">
        <f aca="false">IF(ABS(t-T_satellite)&lt;pas/2,"Satellite","")</f>
        <v/>
      </c>
      <c r="AB31" s="413"/>
      <c r="AC31" s="421" t="e">
        <f aca="false">IF(ABS(t-ROUND(t,0))&lt;0.001,t,NA())</f>
        <v>#N/A</v>
      </c>
      <c r="AD31" s="426" t="e">
        <f aca="false">IF(ABS(t-ROUND(t,0))&lt;0.001,pos_x,NA())</f>
        <v>#N/A</v>
      </c>
      <c r="AE31" s="427" t="n">
        <f aca="false">IF(t&lt;T_para, pos_z, NA())</f>
        <v>4.17827625525355</v>
      </c>
      <c r="AF31" s="413"/>
      <c r="AG31" s="419" t="n">
        <f aca="false">IF(AND(L30&lt;L_rampe,Poussee&lt;Poids*SIN(M30)),0,(-W30+Poussee)/m-Poids*SIN(M30)/m)</f>
        <v>114.124416242638</v>
      </c>
      <c r="AH31" s="418" t="n">
        <f aca="false">IF(AND(L30&lt;L_rampe,Poussee&lt;Poids*SIN(M30)), g*SIN(M30), (-W30+Poussee)/m)</f>
        <v>123.780165709106</v>
      </c>
    </row>
    <row r="32" customFormat="false" ht="12" hidden="false" customHeight="false" outlineLevel="0" collapsed="false">
      <c r="A32" s="417" t="n">
        <f aca="false">IF(B31+0.01&lt;=T_ini+ROUNDUP(Temps_fin_propu,0), 0.01, IF(K31&gt;0, 0.1, 0.0001))</f>
        <v>0.01</v>
      </c>
      <c r="B32" s="418" t="n">
        <f aca="false">B31+pas</f>
        <v>0.28</v>
      </c>
      <c r="C32" s="402"/>
      <c r="D32" s="419" t="n">
        <f aca="false">IF(AND(L31&lt;L_rampe,Poussee&lt;Poids*SIN(M31)),0,(-W31+Poussee)/m*COS(M31)-U31/m*SIN(M31))</f>
        <v>21.8364143841037</v>
      </c>
      <c r="E32" s="420" t="n">
        <f aca="false">IF(AND(L31&lt;L_rampe,Poussee&lt;Poids*SIN(M31)),0,(-W31+Poussee)/m*SIN(M31)+U31/m*COS(M31)-Poids/m)</f>
        <v>111.488470848595</v>
      </c>
      <c r="F32" s="418" t="n">
        <f aca="false">SQRT(acc_x^2+acc_z^2)</f>
        <v>113.606813727489</v>
      </c>
      <c r="G32" s="419" t="n">
        <f aca="false">G31+acc_x*pas</f>
        <v>5.83626087233177</v>
      </c>
      <c r="H32" s="420" t="n">
        <f aca="false">H31+acc_z*pas</f>
        <v>32.3215778296479</v>
      </c>
      <c r="I32" s="418" t="n">
        <f aca="false">SQRT(vit_x^2+vit_z^2)</f>
        <v>32.8442739966634</v>
      </c>
      <c r="J32" s="419" t="n">
        <f aca="false">J31+0.5*(vit_x+G31)*pas*(K31&gt;=0)</f>
        <v>0.797306779056704</v>
      </c>
      <c r="K32" s="420" t="n">
        <f aca="false">K31+0.5*(vit_z+H31)*pas</f>
        <v>4.4959176100076</v>
      </c>
      <c r="L32" s="418" t="n">
        <f aca="false">SQRT(pos_x^2+pos_z^2)</f>
        <v>4.56606759213069</v>
      </c>
      <c r="M32" s="419" t="n">
        <f aca="false">IF(AND(L31&gt;L_rampe,G32&gt;0),ATAN2(G32,H32),$M$4)</f>
        <v>1.39215272323243</v>
      </c>
      <c r="N32" s="418" t="n">
        <f aca="false">DEGREES(Beta)</f>
        <v>79.7644754788621</v>
      </c>
      <c r="O32" s="402"/>
      <c r="P32" s="421" t="n">
        <f aca="false">MATCH(t-pas/2-T_ini,CdP_t)</f>
        <v>3</v>
      </c>
      <c r="Q32" s="418" t="n">
        <f aca="false">(INDEX(CdP,2,i_P+1)-INDEX(CdP,2,i_P+0))/(INDEX(CdP,1,i_P+1)-INDEX(CdP,1,i_P+0))*(t-pas/2-T_ini-INDEX(CdP,1,i_P+0))+INDEX(CdP,2,i_P+0)</f>
        <v>189.741379310345</v>
      </c>
      <c r="R32" s="419" t="n">
        <f aca="false">Poussee/(g*ISP)</f>
        <v>0.100705197106585</v>
      </c>
      <c r="S32" s="420" t="n">
        <f aca="false">S31-Débit*pas</f>
        <v>1.53069961072539</v>
      </c>
      <c r="T32" s="418" t="n">
        <f aca="false">m*g</f>
        <v>15.016163181216</v>
      </c>
      <c r="U32" s="422" t="n">
        <f aca="false">IF(pos_xz&lt;L_rampe,Poids*COS(Beta),0)</f>
        <v>0</v>
      </c>
      <c r="V32" s="419" t="n">
        <f aca="false">Rho_moyen*(20000-Alt_rampe-pos_z)/(20000+Alt_rampe+pos_z)</f>
        <v>1.22444937387126</v>
      </c>
      <c r="W32" s="418" t="n">
        <f aca="false">1/2*Rho*Sref*Cx*vit_xz^2</f>
        <v>1.16433757218283</v>
      </c>
      <c r="X32" s="402"/>
      <c r="Y32" s="423" t="str">
        <f aca="false">IF(AND(pos_z&lt;=0,K31&gt;0),"Impact balistique","") &amp; IF(AND(H33&lt;0,vit_z&gt;=0),"Apogée","") &amp; IF(AND(Poussee=0,Q31&gt;0),"Fin de propulsion","") &amp; IF(AND(L33&gt;L_rampe,pos_xz&lt;=L_rampe),"Sortie de rampe","")</f>
        <v/>
      </c>
      <c r="Z32" s="424" t="str">
        <f aca="false">IF(ABS(t-T_para)&lt;pas/2,"Para","")</f>
        <v/>
      </c>
      <c r="AA32" s="425" t="str">
        <f aca="false">IF(ABS(t-T_satellite)&lt;pas/2,"Satellite","")</f>
        <v/>
      </c>
      <c r="AB32" s="413"/>
      <c r="AC32" s="421" t="e">
        <f aca="false">IF(ABS(t-ROUND(t,0))&lt;0.001,t,NA())</f>
        <v>#N/A</v>
      </c>
      <c r="AD32" s="426" t="e">
        <f aca="false">IF(ABS(t-ROUND(t,0))&lt;0.001,pos_x,NA())</f>
        <v>#N/A</v>
      </c>
      <c r="AE32" s="427" t="n">
        <f aca="false">IF(t&lt;T_para, pos_z, NA())</f>
        <v>4.4959176100076</v>
      </c>
      <c r="AF32" s="413"/>
      <c r="AG32" s="419" t="n">
        <f aca="false">IF(AND(L31&lt;L_rampe,Poussee&lt;Poids*SIN(M31)),0,(-W31+Poussee)/m-Poids*SIN(M31)/m)</f>
        <v>113.593517461236</v>
      </c>
      <c r="AH32" s="418" t="n">
        <f aca="false">IF(AND(L31&lt;L_rampe,Poussee&lt;Poids*SIN(M31)), g*SIN(M31), (-W31+Poussee)/m)</f>
        <v>123.248318541722</v>
      </c>
    </row>
    <row r="33" customFormat="false" ht="12" hidden="false" customHeight="false" outlineLevel="0" collapsed="false">
      <c r="A33" s="417" t="n">
        <f aca="false">IF(B32+0.01&lt;=T_ini+ROUNDUP(Temps_fin_propu,0), 0.01, IF(K32&gt;0, 0.1, 0.0001))</f>
        <v>0.01</v>
      </c>
      <c r="B33" s="418" t="n">
        <f aca="false">B32+pas</f>
        <v>0.29</v>
      </c>
      <c r="C33" s="402"/>
      <c r="D33" s="419" t="n">
        <f aca="false">IF(AND(L32&lt;L_rampe,Poussee&lt;Poids*SIN(M32)),0,(-W32+Poussee)/m*COS(M32)-U32/m*SIN(M32))</f>
        <v>21.805622597051</v>
      </c>
      <c r="E33" s="420" t="n">
        <f aca="false">IF(AND(L32&lt;L_rampe,Poussee&lt;Poids*SIN(M32)),0,(-W32+Poussee)/m*SIN(M32)+U32/m*COS(M32)-Poids/m)</f>
        <v>110.950902110417</v>
      </c>
      <c r="F33" s="418" t="n">
        <f aca="false">SQRT(acc_x^2+acc_z^2)</f>
        <v>113.073373771018</v>
      </c>
      <c r="G33" s="419" t="n">
        <f aca="false">G32+acc_x*pas</f>
        <v>6.05431709830228</v>
      </c>
      <c r="H33" s="420" t="n">
        <f aca="false">H32+acc_z*pas</f>
        <v>33.4310868507521</v>
      </c>
      <c r="I33" s="418" t="n">
        <f aca="false">SQRT(vit_x^2+vit_z^2)</f>
        <v>33.9748778297925</v>
      </c>
      <c r="J33" s="419" t="n">
        <f aca="false">J32+0.5*(vit_x+G32)*pas*(K32&gt;=0)</f>
        <v>0.856759668909874</v>
      </c>
      <c r="K33" s="420" t="n">
        <f aca="false">K32+0.5*(vit_z+H32)*pas</f>
        <v>4.8246809334096</v>
      </c>
      <c r="L33" s="418" t="n">
        <f aca="false">SQRT(pos_x^2+pos_z^2)</f>
        <v>4.90016155238546</v>
      </c>
      <c r="M33" s="419" t="n">
        <f aca="false">IF(AND(L32&gt;L_rampe,G33&gt;0),ATAN2(G33,H33),$M$4)</f>
        <v>1.39163964197288</v>
      </c>
      <c r="N33" s="418" t="n">
        <f aca="false">DEGREES(Beta)</f>
        <v>79.7350780881428</v>
      </c>
      <c r="O33" s="402"/>
      <c r="P33" s="421" t="n">
        <f aca="false">MATCH(t-pas/2-T_ini,CdP_t)</f>
        <v>3</v>
      </c>
      <c r="Q33" s="418" t="n">
        <f aca="false">(INDEX(CdP,2,i_P+1)-INDEX(CdP,2,i_P+0))/(INDEX(CdP,1,i_P+1)-INDEX(CdP,1,i_P+0))*(t-pas/2-T_ini-INDEX(CdP,1,i_P+0))+INDEX(CdP,2,i_P+0)</f>
        <v>188.879310344828</v>
      </c>
      <c r="R33" s="419" t="n">
        <f aca="false">Poussee/(g*ISP)</f>
        <v>0.100247654184702</v>
      </c>
      <c r="S33" s="420" t="n">
        <f aca="false">S32-Débit*pas</f>
        <v>1.52969713418354</v>
      </c>
      <c r="T33" s="418" t="n">
        <f aca="false">m*g</f>
        <v>15.0063288863405</v>
      </c>
      <c r="U33" s="422" t="n">
        <f aca="false">IF(pos_xz&lt;L_rampe,Poids*COS(Beta),0)</f>
        <v>0</v>
      </c>
      <c r="V33" s="419" t="n">
        <f aca="false">Rho_moyen*(20000-Alt_rampe-pos_z)/(20000+Alt_rampe+pos_z)</f>
        <v>1.22440911912624</v>
      </c>
      <c r="W33" s="418" t="n">
        <f aca="false">1/2*Rho*Sref*Cx*vit_xz^2</f>
        <v>1.24583666629495</v>
      </c>
      <c r="X33" s="402"/>
      <c r="Y33" s="423" t="str">
        <f aca="false">IF(AND(pos_z&lt;=0,K32&gt;0),"Impact balistique","") &amp; IF(AND(H34&lt;0,vit_z&gt;=0),"Apogée","") &amp; IF(AND(Poussee=0,Q32&gt;0),"Fin de propulsion","") &amp; IF(AND(L34&gt;L_rampe,pos_xz&lt;=L_rampe),"Sortie de rampe","")</f>
        <v/>
      </c>
      <c r="Z33" s="424" t="str">
        <f aca="false">IF(ABS(t-T_para)&lt;pas/2,"Para","")</f>
        <v/>
      </c>
      <c r="AA33" s="425" t="str">
        <f aca="false">IF(ABS(t-T_satellite)&lt;pas/2,"Satellite","")</f>
        <v/>
      </c>
      <c r="AB33" s="413"/>
      <c r="AC33" s="421" t="e">
        <f aca="false">IF(ABS(t-ROUND(t,0))&lt;0.001,t,NA())</f>
        <v>#N/A</v>
      </c>
      <c r="AD33" s="426" t="e">
        <f aca="false">IF(ABS(t-ROUND(t,0))&lt;0.001,pos_x,NA())</f>
        <v>#N/A</v>
      </c>
      <c r="AE33" s="427" t="n">
        <f aca="false">IF(t&lt;T_para, pos_z, NA())</f>
        <v>4.8246809334096</v>
      </c>
      <c r="AF33" s="413"/>
      <c r="AG33" s="419" t="n">
        <f aca="false">IF(AND(L32&lt;L_rampe,Poussee&lt;Poids*SIN(M32)),0,(-W32+Poussee)/m-Poids*SIN(M32)/m)</f>
        <v>113.059936114548</v>
      </c>
      <c r="AH33" s="418" t="n">
        <f aca="false">IF(AND(L32&lt;L_rampe,Poussee&lt;Poids*SIN(M32)), g*SIN(M32), (-W32+Poussee)/m)</f>
        <v>122.713816073687</v>
      </c>
    </row>
    <row r="34" customFormat="false" ht="12" hidden="false" customHeight="false" outlineLevel="0" collapsed="false">
      <c r="A34" s="417" t="n">
        <f aca="false">IF(B33+0.01&lt;=T_ini+ROUNDUP(Temps_fin_propu,0), 0.01, IF(K33&gt;0, 0.1, 0.0001))</f>
        <v>0.01</v>
      </c>
      <c r="B34" s="418" t="n">
        <f aca="false">B33+pas</f>
        <v>0.3</v>
      </c>
      <c r="C34" s="402"/>
      <c r="D34" s="419" t="n">
        <f aca="false">IF(AND(L33&lt;L_rampe,Poussee&lt;Poids*SIN(M33)),0,(-W33+Poussee)/m*COS(M33)-U33/m*SIN(M33))</f>
        <v>21.7718632258357</v>
      </c>
      <c r="E34" s="420" t="n">
        <f aca="false">IF(AND(L33&lt;L_rampe,Poussee&lt;Poids*SIN(M33)),0,(-W33+Poussee)/m*SIN(M33)+U33/m*COS(M33)-Poids/m)</f>
        <v>110.411164268008</v>
      </c>
      <c r="F34" s="418" t="n">
        <f aca="false">SQRT(acc_x^2+acc_z^2)</f>
        <v>112.537279260436</v>
      </c>
      <c r="G34" s="419" t="n">
        <f aca="false">G33+acc_x*pas</f>
        <v>6.27203573056064</v>
      </c>
      <c r="H34" s="420" t="n">
        <f aca="false">H33+acc_z*pas</f>
        <v>34.5351984934321</v>
      </c>
      <c r="I34" s="418" t="n">
        <f aca="false">SQRT(vit_x^2+vit_z^2)</f>
        <v>35.100119190484</v>
      </c>
      <c r="J34" s="419" t="n">
        <f aca="false">J33+0.5*(vit_x+G33)*pas*(K33&gt;=0)</f>
        <v>0.918391433054189</v>
      </c>
      <c r="K34" s="420" t="n">
        <f aca="false">K33+0.5*(vit_z+H33)*pas</f>
        <v>5.16451236013052</v>
      </c>
      <c r="L34" s="418" t="n">
        <f aca="false">SQRT(pos_x^2+pos_z^2)</f>
        <v>5.2455343619357</v>
      </c>
      <c r="M34" s="419" t="n">
        <f aca="false">IF(AND(L33&gt;L_rampe,G34&gt;0),ATAN2(G34,H34),$M$4)</f>
        <v>1.39114159799402</v>
      </c>
      <c r="N34" s="418" t="n">
        <f aca="false">DEGREES(Beta)</f>
        <v>79.7065422701424</v>
      </c>
      <c r="O34" s="402"/>
      <c r="P34" s="421" t="n">
        <f aca="false">MATCH(t-pas/2-T_ini,CdP_t)</f>
        <v>3</v>
      </c>
      <c r="Q34" s="418" t="n">
        <f aca="false">(INDEX(CdP,2,i_P+1)-INDEX(CdP,2,i_P+0))/(INDEX(CdP,1,i_P+1)-INDEX(CdP,1,i_P+0))*(t-pas/2-T_ini-INDEX(CdP,1,i_P+0))+INDEX(CdP,2,i_P+0)</f>
        <v>188.01724137931</v>
      </c>
      <c r="R34" s="419" t="n">
        <f aca="false">Poussee/(g*ISP)</f>
        <v>0.0997901112628182</v>
      </c>
      <c r="S34" s="420" t="n">
        <f aca="false">S33-Débit*pas</f>
        <v>1.52869923307091</v>
      </c>
      <c r="T34" s="418" t="n">
        <f aca="false">m*g</f>
        <v>14.9965394764256</v>
      </c>
      <c r="U34" s="422" t="n">
        <f aca="false">IF(pos_xz&lt;L_rampe,Poids*COS(Beta),0)</f>
        <v>0</v>
      </c>
      <c r="V34" s="419" t="n">
        <f aca="false">Rho_moyen*(20000-Alt_rampe-pos_z)/(20000+Alt_rampe+pos_z)</f>
        <v>1.22436751056086</v>
      </c>
      <c r="W34" s="418" t="n">
        <f aca="false">1/2*Rho*Sref*Cx*vit_xz^2</f>
        <v>1.32968180109079</v>
      </c>
      <c r="X34" s="402"/>
      <c r="Y34" s="423" t="str">
        <f aca="false">IF(AND(pos_z&lt;=0,K33&gt;0),"Impact balistique","") &amp; IF(AND(H35&lt;0,vit_z&gt;=0),"Apogée","") &amp; IF(AND(Poussee=0,Q33&gt;0),"Fin de propulsion","") &amp; IF(AND(L35&gt;L_rampe,pos_xz&lt;=L_rampe),"Sortie de rampe","")</f>
        <v/>
      </c>
      <c r="Z34" s="424" t="str">
        <f aca="false">IF(ABS(t-T_para)&lt;pas/2,"Para","")</f>
        <v/>
      </c>
      <c r="AA34" s="425" t="str">
        <f aca="false">IF(ABS(t-T_satellite)&lt;pas/2,"Satellite","")</f>
        <v/>
      </c>
      <c r="AB34" s="413"/>
      <c r="AC34" s="421" t="e">
        <f aca="false">IF(ABS(t-ROUND(t,0))&lt;0.001,t,NA())</f>
        <v>#N/A</v>
      </c>
      <c r="AD34" s="426" t="e">
        <f aca="false">IF(ABS(t-ROUND(t,0))&lt;0.001,pos_x,NA())</f>
        <v>#N/A</v>
      </c>
      <c r="AE34" s="427" t="n">
        <f aca="false">IF(t&lt;T_para, pos_z, NA())</f>
        <v>5.16451236013052</v>
      </c>
      <c r="AF34" s="413"/>
      <c r="AG34" s="419" t="n">
        <f aca="false">IF(AND(L33&lt;L_rampe,Poussee&lt;Poids*SIN(M33)),0,(-W33+Poussee)/m-Poids*SIN(M33)/m)</f>
        <v>112.523700743793</v>
      </c>
      <c r="AH34" s="418" t="n">
        <f aca="false">IF(AND(L33&lt;L_rampe,Poussee&lt;Poids*SIN(M33)), g*SIN(M33), (-W33+Poussee)/m)</f>
        <v>122.176685035566</v>
      </c>
    </row>
    <row r="35" customFormat="false" ht="12" hidden="false" customHeight="false" outlineLevel="0" collapsed="false">
      <c r="A35" s="417" t="n">
        <f aca="false">IF(B34+0.01&lt;=T_ini+ROUNDUP(Temps_fin_propu,0), 0.01, IF(K34&gt;0, 0.1, 0.0001))</f>
        <v>0.01</v>
      </c>
      <c r="B35" s="418" t="n">
        <f aca="false">B34+pas</f>
        <v>0.31</v>
      </c>
      <c r="C35" s="402"/>
      <c r="D35" s="419" t="n">
        <f aca="false">IF(AND(L34&lt;L_rampe,Poussee&lt;Poids*SIN(M34)),0,(-W34+Poussee)/m*COS(M34)-U34/m*SIN(M34))</f>
        <v>21.7352911810437</v>
      </c>
      <c r="E35" s="420" t="n">
        <f aca="false">IF(AND(L34&lt;L_rampe,Poussee&lt;Poids*SIN(M34)),0,(-W34+Poussee)/m*SIN(M34)+U34/m*COS(M34)-Poids/m)</f>
        <v>109.869260051472</v>
      </c>
      <c r="F35" s="418" t="n">
        <f aca="false">SQRT(acc_x^2+acc_z^2)</f>
        <v>111.998558861187</v>
      </c>
      <c r="G35" s="419" t="n">
        <f aca="false">G34+acc_x*pas</f>
        <v>6.48938864237108</v>
      </c>
      <c r="H35" s="420" t="n">
        <f aca="false">H34+acc_z*pas</f>
        <v>35.6338910939469</v>
      </c>
      <c r="I35" s="418" t="n">
        <f aca="false">SQRT(vit_x^2+vit_z^2)</f>
        <v>36.2199718311183</v>
      </c>
      <c r="J35" s="419" t="n">
        <f aca="false">J34+0.5*(vit_x+G34)*pas*(K34&gt;=0)</f>
        <v>0.982198554918847</v>
      </c>
      <c r="K35" s="420" t="n">
        <f aca="false">K34+0.5*(vit_z+H34)*pas</f>
        <v>5.51535780806741</v>
      </c>
      <c r="L35" s="418" t="n">
        <f aca="false">SQRT(pos_x^2+pos_z^2)</f>
        <v>5.60213225051809</v>
      </c>
      <c r="M35" s="419" t="n">
        <f aca="false">IF(AND(L34&gt;L_rampe,G35&gt;0),ATAN2(G35,H35),$M$4)</f>
        <v>1.39065762531176</v>
      </c>
      <c r="N35" s="418" t="n">
        <f aca="false">DEGREES(Beta)</f>
        <v>79.6788126780492</v>
      </c>
      <c r="O35" s="402"/>
      <c r="P35" s="421" t="n">
        <f aca="false">MATCH(t-pas/2-T_ini,CdP_t)</f>
        <v>3</v>
      </c>
      <c r="Q35" s="418" t="n">
        <f aca="false">(INDEX(CdP,2,i_P+1)-INDEX(CdP,2,i_P+0))/(INDEX(CdP,1,i_P+1)-INDEX(CdP,1,i_P+0))*(t-pas/2-T_ini-INDEX(CdP,1,i_P+0))+INDEX(CdP,2,i_P+0)</f>
        <v>187.155172413793</v>
      </c>
      <c r="R35" s="419" t="n">
        <f aca="false">Poussee/(g*ISP)</f>
        <v>0.0993325683409346</v>
      </c>
      <c r="S35" s="420" t="n">
        <f aca="false">S34-Débit*pas</f>
        <v>1.5277059073875</v>
      </c>
      <c r="T35" s="418" t="n">
        <f aca="false">m*g</f>
        <v>14.9867949514714</v>
      </c>
      <c r="U35" s="422" t="n">
        <f aca="false">IF(pos_xz&lt;L_rampe,Poids*COS(Beta),0)</f>
        <v>0</v>
      </c>
      <c r="V35" s="419" t="n">
        <f aca="false">Rho_moyen*(20000-Alt_rampe-pos_z)/(20000+Alt_rampe+pos_z)</f>
        <v>1.22432455493457</v>
      </c>
      <c r="W35" s="418" t="n">
        <f aca="false">1/2*Rho*Sref*Cx*vit_xz^2</f>
        <v>1.41583134115949</v>
      </c>
      <c r="X35" s="402"/>
      <c r="Y35" s="423" t="str">
        <f aca="false">IF(AND(pos_z&lt;=0,K34&gt;0),"Impact balistique","") &amp; IF(AND(H36&lt;0,vit_z&gt;=0),"Apogée","") &amp; IF(AND(Poussee=0,Q34&gt;0),"Fin de propulsion","") &amp; IF(AND(L36&gt;L_rampe,pos_xz&lt;=L_rampe),"Sortie de rampe","")</f>
        <v/>
      </c>
      <c r="Z35" s="424" t="str">
        <f aca="false">IF(ABS(t-T_para)&lt;pas/2,"Para","")</f>
        <v/>
      </c>
      <c r="AA35" s="425" t="str">
        <f aca="false">IF(ABS(t-T_satellite)&lt;pas/2,"Satellite","")</f>
        <v/>
      </c>
      <c r="AB35" s="413"/>
      <c r="AC35" s="421" t="e">
        <f aca="false">IF(ABS(t-ROUND(t,0))&lt;0.001,t,NA())</f>
        <v>#N/A</v>
      </c>
      <c r="AD35" s="426" t="e">
        <f aca="false">IF(ABS(t-ROUND(t,0))&lt;0.001,pos_x,NA())</f>
        <v>#N/A</v>
      </c>
      <c r="AE35" s="427" t="n">
        <f aca="false">IF(t&lt;T_para, pos_z, NA())</f>
        <v>5.51535780806741</v>
      </c>
      <c r="AF35" s="413"/>
      <c r="AG35" s="419" t="n">
        <f aca="false">IF(AND(L34&lt;L_rampe,Poussee&lt;Poids*SIN(M34)),0,(-W34+Poussee)/m-Poids*SIN(M34)/m)</f>
        <v>111.98483987403</v>
      </c>
      <c r="AH35" s="418" t="n">
        <f aca="false">IF(AND(L34&lt;L_rampe,Poussee&lt;Poids*SIN(M34)), g*SIN(M34), (-W34+Poussee)/m)</f>
        <v>121.636952317923</v>
      </c>
    </row>
    <row r="36" customFormat="false" ht="12" hidden="false" customHeight="false" outlineLevel="0" collapsed="false">
      <c r="A36" s="417" t="n">
        <f aca="false">IF(B35+0.01&lt;=T_ini+ROUNDUP(Temps_fin_propu,0), 0.01, IF(K35&gt;0, 0.1, 0.0001))</f>
        <v>0.01</v>
      </c>
      <c r="B36" s="418" t="n">
        <f aca="false">B35+pas</f>
        <v>0.32</v>
      </c>
      <c r="C36" s="402"/>
      <c r="D36" s="419" t="n">
        <f aca="false">IF(AND(L35&lt;L_rampe,Poussee&lt;Poids*SIN(M35)),0,(-W35+Poussee)/m*COS(M35)-U35/m*SIN(M35))</f>
        <v>21.6960470693007</v>
      </c>
      <c r="E36" s="420" t="n">
        <f aca="false">IF(AND(L35&lt;L_rampe,Poussee&lt;Poids*SIN(M35)),0,(-W35+Poussee)/m*SIN(M35)+U35/m*COS(M35)-Poids/m)</f>
        <v>109.325194552645</v>
      </c>
      <c r="F36" s="418" t="n">
        <f aca="false">SQRT(acc_x^2+acc_z^2)</f>
        <v>111.457241229124</v>
      </c>
      <c r="G36" s="419" t="n">
        <f aca="false">G35+acc_x*pas</f>
        <v>6.70634911306408</v>
      </c>
      <c r="H36" s="420" t="n">
        <f aca="false">H35+acc_z*pas</f>
        <v>36.7271430394733</v>
      </c>
      <c r="I36" s="418" t="n">
        <f aca="false">SQRT(vit_x^2+vit_z^2)</f>
        <v>37.3344097886685</v>
      </c>
      <c r="J36" s="419" t="n">
        <f aca="false">J35+0.5*(vit_x+G35)*pas*(K35&gt;=0)</f>
        <v>1.04817724369602</v>
      </c>
      <c r="K36" s="420" t="n">
        <f aca="false">K35+0.5*(vit_z+H35)*pas</f>
        <v>5.87716297873451</v>
      </c>
      <c r="L36" s="418" t="n">
        <f aca="false">SQRT(pos_x^2+pos_z^2)</f>
        <v>5.96990118953486</v>
      </c>
      <c r="M36" s="419" t="n">
        <f aca="false">IF(AND(L35&gt;L_rampe,G36&gt;0),ATAN2(G36,H36),$M$4)</f>
        <v>1.39018684812482</v>
      </c>
      <c r="N36" s="418" t="n">
        <f aca="false">DEGREES(Beta)</f>
        <v>79.6518391321468</v>
      </c>
      <c r="O36" s="402"/>
      <c r="P36" s="421" t="n">
        <f aca="false">MATCH(t-pas/2-T_ini,CdP_t)</f>
        <v>3</v>
      </c>
      <c r="Q36" s="418" t="n">
        <f aca="false">(INDEX(CdP,2,i_P+1)-INDEX(CdP,2,i_P+0))/(INDEX(CdP,1,i_P+1)-INDEX(CdP,1,i_P+0))*(t-pas/2-T_ini-INDEX(CdP,1,i_P+0))+INDEX(CdP,2,i_P+0)</f>
        <v>186.293103448276</v>
      </c>
      <c r="R36" s="419" t="n">
        <f aca="false">Poussee/(g*ISP)</f>
        <v>0.098875025419051</v>
      </c>
      <c r="S36" s="420" t="n">
        <f aca="false">S35-Débit*pas</f>
        <v>1.52671715713331</v>
      </c>
      <c r="T36" s="418" t="n">
        <f aca="false">m*g</f>
        <v>14.9770953114778</v>
      </c>
      <c r="U36" s="422" t="n">
        <f aca="false">IF(pos_xz&lt;L_rampe,Poids*COS(Beta),0)</f>
        <v>0</v>
      </c>
      <c r="V36" s="419" t="n">
        <f aca="false">Rho_moyen*(20000-Alt_rampe-pos_z)/(20000+Alt_rampe+pos_z)</f>
        <v>1.22428025903685</v>
      </c>
      <c r="W36" s="418" t="n">
        <f aca="false">1/2*Rho*Sref*Cx*vit_xz^2</f>
        <v>1.50424360000705</v>
      </c>
      <c r="X36" s="402"/>
      <c r="Y36" s="423" t="str">
        <f aca="false">IF(AND(pos_z&lt;=0,K35&gt;0),"Impact balistique","") &amp; IF(AND(H37&lt;0,vit_z&gt;=0),"Apogée","") &amp; IF(AND(Poussee=0,Q35&gt;0),"Fin de propulsion","") &amp; IF(AND(L37&gt;L_rampe,pos_xz&lt;=L_rampe),"Sortie de rampe","")</f>
        <v/>
      </c>
      <c r="Z36" s="424" t="str">
        <f aca="false">IF(ABS(t-T_para)&lt;pas/2,"Para","")</f>
        <v/>
      </c>
      <c r="AA36" s="425" t="str">
        <f aca="false">IF(ABS(t-T_satellite)&lt;pas/2,"Satellite","")</f>
        <v/>
      </c>
      <c r="AB36" s="413"/>
      <c r="AC36" s="421" t="e">
        <f aca="false">IF(ABS(t-ROUND(t,0))&lt;0.001,t,NA())</f>
        <v>#N/A</v>
      </c>
      <c r="AD36" s="426" t="e">
        <f aca="false">IF(ABS(t-ROUND(t,0))&lt;0.001,pos_x,NA())</f>
        <v>#N/A</v>
      </c>
      <c r="AE36" s="427" t="n">
        <f aca="false">IF(t&lt;T_para, pos_z, NA())</f>
        <v>5.87716297873451</v>
      </c>
      <c r="AF36" s="413"/>
      <c r="AG36" s="419" t="n">
        <f aca="false">IF(AND(L35&lt;L_rampe,Poussee&lt;Poids*SIN(M35)),0,(-W35+Poussee)/m-Poids*SIN(M35)/m)</f>
        <v>111.443382031608</v>
      </c>
      <c r="AH36" s="418" t="n">
        <f aca="false">IF(AND(L35&lt;L_rampe,Poussee&lt;Poids*SIN(M35)), g*SIN(M35), (-W35+Poussee)/m)</f>
        <v>121.094644966365</v>
      </c>
    </row>
    <row r="37" customFormat="false" ht="12" hidden="false" customHeight="false" outlineLevel="0" collapsed="false">
      <c r="A37" s="417" t="n">
        <f aca="false">IF(B36+0.01&lt;=T_ini+ROUNDUP(Temps_fin_propu,0), 0.01, IF(K36&gt;0, 0.1, 0.0001))</f>
        <v>0.01</v>
      </c>
      <c r="B37" s="418" t="n">
        <f aca="false">B36+pas</f>
        <v>0.33</v>
      </c>
      <c r="C37" s="402"/>
      <c r="D37" s="419" t="n">
        <f aca="false">IF(AND(L36&lt;L_rampe,Poussee&lt;Poids*SIN(M36)),0,(-W36+Poussee)/m*COS(M36)-U36/m*SIN(M36))</f>
        <v>21.6542589800392</v>
      </c>
      <c r="E37" s="420" t="n">
        <f aca="false">IF(AND(L36&lt;L_rampe,Poussee&lt;Poids*SIN(M36)),0,(-W36+Poussee)/m*SIN(M36)+U36/m*COS(M36)-Poids/m)</f>
        <v>108.77897494979</v>
      </c>
      <c r="F37" s="418" t="n">
        <f aca="false">SQRT(acc_x^2+acc_z^2)</f>
        <v>110.913355025901</v>
      </c>
      <c r="G37" s="419" t="n">
        <f aca="false">G36+acc_x*pas</f>
        <v>6.92289170286447</v>
      </c>
      <c r="H37" s="420" t="n">
        <f aca="false">H36+acc_z*pas</f>
        <v>37.8149327889712</v>
      </c>
      <c r="I37" s="418" t="n">
        <f aca="false">SQRT(vit_x^2+vit_z^2)</f>
        <v>38.443407384934</v>
      </c>
      <c r="J37" s="419" t="n">
        <f aca="false">J36+0.5*(vit_x+G36)*pas*(K36&gt;=0)</f>
        <v>1.11632344777567</v>
      </c>
      <c r="K37" s="420" t="n">
        <f aca="false">K36+0.5*(vit_z+H36)*pas</f>
        <v>6.24987335787673</v>
      </c>
      <c r="L37" s="418" t="n">
        <f aca="false">SQRT(pos_x^2+pos_z^2)</f>
        <v>6.34878689432486</v>
      </c>
      <c r="M37" s="419" t="n">
        <f aca="false">IF(AND(L36&gt;L_rampe,G37&gt;0),ATAN2(G37,H37),$M$4)</f>
        <v>1.3897284698598</v>
      </c>
      <c r="N37" s="418" t="n">
        <f aca="false">DEGREES(Beta)</f>
        <v>79.6255759921403</v>
      </c>
      <c r="O37" s="402"/>
      <c r="P37" s="421" t="n">
        <f aca="false">MATCH(t-pas/2-T_ini,CdP_t)</f>
        <v>3</v>
      </c>
      <c r="Q37" s="418" t="n">
        <f aca="false">(INDEX(CdP,2,i_P+1)-INDEX(CdP,2,i_P+0))/(INDEX(CdP,1,i_P+1)-INDEX(CdP,1,i_P+0))*(t-pas/2-T_ini-INDEX(CdP,1,i_P+0))+INDEX(CdP,2,i_P+0)</f>
        <v>185.431034482759</v>
      </c>
      <c r="R37" s="419" t="n">
        <f aca="false">Poussee/(g*ISP)</f>
        <v>0.0984174824971674</v>
      </c>
      <c r="S37" s="420" t="n">
        <f aca="false">S36-Débit*pas</f>
        <v>1.52573298230834</v>
      </c>
      <c r="T37" s="418" t="n">
        <f aca="false">m*g</f>
        <v>14.9674405564448</v>
      </c>
      <c r="U37" s="422" t="n">
        <f aca="false">IF(pos_xz&lt;L_rampe,Poids*COS(Beta),0)</f>
        <v>0</v>
      </c>
      <c r="V37" s="419" t="n">
        <f aca="false">Rho_moyen*(20000-Alt_rampe-pos_z)/(20000+Alt_rampe+pos_z)</f>
        <v>1.22423462968704</v>
      </c>
      <c r="W37" s="418" t="n">
        <f aca="false">1/2*Rho*Sref*Cx*vit_xz^2</f>
        <v>1.59487684713861</v>
      </c>
      <c r="X37" s="402"/>
      <c r="Y37" s="423" t="str">
        <f aca="false">IF(AND(pos_z&lt;=0,K36&gt;0),"Impact balistique","") &amp; IF(AND(H38&lt;0,vit_z&gt;=0),"Apogée","") &amp; IF(AND(Poussee=0,Q36&gt;0),"Fin de propulsion","") &amp; IF(AND(L38&gt;L_rampe,pos_xz&lt;=L_rampe),"Sortie de rampe","")</f>
        <v/>
      </c>
      <c r="Z37" s="424" t="str">
        <f aca="false">IF(ABS(t-T_para)&lt;pas/2,"Para","")</f>
        <v/>
      </c>
      <c r="AA37" s="425" t="str">
        <f aca="false">IF(ABS(t-T_satellite)&lt;pas/2,"Satellite","")</f>
        <v/>
      </c>
      <c r="AB37" s="413"/>
      <c r="AC37" s="421" t="e">
        <f aca="false">IF(ABS(t-ROUND(t,0))&lt;0.001,t,NA())</f>
        <v>#N/A</v>
      </c>
      <c r="AD37" s="426" t="e">
        <f aca="false">IF(ABS(t-ROUND(t,0))&lt;0.001,pos_x,NA())</f>
        <v>#N/A</v>
      </c>
      <c r="AE37" s="427" t="n">
        <f aca="false">IF(t&lt;T_para, pos_z, NA())</f>
        <v>6.24987335787673</v>
      </c>
      <c r="AF37" s="413"/>
      <c r="AG37" s="419" t="n">
        <f aca="false">IF(AND(L36&lt;L_rampe,Poussee&lt;Poids*SIN(M36)),0,(-W36+Poussee)/m-Poids*SIN(M36)/m)</f>
        <v>110.899355758122</v>
      </c>
      <c r="AH37" s="418" t="n">
        <f aca="false">IF(AND(L36&lt;L_rampe,Poussee&lt;Poids*SIN(M36)), g*SIN(M36), (-W36+Poussee)/m)</f>
        <v>120.549790176576</v>
      </c>
    </row>
    <row r="38" customFormat="false" ht="12" hidden="false" customHeight="false" outlineLevel="0" collapsed="false">
      <c r="A38" s="417" t="n">
        <f aca="false">IF(B37+0.01&lt;=T_ini+ROUNDUP(Temps_fin_propu,0), 0.01, IF(K37&gt;0, 0.1, 0.0001))</f>
        <v>0.01</v>
      </c>
      <c r="B38" s="418" t="n">
        <f aca="false">B37+pas</f>
        <v>0.34</v>
      </c>
      <c r="C38" s="402"/>
      <c r="D38" s="419" t="n">
        <f aca="false">IF(AND(L37&lt;L_rampe,Poussee&lt;Poids*SIN(M37)),0,(-W37+Poussee)/m*COS(M37)-U37/m*SIN(M37))</f>
        <v>21.6100440008303</v>
      </c>
      <c r="E38" s="420" t="n">
        <f aca="false">IF(AND(L37&lt;L_rampe,Poussee&lt;Poids*SIN(M37)),0,(-W37+Poussee)/m*SIN(M37)+U37/m*COS(M37)-Poids/m)</f>
        <v>108.230610272725</v>
      </c>
      <c r="F38" s="418" t="n">
        <f aca="false">SQRT(acc_x^2+acc_z^2)</f>
        <v>110.36692893129</v>
      </c>
      <c r="G38" s="419" t="n">
        <f aca="false">G37+acc_x*pas</f>
        <v>7.13899214287278</v>
      </c>
      <c r="H38" s="420" t="n">
        <f aca="false">H37+acc_z*pas</f>
        <v>38.8972388916985</v>
      </c>
      <c r="I38" s="418" t="n">
        <f aca="false">SQRT(vit_x^2+vit_z^2)</f>
        <v>39.5469392268714</v>
      </c>
      <c r="J38" s="419" t="n">
        <f aca="false">J37+0.5*(vit_x+G37)*pas*(K37&gt;=0)</f>
        <v>1.18663286700435</v>
      </c>
      <c r="K38" s="420" t="n">
        <f aca="false">K37+0.5*(vit_z+H37)*pas</f>
        <v>6.63343421628008</v>
      </c>
      <c r="L38" s="418" t="n">
        <f aca="false">SQRT(pos_x^2+pos_z^2)</f>
        <v>6.73873482656576</v>
      </c>
      <c r="M38" s="419" t="n">
        <f aca="false">IF(AND(L37&gt;L_rampe,G38&gt;0),ATAN2(G38,H38),$M$4)</f>
        <v>1.38928176383563</v>
      </c>
      <c r="N38" s="418" t="n">
        <f aca="false">DEGREES(Beta)</f>
        <v>79.5999816222721</v>
      </c>
      <c r="O38" s="402"/>
      <c r="P38" s="421" t="n">
        <f aca="false">MATCH(t-pas/2-T_ini,CdP_t)</f>
        <v>3</v>
      </c>
      <c r="Q38" s="418" t="n">
        <f aca="false">(INDEX(CdP,2,i_P+1)-INDEX(CdP,2,i_P+0))/(INDEX(CdP,1,i_P+1)-INDEX(CdP,1,i_P+0))*(t-pas/2-T_ini-INDEX(CdP,1,i_P+0))+INDEX(CdP,2,i_P+0)</f>
        <v>184.568965517241</v>
      </c>
      <c r="R38" s="419" t="n">
        <f aca="false">Poussee/(g*ISP)</f>
        <v>0.0979599395752837</v>
      </c>
      <c r="S38" s="420" t="n">
        <f aca="false">S37-Débit*pas</f>
        <v>1.52475338291259</v>
      </c>
      <c r="T38" s="418" t="n">
        <f aca="false">m*g</f>
        <v>14.9578306863725</v>
      </c>
      <c r="U38" s="422" t="n">
        <f aca="false">IF(pos_xz&lt;L_rampe,Poids*COS(Beta),0)</f>
        <v>0</v>
      </c>
      <c r="V38" s="419" t="n">
        <f aca="false">Rho_moyen*(20000-Alt_rampe-pos_z)/(20000+Alt_rampe+pos_z)</f>
        <v>1.22418767373415</v>
      </c>
      <c r="W38" s="418" t="n">
        <f aca="false">1/2*Rho*Sref*Cx*vit_xz^2</f>
        <v>1.68768931511233</v>
      </c>
      <c r="X38" s="402"/>
      <c r="Y38" s="423" t="str">
        <f aca="false">IF(AND(pos_z&lt;=0,K37&gt;0),"Impact balistique","") &amp; IF(AND(H39&lt;0,vit_z&gt;=0),"Apogée","") &amp; IF(AND(Poussee=0,Q37&gt;0),"Fin de propulsion","") &amp; IF(AND(L39&gt;L_rampe,pos_xz&lt;=L_rampe),"Sortie de rampe","")</f>
        <v/>
      </c>
      <c r="Z38" s="424" t="str">
        <f aca="false">IF(ABS(t-T_para)&lt;pas/2,"Para","")</f>
        <v/>
      </c>
      <c r="AA38" s="425" t="str">
        <f aca="false">IF(ABS(t-T_satellite)&lt;pas/2,"Satellite","")</f>
        <v/>
      </c>
      <c r="AB38" s="413"/>
      <c r="AC38" s="421" t="e">
        <f aca="false">IF(ABS(t-ROUND(t,0))&lt;0.001,t,NA())</f>
        <v>#N/A</v>
      </c>
      <c r="AD38" s="426" t="e">
        <f aca="false">IF(ABS(t-ROUND(t,0))&lt;0.001,pos_x,NA())</f>
        <v>#N/A</v>
      </c>
      <c r="AE38" s="427" t="n">
        <f aca="false">IF(t&lt;T_para, pos_z, NA())</f>
        <v>6.63343421628008</v>
      </c>
      <c r="AF38" s="413"/>
      <c r="AG38" s="419" t="n">
        <f aca="false">IF(AND(L37&lt;L_rampe,Poussee&lt;Poids*SIN(M37)),0,(-W37+Poussee)/m-Poids*SIN(M37)/m)</f>
        <v>110.352789621528</v>
      </c>
      <c r="AH38" s="418" t="n">
        <f aca="false">IF(AND(L37&lt;L_rampe,Poussee&lt;Poids*SIN(M37)), g*SIN(M37), (-W37+Poussee)/m)</f>
        <v>120.00241528934</v>
      </c>
    </row>
    <row r="39" customFormat="false" ht="12" hidden="false" customHeight="false" outlineLevel="0" collapsed="false">
      <c r="A39" s="417" t="n">
        <f aca="false">IF(B38+0.01&lt;=T_ini+ROUNDUP(Temps_fin_propu,0), 0.01, IF(K38&gt;0, 0.1, 0.0001))</f>
        <v>0.01</v>
      </c>
      <c r="B39" s="418" t="n">
        <f aca="false">B38+pas</f>
        <v>0.35</v>
      </c>
      <c r="C39" s="402"/>
      <c r="D39" s="419" t="n">
        <f aca="false">IF(AND(L38&lt;L_rampe,Poussee&lt;Poids*SIN(M38)),0,(-W38+Poussee)/m*COS(M38)-U38/m*SIN(M38))</f>
        <v>21.5635095094246</v>
      </c>
      <c r="E39" s="420" t="n">
        <f aca="false">IF(AND(L38&lt;L_rampe,Poussee&lt;Poids*SIN(M38)),0,(-W38+Poussee)/m*SIN(M38)+U38/m*COS(M38)-Poids/m)</f>
        <v>107.680111201324</v>
      </c>
      <c r="F39" s="418" t="n">
        <f aca="false">SQRT(acc_x^2+acc_z^2)</f>
        <v>109.817991652973</v>
      </c>
      <c r="G39" s="419" t="n">
        <f aca="false">G38+acc_x*pas</f>
        <v>7.35462723796702</v>
      </c>
      <c r="H39" s="420" t="n">
        <f aca="false">H38+acc_z*pas</f>
        <v>39.9740400037117</v>
      </c>
      <c r="I39" s="418" t="n">
        <f aca="false">SQRT(vit_x^2+vit_z^2)</f>
        <v>40.6449802070045</v>
      </c>
      <c r="J39" s="419" t="n">
        <f aca="false">J38+0.5*(vit_x+G38)*pas*(K38&gt;=0)</f>
        <v>1.25910096390855</v>
      </c>
      <c r="K39" s="420" t="n">
        <f aca="false">K38+0.5*(vit_z+H38)*pas</f>
        <v>7.02779061075713</v>
      </c>
      <c r="L39" s="418" t="n">
        <f aca="false">SQRT(pos_x^2+pos_z^2)</f>
        <v>7.13969019677756</v>
      </c>
      <c r="M39" s="419" t="n">
        <f aca="false">IF(AND(L38&gt;L_rampe,G39&gt;0),ATAN2(G39,H39),$M$4)</f>
        <v>1.38884606526798</v>
      </c>
      <c r="N39" s="418" t="n">
        <f aca="false">DEGREES(Beta)</f>
        <v>79.5750179332061</v>
      </c>
      <c r="O39" s="402"/>
      <c r="P39" s="421" t="n">
        <f aca="false">MATCH(t-pas/2-T_ini,CdP_t)</f>
        <v>3</v>
      </c>
      <c r="Q39" s="418" t="n">
        <f aca="false">(INDEX(CdP,2,i_P+1)-INDEX(CdP,2,i_P+0))/(INDEX(CdP,1,i_P+1)-INDEX(CdP,1,i_P+0))*(t-pas/2-T_ini-INDEX(CdP,1,i_P+0))+INDEX(CdP,2,i_P+0)</f>
        <v>183.706896551724</v>
      </c>
      <c r="R39" s="419" t="n">
        <f aca="false">Poussee/(g*ISP)</f>
        <v>0.0975023966534001</v>
      </c>
      <c r="S39" s="420" t="n">
        <f aca="false">S38-Débit*pas</f>
        <v>1.52377835894605</v>
      </c>
      <c r="T39" s="418" t="n">
        <f aca="false">m*g</f>
        <v>14.9482657012608</v>
      </c>
      <c r="U39" s="422" t="n">
        <f aca="false">IF(pos_xz&lt;L_rampe,Poids*COS(Beta),0)</f>
        <v>0</v>
      </c>
      <c r="V39" s="419" t="n">
        <f aca="false">Rho_moyen*(20000-Alt_rampe-pos_z)/(20000+Alt_rampe+pos_z)</f>
        <v>1.2241393980567</v>
      </c>
      <c r="W39" s="418" t="n">
        <f aca="false">1/2*Rho*Sref*Cx*vit_xz^2</f>
        <v>1.78263920656397</v>
      </c>
      <c r="X39" s="402"/>
      <c r="Y39" s="423" t="str">
        <f aca="false">IF(AND(pos_z&lt;=0,K38&gt;0),"Impact balistique","") &amp; IF(AND(H40&lt;0,vit_z&gt;=0),"Apogée","") &amp; IF(AND(Poussee=0,Q38&gt;0),"Fin de propulsion","") &amp; IF(AND(L40&gt;L_rampe,pos_xz&lt;=L_rampe),"Sortie de rampe","")</f>
        <v/>
      </c>
      <c r="Z39" s="424" t="str">
        <f aca="false">IF(ABS(t-T_para)&lt;pas/2,"Para","")</f>
        <v/>
      </c>
      <c r="AA39" s="425" t="str">
        <f aca="false">IF(ABS(t-T_satellite)&lt;pas/2,"Satellite","")</f>
        <v/>
      </c>
      <c r="AB39" s="413"/>
      <c r="AC39" s="421" t="e">
        <f aca="false">IF(ABS(t-ROUND(t,0))&lt;0.001,t,NA())</f>
        <v>#N/A</v>
      </c>
      <c r="AD39" s="426" t="e">
        <f aca="false">IF(ABS(t-ROUND(t,0))&lt;0.001,pos_x,NA())</f>
        <v>#N/A</v>
      </c>
      <c r="AE39" s="427" t="n">
        <f aca="false">IF(t&lt;T_para, pos_z, NA())</f>
        <v>7.02779061075713</v>
      </c>
      <c r="AF39" s="413"/>
      <c r="AG39" s="419" t="n">
        <f aca="false">IF(AND(L38&lt;L_rampe,Poussee&lt;Poids*SIN(M38)),0,(-W38+Poussee)/m-Poids*SIN(M38)/m)</f>
        <v>109.803712224902</v>
      </c>
      <c r="AH39" s="418" t="n">
        <f aca="false">IF(AND(L38&lt;L_rampe,Poussee&lt;Poids*SIN(M38)), g*SIN(M38), (-W38+Poussee)/m)</f>
        <v>119.452547785564</v>
      </c>
    </row>
    <row r="40" customFormat="false" ht="12" hidden="false" customHeight="false" outlineLevel="0" collapsed="false">
      <c r="A40" s="417" t="n">
        <f aca="false">IF(B39+0.01&lt;=T_ini+ROUNDUP(Temps_fin_propu,0), 0.01, IF(K39&gt;0, 0.1, 0.0001))</f>
        <v>0.01</v>
      </c>
      <c r="B40" s="418" t="n">
        <f aca="false">B39+pas</f>
        <v>0.36</v>
      </c>
      <c r="C40" s="402"/>
      <c r="D40" s="419" t="n">
        <f aca="false">IF(AND(L39&lt;L_rampe,Poussee&lt;Poids*SIN(M39)),0,(-W39+Poussee)/m*COS(M39)-U39/m*SIN(M39))</f>
        <v>21.5147542809526</v>
      </c>
      <c r="E40" s="420" t="n">
        <f aca="false">IF(AND(L39&lt;L_rampe,Poussee&lt;Poids*SIN(M39)),0,(-W39+Poussee)/m*SIN(M39)+U39/m*COS(M39)-Poids/m)</f>
        <v>107.127489891678</v>
      </c>
      <c r="F40" s="418" t="n">
        <f aca="false">SQRT(acc_x^2+acc_z^2)</f>
        <v>109.266571934244</v>
      </c>
      <c r="G40" s="419" t="n">
        <f aca="false">G39+acc_x*pas</f>
        <v>7.56977478077655</v>
      </c>
      <c r="H40" s="420" t="n">
        <f aca="false">H39+acc_z*pas</f>
        <v>41.0453149026285</v>
      </c>
      <c r="I40" s="418" t="n">
        <f aca="false">SQRT(vit_x^2+vit_z^2)</f>
        <v>41.7375055038944</v>
      </c>
      <c r="J40" s="419" t="n">
        <f aca="false">J39+0.5*(vit_x+G39)*pas*(K39&gt;=0)</f>
        <v>1.33372297400227</v>
      </c>
      <c r="K40" s="420" t="n">
        <f aca="false">K39+0.5*(vit_z+H39)*pas</f>
        <v>7.43288738528883</v>
      </c>
      <c r="L40" s="418" t="n">
        <f aca="false">SQRT(pos_x^2+pos_z^2)</f>
        <v>7.55159796690524</v>
      </c>
      <c r="M40" s="419" t="n">
        <f aca="false">IF(AND(L39&gt;L_rampe,G40&gt;0),ATAN2(G40,H40),$M$4)</f>
        <v>1.38842076438871</v>
      </c>
      <c r="N40" s="418" t="n">
        <f aca="false">DEGREES(Beta)</f>
        <v>79.550649987801</v>
      </c>
      <c r="O40" s="402"/>
      <c r="P40" s="421" t="n">
        <f aca="false">MATCH(t-pas/2-T_ini,CdP_t)</f>
        <v>3</v>
      </c>
      <c r="Q40" s="418" t="n">
        <f aca="false">(INDEX(CdP,2,i_P+1)-INDEX(CdP,2,i_P+0))/(INDEX(CdP,1,i_P+1)-INDEX(CdP,1,i_P+0))*(t-pas/2-T_ini-INDEX(CdP,1,i_P+0))+INDEX(CdP,2,i_P+0)</f>
        <v>182.844827586207</v>
      </c>
      <c r="R40" s="419" t="n">
        <f aca="false">Poussee/(g*ISP)</f>
        <v>0.0970448537315165</v>
      </c>
      <c r="S40" s="420" t="n">
        <f aca="false">S39-Débit*pas</f>
        <v>1.52280791040874</v>
      </c>
      <c r="T40" s="418" t="n">
        <f aca="false">m*g</f>
        <v>14.9387456011097</v>
      </c>
      <c r="U40" s="422" t="n">
        <f aca="false">IF(pos_xz&lt;L_rampe,Poids*COS(Beta),0)</f>
        <v>0</v>
      </c>
      <c r="V40" s="419" t="n">
        <f aca="false">Rho_moyen*(20000-Alt_rampe-pos_z)/(20000+Alt_rampe+pos_z)</f>
        <v>1.22408980956245</v>
      </c>
      <c r="W40" s="418" t="n">
        <f aca="false">1/2*Rho*Sref*Cx*vit_xz^2</f>
        <v>1.87968470120098</v>
      </c>
      <c r="X40" s="402"/>
      <c r="Y40" s="423" t="str">
        <f aca="false">IF(AND(pos_z&lt;=0,K39&gt;0),"Impact balistique","") &amp; IF(AND(H41&lt;0,vit_z&gt;=0),"Apogée","") &amp; IF(AND(Poussee=0,Q39&gt;0),"Fin de propulsion","") &amp; IF(AND(L41&gt;L_rampe,pos_xz&lt;=L_rampe),"Sortie de rampe","")</f>
        <v/>
      </c>
      <c r="Z40" s="424" t="str">
        <f aca="false">IF(ABS(t-T_para)&lt;pas/2,"Para","")</f>
        <v/>
      </c>
      <c r="AA40" s="425" t="str">
        <f aca="false">IF(ABS(t-T_satellite)&lt;pas/2,"Satellite","")</f>
        <v/>
      </c>
      <c r="AB40" s="413"/>
      <c r="AC40" s="421" t="e">
        <f aca="false">IF(ABS(t-ROUND(t,0))&lt;0.001,t,NA())</f>
        <v>#N/A</v>
      </c>
      <c r="AD40" s="426" t="e">
        <f aca="false">IF(ABS(t-ROUND(t,0))&lt;0.001,pos_x,NA())</f>
        <v>#N/A</v>
      </c>
      <c r="AE40" s="427" t="n">
        <f aca="false">IF(t&lt;T_para, pos_z, NA())</f>
        <v>7.43288738528883</v>
      </c>
      <c r="AF40" s="413"/>
      <c r="AG40" s="419" t="n">
        <f aca="false">IF(AND(L39&lt;L_rampe,Poussee&lt;Poids*SIN(M39)),0,(-W39+Poussee)/m-Poids*SIN(M39)/m)</f>
        <v>109.252152213245</v>
      </c>
      <c r="AH40" s="418" t="n">
        <f aca="false">IF(AND(L39&lt;L_rampe,Poussee&lt;Poids*SIN(M39)), g*SIN(M39), (-W39+Poussee)/m)</f>
        <v>118.900215281285</v>
      </c>
    </row>
    <row r="41" customFormat="false" ht="12" hidden="false" customHeight="false" outlineLevel="0" collapsed="false">
      <c r="A41" s="417" t="n">
        <f aca="false">IF(B40+0.01&lt;=T_ini+ROUNDUP(Temps_fin_propu,0), 0.01, IF(K40&gt;0, 0.1, 0.0001))</f>
        <v>0.01</v>
      </c>
      <c r="B41" s="418" t="n">
        <f aca="false">B40+pas</f>
        <v>0.37</v>
      </c>
      <c r="C41" s="402"/>
      <c r="D41" s="419" t="n">
        <f aca="false">IF(AND(L40&lt;L_rampe,Poussee&lt;Poids*SIN(M40)),0,(-W40+Poussee)/m*COS(M40)-U40/m*SIN(M40))</f>
        <v>21.4638694412096</v>
      </c>
      <c r="E41" s="420" t="n">
        <f aca="false">IF(AND(L40&lt;L_rampe,Poussee&lt;Poids*SIN(M40)),0,(-W40+Poussee)/m*SIN(M40)+U40/m*COS(M40)-Poids/m)</f>
        <v>106.572759825382</v>
      </c>
      <c r="F41" s="418" t="n">
        <f aca="false">SQRT(acc_x^2+acc_z^2)</f>
        <v>108.712698559956</v>
      </c>
      <c r="G41" s="419" t="n">
        <f aca="false">G40+acc_x*pas</f>
        <v>7.78441347518865</v>
      </c>
      <c r="H41" s="420" t="n">
        <f aca="false">H40+acc_z*pas</f>
        <v>42.1110425008823</v>
      </c>
      <c r="I41" s="418" t="n">
        <f aca="false">SQRT(vit_x^2+vit_z^2)</f>
        <v>42.8244905826539</v>
      </c>
      <c r="J41" s="419" t="n">
        <f aca="false">J40+0.5*(vit_x+G40)*pas*(K40&gt;=0)</f>
        <v>1.41049391528209</v>
      </c>
      <c r="K41" s="420" t="n">
        <f aca="false">K40+0.5*(vit_z+H40)*pas</f>
        <v>7.84866917230639</v>
      </c>
      <c r="L41" s="418" t="n">
        <f aca="false">SQRT(pos_x^2+pos_z^2)</f>
        <v>7.974402852964</v>
      </c>
      <c r="M41" s="419" t="n">
        <f aca="false">IF(AND(L40&gt;L_rampe,G41&gt;0),ATAN2(G41,H41),$M$4)</f>
        <v>1.38800530049844</v>
      </c>
      <c r="N41" s="418" t="n">
        <f aca="false">DEGREES(Beta)</f>
        <v>79.5268456603484</v>
      </c>
      <c r="O41" s="402"/>
      <c r="P41" s="421" t="n">
        <f aca="false">MATCH(t-pas/2-T_ini,CdP_t)</f>
        <v>3</v>
      </c>
      <c r="Q41" s="418" t="n">
        <f aca="false">(INDEX(CdP,2,i_P+1)-INDEX(CdP,2,i_P+0))/(INDEX(CdP,1,i_P+1)-INDEX(CdP,1,i_P+0))*(t-pas/2-T_ini-INDEX(CdP,1,i_P+0))+INDEX(CdP,2,i_P+0)</f>
        <v>181.98275862069</v>
      </c>
      <c r="R41" s="419" t="n">
        <f aca="false">Poussee/(g*ISP)</f>
        <v>0.0965873108096329</v>
      </c>
      <c r="S41" s="420" t="n">
        <f aca="false">S40-Débit*pas</f>
        <v>1.52184203730064</v>
      </c>
      <c r="T41" s="418" t="n">
        <f aca="false">m*g</f>
        <v>14.9292703859193</v>
      </c>
      <c r="U41" s="422" t="n">
        <f aca="false">IF(pos_xz&lt;L_rampe,Poids*COS(Beta),0)</f>
        <v>0</v>
      </c>
      <c r="V41" s="419" t="n">
        <f aca="false">Rho_moyen*(20000-Alt_rampe-pos_z)/(20000+Alt_rampe+pos_z)</f>
        <v>1.22403891518823</v>
      </c>
      <c r="W41" s="418" t="n">
        <f aca="false">1/2*Rho*Sref*Cx*vit_xz^2</f>
        <v>1.97878396276476</v>
      </c>
      <c r="X41" s="402"/>
      <c r="Y41" s="423" t="str">
        <f aca="false">IF(AND(pos_z&lt;=0,K40&gt;0),"Impact balistique","") &amp; IF(AND(H42&lt;0,vit_z&gt;=0),"Apogée","") &amp; IF(AND(Poussee=0,Q40&gt;0),"Fin de propulsion","") &amp; IF(AND(L42&gt;L_rampe,pos_xz&lt;=L_rampe),"Sortie de rampe","")</f>
        <v/>
      </c>
      <c r="Z41" s="424" t="str">
        <f aca="false">IF(ABS(t-T_para)&lt;pas/2,"Para","")</f>
        <v/>
      </c>
      <c r="AA41" s="425" t="str">
        <f aca="false">IF(ABS(t-T_satellite)&lt;pas/2,"Satellite","")</f>
        <v/>
      </c>
      <c r="AB41" s="413"/>
      <c r="AC41" s="421" t="e">
        <f aca="false">IF(ABS(t-ROUND(t,0))&lt;0.001,t,NA())</f>
        <v>#N/A</v>
      </c>
      <c r="AD41" s="426" t="e">
        <f aca="false">IF(ABS(t-ROUND(t,0))&lt;0.001,pos_x,NA())</f>
        <v>#N/A</v>
      </c>
      <c r="AE41" s="427" t="n">
        <f aca="false">IF(t&lt;T_para, pos_z, NA())</f>
        <v>7.84866917230639</v>
      </c>
      <c r="AF41" s="413"/>
      <c r="AG41" s="419" t="n">
        <f aca="false">IF(AND(L40&lt;L_rampe,Poussee&lt;Poids*SIN(M40)),0,(-W40+Poussee)/m-Poids*SIN(M40)/m)</f>
        <v>108.698138278667</v>
      </c>
      <c r="AH41" s="418" t="n">
        <f aca="false">IF(AND(L40&lt;L_rampe,Poussee&lt;Poids*SIN(M40)), g*SIN(M40), (-W40+Poussee)/m)</f>
        <v>118.345445522681</v>
      </c>
    </row>
    <row r="42" customFormat="false" ht="12" hidden="false" customHeight="false" outlineLevel="0" collapsed="false">
      <c r="A42" s="417" t="n">
        <f aca="false">IF(B41+0.01&lt;=T_ini+ROUNDUP(Temps_fin_propu,0), 0.01, IF(K41&gt;0, 0.1, 0.0001))</f>
        <v>0.01</v>
      </c>
      <c r="B42" s="418" t="n">
        <f aca="false">B41+pas</f>
        <v>0.38</v>
      </c>
      <c r="C42" s="402"/>
      <c r="D42" s="419" t="n">
        <f aca="false">IF(AND(L41&lt;L_rampe,Poussee&lt;Poids*SIN(M41)),0,(-W41+Poussee)/m*COS(M41)-U41/m*SIN(M41))</f>
        <v>21.4109392910633</v>
      </c>
      <c r="E42" s="420" t="n">
        <f aca="false">IF(AND(L41&lt;L_rampe,Poussee&lt;Poids*SIN(M41)),0,(-W41+Poussee)/m*SIN(M41)+U41/m*COS(M41)-Poids/m)</f>
        <v>106.015935678208</v>
      </c>
      <c r="F42" s="418" t="n">
        <f aca="false">SQRT(acc_x^2+acc_z^2)</f>
        <v>108.156400361012</v>
      </c>
      <c r="G42" s="419" t="n">
        <f aca="false">G41+acc_x*pas</f>
        <v>7.99852286809928</v>
      </c>
      <c r="H42" s="420" t="n">
        <f aca="false">H41+acc_z*pas</f>
        <v>43.1712018576644</v>
      </c>
      <c r="I42" s="418" t="n">
        <f aca="false">SQRT(vit_x^2+vit_z^2)</f>
        <v>43.9059111954952</v>
      </c>
      <c r="J42" s="419" t="n">
        <f aca="false">J41+0.5*(vit_x+G41)*pas*(K41&gt;=0)</f>
        <v>1.48940859699853</v>
      </c>
      <c r="K42" s="420" t="n">
        <f aca="false">K41+0.5*(vit_z+H41)*pas</f>
        <v>8.27508039409912</v>
      </c>
      <c r="L42" s="418" t="n">
        <f aca="false">SQRT(pos_x^2+pos_z^2)</f>
        <v>8.40804932773451</v>
      </c>
      <c r="M42" s="419" t="n">
        <f aca="false">IF(AND(L41&gt;L_rampe,G42&gt;0),ATAN2(G42,H42),$M$4)</f>
        <v>1.38759915680411</v>
      </c>
      <c r="N42" s="418" t="n">
        <f aca="false">DEGREES(Beta)</f>
        <v>79.5035753407873</v>
      </c>
      <c r="O42" s="402"/>
      <c r="P42" s="421" t="n">
        <f aca="false">MATCH(t-pas/2-T_ini,CdP_t)</f>
        <v>3</v>
      </c>
      <c r="Q42" s="418" t="n">
        <f aca="false">(INDEX(CdP,2,i_P+1)-INDEX(CdP,2,i_P+0))/(INDEX(CdP,1,i_P+1)-INDEX(CdP,1,i_P+0))*(t-pas/2-T_ini-INDEX(CdP,1,i_P+0))+INDEX(CdP,2,i_P+0)</f>
        <v>181.120689655172</v>
      </c>
      <c r="R42" s="419" t="n">
        <f aca="false">Poussee/(g*ISP)</f>
        <v>0.0961297678877492</v>
      </c>
      <c r="S42" s="420" t="n">
        <f aca="false">S41-Débit*pas</f>
        <v>1.52088073962176</v>
      </c>
      <c r="T42" s="418" t="n">
        <f aca="false">m*g</f>
        <v>14.9198400556895</v>
      </c>
      <c r="U42" s="422" t="n">
        <f aca="false">IF(pos_xz&lt;L_rampe,Poids*COS(Beta),0)</f>
        <v>0</v>
      </c>
      <c r="V42" s="419" t="n">
        <f aca="false">Rho_moyen*(20000-Alt_rampe-pos_z)/(20000+Alt_rampe+pos_z)</f>
        <v>1.22398672189961</v>
      </c>
      <c r="W42" s="418" t="n">
        <f aca="false">1/2*Rho*Sref*Cx*vit_xz^2</f>
        <v>2.07989514595999</v>
      </c>
      <c r="X42" s="402"/>
      <c r="Y42" s="423" t="str">
        <f aca="false">IF(AND(pos_z&lt;=0,K41&gt;0),"Impact balistique","") &amp; IF(AND(H43&lt;0,vit_z&gt;=0),"Apogée","") &amp; IF(AND(Poussee=0,Q41&gt;0),"Fin de propulsion","") &amp; IF(AND(L43&gt;L_rampe,pos_xz&lt;=L_rampe),"Sortie de rampe","")</f>
        <v/>
      </c>
      <c r="Z42" s="424" t="str">
        <f aca="false">IF(ABS(t-T_para)&lt;pas/2,"Para","")</f>
        <v/>
      </c>
      <c r="AA42" s="425" t="str">
        <f aca="false">IF(ABS(t-T_satellite)&lt;pas/2,"Satellite","")</f>
        <v/>
      </c>
      <c r="AB42" s="413"/>
      <c r="AC42" s="421" t="e">
        <f aca="false">IF(ABS(t-ROUND(t,0))&lt;0.001,t,NA())</f>
        <v>#N/A</v>
      </c>
      <c r="AD42" s="426" t="e">
        <f aca="false">IF(ABS(t-ROUND(t,0))&lt;0.001,pos_x,NA())</f>
        <v>#N/A</v>
      </c>
      <c r="AE42" s="427" t="n">
        <f aca="false">IF(t&lt;T_para, pos_z, NA())</f>
        <v>8.27508039409912</v>
      </c>
      <c r="AF42" s="413"/>
      <c r="AG42" s="419" t="n">
        <f aca="false">IF(AND(L41&lt;L_rampe,Poussee&lt;Poids*SIN(M41)),0,(-W41+Poussee)/m-Poids*SIN(M41)/m)</f>
        <v>108.141699164203</v>
      </c>
      <c r="AH42" s="418" t="n">
        <f aca="false">IF(AND(L41&lt;L_rampe,Poussee&lt;Poids*SIN(M41)), g*SIN(M41), (-W41+Poussee)/m)</f>
        <v>117.78826638107</v>
      </c>
    </row>
    <row r="43" customFormat="false" ht="12" hidden="false" customHeight="false" outlineLevel="0" collapsed="false">
      <c r="A43" s="417" t="n">
        <f aca="false">IF(B42+0.01&lt;=T_ini+ROUNDUP(Temps_fin_propu,0), 0.01, IF(K42&gt;0, 0.1, 0.0001))</f>
        <v>0.01</v>
      </c>
      <c r="B43" s="418" t="n">
        <f aca="false">B42+pas</f>
        <v>0.39</v>
      </c>
      <c r="C43" s="402"/>
      <c r="D43" s="419" t="n">
        <f aca="false">IF(AND(L42&lt;L_rampe,Poussee&lt;Poids*SIN(M42)),0,(-W42+Poussee)/m*COS(M42)-U42/m*SIN(M42))</f>
        <v>21.3560420223879</v>
      </c>
      <c r="E43" s="420" t="n">
        <f aca="false">IF(AND(L42&lt;L_rampe,Poussee&lt;Poids*SIN(M42)),0,(-W42+Poussee)/m*SIN(M42)+U42/m*COS(M42)-Poids/m)</f>
        <v>105.45703320514</v>
      </c>
      <c r="F43" s="418" t="n">
        <f aca="false">SQRT(acc_x^2+acc_z^2)</f>
        <v>107.597706217614</v>
      </c>
      <c r="G43" s="419" t="n">
        <f aca="false">G42+acc_x*pas</f>
        <v>8.21208328832316</v>
      </c>
      <c r="H43" s="420" t="n">
        <f aca="false">H42+acc_z*pas</f>
        <v>44.2257721897158</v>
      </c>
      <c r="I43" s="418" t="n">
        <f aca="false">SQRT(vit_x^2+vit_z^2)</f>
        <v>44.9817433822989</v>
      </c>
      <c r="J43" s="419" t="n">
        <f aca="false">J42+0.5*(vit_x+G42)*pas*(K42&gt;=0)</f>
        <v>1.57046162778065</v>
      </c>
      <c r="K43" s="420" t="n">
        <f aca="false">K42+0.5*(vit_z+H42)*pas</f>
        <v>8.71206526433602</v>
      </c>
      <c r="L43" s="418" t="n">
        <f aca="false">SQRT(pos_x^2+pos_z^2)</f>
        <v>8.85248162349867</v>
      </c>
      <c r="M43" s="419" t="n">
        <f aca="false">IF(AND(L42&gt;L_rampe,G43&gt;0),ATAN2(G43,H43),$M$4)</f>
        <v>1.38720185592014</v>
      </c>
      <c r="N43" s="418" t="n">
        <f aca="false">DEGREES(Beta)</f>
        <v>79.4808116769387</v>
      </c>
      <c r="O43" s="402"/>
      <c r="P43" s="421" t="n">
        <f aca="false">MATCH(t-pas/2-T_ini,CdP_t)</f>
        <v>3</v>
      </c>
      <c r="Q43" s="418" t="n">
        <f aca="false">(INDEX(CdP,2,i_P+1)-INDEX(CdP,2,i_P+0))/(INDEX(CdP,1,i_P+1)-INDEX(CdP,1,i_P+0))*(t-pas/2-T_ini-INDEX(CdP,1,i_P+0))+INDEX(CdP,2,i_P+0)</f>
        <v>180.258620689655</v>
      </c>
      <c r="R43" s="419" t="n">
        <f aca="false">Poussee/(g*ISP)</f>
        <v>0.0956722249658656</v>
      </c>
      <c r="S43" s="420" t="n">
        <f aca="false">S42-Débit*pas</f>
        <v>1.51992401737211</v>
      </c>
      <c r="T43" s="418" t="n">
        <f aca="false">m*g</f>
        <v>14.9104546104204</v>
      </c>
      <c r="U43" s="422" t="n">
        <f aca="false">IF(pos_xz&lt;L_rampe,Poids*COS(Beta),0)</f>
        <v>0</v>
      </c>
      <c r="V43" s="419" t="n">
        <f aca="false">Rho_moyen*(20000-Alt_rampe-pos_z)/(20000+Alt_rampe+pos_z)</f>
        <v>1.2239332366907</v>
      </c>
      <c r="W43" s="418" t="n">
        <f aca="false">1/2*Rho*Sref*Cx*vit_xz^2</f>
        <v>2.18297640334946</v>
      </c>
      <c r="X43" s="402"/>
      <c r="Y43" s="423" t="str">
        <f aca="false">IF(AND(pos_z&lt;=0,K42&gt;0),"Impact balistique","") &amp; IF(AND(H44&lt;0,vit_z&gt;=0),"Apogée","") &amp; IF(AND(Poussee=0,Q42&gt;0),"Fin de propulsion","") &amp; IF(AND(L44&gt;L_rampe,pos_xz&lt;=L_rampe),"Sortie de rampe","")</f>
        <v/>
      </c>
      <c r="Z43" s="424" t="str">
        <f aca="false">IF(ABS(t-T_para)&lt;pas/2,"Para","")</f>
        <v/>
      </c>
      <c r="AA43" s="425" t="str">
        <f aca="false">IF(ABS(t-T_satellite)&lt;pas/2,"Satellite","")</f>
        <v/>
      </c>
      <c r="AB43" s="413"/>
      <c r="AC43" s="421" t="e">
        <f aca="false">IF(ABS(t-ROUND(t,0))&lt;0.001,t,NA())</f>
        <v>#N/A</v>
      </c>
      <c r="AD43" s="426" t="e">
        <f aca="false">IF(ABS(t-ROUND(t,0))&lt;0.001,pos_x,NA())</f>
        <v>#N/A</v>
      </c>
      <c r="AE43" s="427" t="n">
        <f aca="false">IF(t&lt;T_para, pos_z, NA())</f>
        <v>8.71206526433602</v>
      </c>
      <c r="AF43" s="413"/>
      <c r="AG43" s="419" t="n">
        <f aca="false">IF(AND(L42&lt;L_rampe,Poussee&lt;Poids*SIN(M42)),0,(-W42+Poussee)/m-Poids*SIN(M42)/m)</f>
        <v>107.582863666483</v>
      </c>
      <c r="AH43" s="418" t="n">
        <f aca="false">IF(AND(L42&lt;L_rampe,Poussee&lt;Poids*SIN(M42)), g*SIN(M42), (-W42+Poussee)/m)</f>
        <v>117.228705847915</v>
      </c>
    </row>
    <row r="44" customFormat="false" ht="12" hidden="false" customHeight="false" outlineLevel="0" collapsed="false">
      <c r="A44" s="417" t="n">
        <f aca="false">IF(B43+0.01&lt;=T_ini+ROUNDUP(Temps_fin_propu,0), 0.01, IF(K43&gt;0, 0.1, 0.0001))</f>
        <v>0.01</v>
      </c>
      <c r="B44" s="418" t="n">
        <f aca="false">B43+pas</f>
        <v>0.4</v>
      </c>
      <c r="C44" s="402"/>
      <c r="D44" s="419" t="n">
        <f aca="false">IF(AND(L43&lt;L_rampe,Poussee&lt;Poids*SIN(M43)),0,(-W43+Poussee)/m*COS(M43)-U43/m*SIN(M43))</f>
        <v>21.2992503422472</v>
      </c>
      <c r="E44" s="420" t="n">
        <f aca="false">IF(AND(L43&lt;L_rampe,Poussee&lt;Poids*SIN(M43)),0,(-W43+Poussee)/m*SIN(M43)+U43/m*COS(M43)-Poids/m)</f>
        <v>104.896069139284</v>
      </c>
      <c r="F44" s="418" t="n">
        <f aca="false">SQRT(acc_x^2+acc_z^2)</f>
        <v>107.03664506147</v>
      </c>
      <c r="G44" s="419" t="n">
        <f aca="false">G43+acc_x*pas</f>
        <v>8.42507579174563</v>
      </c>
      <c r="H44" s="420" t="n">
        <f aca="false">H43+acc_z*pas</f>
        <v>45.2747328811086</v>
      </c>
      <c r="I44" s="418" t="n">
        <f aca="false">SQRT(vit_x^2+vit_z^2)</f>
        <v>46.0519634711963</v>
      </c>
      <c r="J44" s="419" t="n">
        <f aca="false">J43+0.5*(vit_x+G43)*pas*(K43&gt;=0)</f>
        <v>1.65364742318099</v>
      </c>
      <c r="K44" s="420" t="n">
        <f aca="false">K43+0.5*(vit_z+H43)*pas</f>
        <v>9.15956778969014</v>
      </c>
      <c r="L44" s="418" t="n">
        <f aca="false">SQRT(pos_x^2+pos_z^2)</f>
        <v>9.30764373480863</v>
      </c>
      <c r="M44" s="419" t="n">
        <f aca="false">IF(AND(L43&gt;L_rampe,G44&gt;0),ATAN2(G44,H44),$M$4)</f>
        <v>1.38681295593315</v>
      </c>
      <c r="N44" s="418" t="n">
        <f aca="false">DEGREES(Beta)</f>
        <v>79.4585293490317</v>
      </c>
      <c r="O44" s="402"/>
      <c r="P44" s="421" t="n">
        <f aca="false">MATCH(t-pas/2-T_ini,CdP_t)</f>
        <v>3</v>
      </c>
      <c r="Q44" s="418" t="n">
        <f aca="false">(INDEX(CdP,2,i_P+1)-INDEX(CdP,2,i_P+0))/(INDEX(CdP,1,i_P+1)-INDEX(CdP,1,i_P+0))*(t-pas/2-T_ini-INDEX(CdP,1,i_P+0))+INDEX(CdP,2,i_P+0)</f>
        <v>179.396551724138</v>
      </c>
      <c r="R44" s="419" t="n">
        <f aca="false">Poussee/(g*ISP)</f>
        <v>0.095214682043982</v>
      </c>
      <c r="S44" s="420" t="n">
        <f aca="false">S43-Débit*pas</f>
        <v>1.51897187055167</v>
      </c>
      <c r="T44" s="418" t="n">
        <f aca="false">m*g</f>
        <v>14.9011140501118</v>
      </c>
      <c r="U44" s="422" t="n">
        <f aca="false">IF(pos_xz&lt;L_rampe,Poids*COS(Beta),0)</f>
        <v>0</v>
      </c>
      <c r="V44" s="419" t="n">
        <f aca="false">Rho_moyen*(20000-Alt_rampe-pos_z)/(20000+Alt_rampe+pos_z)</f>
        <v>1.22387846658383</v>
      </c>
      <c r="W44" s="418" t="n">
        <f aca="false">1/2*Rho*Sref*Cx*vit_xz^2</f>
        <v>2.28798589221317</v>
      </c>
      <c r="X44" s="402"/>
      <c r="Y44" s="423" t="str">
        <f aca="false">IF(AND(pos_z&lt;=0,K43&gt;0),"Impact balistique","") &amp; IF(AND(H45&lt;0,vit_z&gt;=0),"Apogée","") &amp; IF(AND(Poussee=0,Q43&gt;0),"Fin de propulsion","") &amp; IF(AND(L45&gt;L_rampe,pos_xz&lt;=L_rampe),"Sortie de rampe","")</f>
        <v/>
      </c>
      <c r="Z44" s="424" t="str">
        <f aca="false">IF(ABS(t-T_para)&lt;pas/2,"Para","")</f>
        <v/>
      </c>
      <c r="AA44" s="425" t="str">
        <f aca="false">IF(ABS(t-T_satellite)&lt;pas/2,"Satellite","")</f>
        <v/>
      </c>
      <c r="AB44" s="413"/>
      <c r="AC44" s="421" t="e">
        <f aca="false">IF(ABS(t-ROUND(t,0))&lt;0.001,t,NA())</f>
        <v>#N/A</v>
      </c>
      <c r="AD44" s="426" t="e">
        <f aca="false">IF(ABS(t-ROUND(t,0))&lt;0.001,pos_x,NA())</f>
        <v>#N/A</v>
      </c>
      <c r="AE44" s="427" t="n">
        <f aca="false">IF(t&lt;T_para, pos_z, NA())</f>
        <v>9.15956778969014</v>
      </c>
      <c r="AF44" s="413"/>
      <c r="AG44" s="419" t="n">
        <f aca="false">IF(AND(L43&lt;L_rampe,Poussee&lt;Poids*SIN(M43)),0,(-W43+Poussee)/m-Poids*SIN(M43)/m)</f>
        <v>107.021660637422</v>
      </c>
      <c r="AH44" s="418" t="n">
        <f aca="false">IF(AND(L43&lt;L_rampe,Poussee&lt;Poids*SIN(M43)), g*SIN(M43), (-W43+Poussee)/m)</f>
        <v>116.666792029814</v>
      </c>
    </row>
    <row r="45" customFormat="false" ht="12" hidden="false" customHeight="false" outlineLevel="0" collapsed="false">
      <c r="A45" s="417" t="n">
        <f aca="false">IF(B44+0.01&lt;=T_ini+ROUNDUP(Temps_fin_propu,0), 0.01, IF(K44&gt;0, 0.1, 0.0001))</f>
        <v>0.01</v>
      </c>
      <c r="B45" s="418" t="n">
        <f aca="false">B44+pas</f>
        <v>0.41</v>
      </c>
      <c r="C45" s="402"/>
      <c r="D45" s="419" t="n">
        <f aca="false">IF(AND(L44&lt;L_rampe,Poussee&lt;Poids*SIN(M44)),0,(-W44+Poussee)/m*COS(M44)-U44/m*SIN(M44))</f>
        <v>21.2406320191106</v>
      </c>
      <c r="E45" s="420" t="n">
        <f aca="false">IF(AND(L44&lt;L_rampe,Poussee&lt;Poids*SIN(M44)),0,(-W44+Poussee)/m*SIN(M44)+U44/m*COS(M44)-Poids/m)</f>
        <v>104.333061102588</v>
      </c>
      <c r="F45" s="418" t="n">
        <f aca="false">SQRT(acc_x^2+acc_z^2)</f>
        <v>106.473245877111</v>
      </c>
      <c r="G45" s="419" t="n">
        <f aca="false">G44+acc_x*pas</f>
        <v>8.63748211193674</v>
      </c>
      <c r="H45" s="420" t="n">
        <f aca="false">H44+acc_z*pas</f>
        <v>46.3180634921345</v>
      </c>
      <c r="I45" s="418" t="n">
        <f aca="false">SQRT(vit_x^2+vit_z^2)</f>
        <v>47.1165480791561</v>
      </c>
      <c r="J45" s="419" t="n">
        <f aca="false">J44+0.5*(vit_x+G44)*pas*(K44&gt;=0)</f>
        <v>1.7389602126994</v>
      </c>
      <c r="K45" s="420" t="n">
        <f aca="false">K44+0.5*(vit_z+H44)*pas</f>
        <v>9.61753177155636</v>
      </c>
      <c r="L45" s="418" t="n">
        <f aca="false">SQRT(pos_x^2+pos_z^2)</f>
        <v>9.77347942128327</v>
      </c>
      <c r="M45" s="419" t="n">
        <f aca="false">IF(AND(L44&gt;L_rampe,G45&gt;0),ATAN2(G45,H45),$M$4)</f>
        <v>1.38643204694749</v>
      </c>
      <c r="N45" s="418" t="n">
        <f aca="false">DEGREES(Beta)</f>
        <v>79.4367048717748</v>
      </c>
      <c r="O45" s="402"/>
      <c r="P45" s="421" t="n">
        <f aca="false">MATCH(t-pas/2-T_ini,CdP_t)</f>
        <v>3</v>
      </c>
      <c r="Q45" s="418" t="n">
        <f aca="false">(INDEX(CdP,2,i_P+1)-INDEX(CdP,2,i_P+0))/(INDEX(CdP,1,i_P+1)-INDEX(CdP,1,i_P+0))*(t-pas/2-T_ini-INDEX(CdP,1,i_P+0))+INDEX(CdP,2,i_P+0)</f>
        <v>178.534482758621</v>
      </c>
      <c r="R45" s="419" t="n">
        <f aca="false">Poussee/(g*ISP)</f>
        <v>0.0947571391220984</v>
      </c>
      <c r="S45" s="420" t="n">
        <f aca="false">S44-Débit*pas</f>
        <v>1.51802429916044</v>
      </c>
      <c r="T45" s="418" t="n">
        <f aca="false">m*g</f>
        <v>14.891818374764</v>
      </c>
      <c r="U45" s="422" t="n">
        <f aca="false">IF(pos_xz&lt;L_rampe,Poids*COS(Beta),0)</f>
        <v>0</v>
      </c>
      <c r="V45" s="419" t="n">
        <f aca="false">Rho_moyen*(20000-Alt_rampe-pos_z)/(20000+Alt_rampe+pos_z)</f>
        <v>1.2238224186293</v>
      </c>
      <c r="W45" s="418" t="n">
        <f aca="false">1/2*Rho*Sref*Cx*vit_xz^2</f>
        <v>2.39488178137024</v>
      </c>
      <c r="X45" s="402"/>
      <c r="Y45" s="423" t="str">
        <f aca="false">IF(AND(pos_z&lt;=0,K44&gt;0),"Impact balistique","") &amp; IF(AND(H46&lt;0,vit_z&gt;=0),"Apogée","") &amp; IF(AND(Poussee=0,Q44&gt;0),"Fin de propulsion","") &amp; IF(AND(L46&gt;L_rampe,pos_xz&lt;=L_rampe),"Sortie de rampe","")</f>
        <v/>
      </c>
      <c r="Z45" s="424" t="str">
        <f aca="false">IF(ABS(t-T_para)&lt;pas/2,"Para","")</f>
        <v/>
      </c>
      <c r="AA45" s="425" t="str">
        <f aca="false">IF(ABS(t-T_satellite)&lt;pas/2,"Satellite","")</f>
        <v/>
      </c>
      <c r="AB45" s="413"/>
      <c r="AC45" s="421" t="e">
        <f aca="false">IF(ABS(t-ROUND(t,0))&lt;0.001,t,NA())</f>
        <v>#N/A</v>
      </c>
      <c r="AD45" s="426" t="e">
        <f aca="false">IF(ABS(t-ROUND(t,0))&lt;0.001,pos_x,NA())</f>
        <v>#N/A</v>
      </c>
      <c r="AE45" s="427" t="n">
        <f aca="false">IF(t&lt;T_para, pos_z, NA())</f>
        <v>9.61753177155636</v>
      </c>
      <c r="AF45" s="413"/>
      <c r="AG45" s="419" t="n">
        <f aca="false">IF(AND(L44&lt;L_rampe,Poussee&lt;Poids*SIN(M44)),0,(-W44+Poussee)/m-Poids*SIN(M44)/m)</f>
        <v>106.45811898509</v>
      </c>
      <c r="AH45" s="418" t="n">
        <f aca="false">IF(AND(L44&lt;L_rampe,Poussee&lt;Poids*SIN(M44)), g*SIN(M44), (-W44+Poussee)/m)</f>
        <v>116.102553143505</v>
      </c>
    </row>
    <row r="46" customFormat="false" ht="12" hidden="false" customHeight="false" outlineLevel="0" collapsed="false">
      <c r="A46" s="417" t="n">
        <f aca="false">IF(B45+0.01&lt;=T_ini+ROUNDUP(Temps_fin_propu,0), 0.01, IF(K45&gt;0, 0.1, 0.0001))</f>
        <v>0.01</v>
      </c>
      <c r="B46" s="418" t="n">
        <f aca="false">B45+pas</f>
        <v>0.42</v>
      </c>
      <c r="C46" s="402"/>
      <c r="D46" s="419" t="n">
        <f aca="false">IF(AND(L45&lt;L_rampe,Poussee&lt;Poids*SIN(M45)),0,(-W45+Poussee)/m*COS(M45)-U45/m*SIN(M45))</f>
        <v>21.1802503625248</v>
      </c>
      <c r="E46" s="420" t="n">
        <f aca="false">IF(AND(L45&lt;L_rampe,Poussee&lt;Poids*SIN(M45)),0,(-W45+Poussee)/m*SIN(M45)+U45/m*COS(M45)-Poids/m)</f>
        <v>103.768027526676</v>
      </c>
      <c r="F46" s="418" t="n">
        <f aca="false">SQRT(acc_x^2+acc_z^2)</f>
        <v>105.907537702452</v>
      </c>
      <c r="G46" s="419" t="n">
        <f aca="false">G45+acc_x*pas</f>
        <v>8.84928461556198</v>
      </c>
      <c r="H46" s="420" t="n">
        <f aca="false">H45+acc_z*pas</f>
        <v>47.3557437674012</v>
      </c>
      <c r="I46" s="418" t="n">
        <f aca="false">SQRT(vit_x^2+vit_z^2)</f>
        <v>48.1754741125708</v>
      </c>
      <c r="J46" s="419" t="n">
        <f aca="false">J45+0.5*(vit_x+G45)*pas*(K45&gt;=0)</f>
        <v>1.8263940463369</v>
      </c>
      <c r="K46" s="420" t="n">
        <f aca="false">K45+0.5*(vit_z+H45)*pas</f>
        <v>10.085900807854</v>
      </c>
      <c r="L46" s="418" t="n">
        <f aca="false">SQRT(pos_x^2+pos_z^2)</f>
        <v>10.2499322104278</v>
      </c>
      <c r="M46" s="419" t="n">
        <f aca="false">IF(AND(L45&gt;L_rampe,G46&gt;0),ATAN2(G46,H46),$M$4)</f>
        <v>1.3860587480425</v>
      </c>
      <c r="N46" s="418" t="n">
        <f aca="false">DEGREES(Beta)</f>
        <v>79.4153164200219</v>
      </c>
      <c r="O46" s="402"/>
      <c r="P46" s="421" t="n">
        <f aca="false">MATCH(t-pas/2-T_ini,CdP_t)</f>
        <v>3</v>
      </c>
      <c r="Q46" s="418" t="n">
        <f aca="false">(INDEX(CdP,2,i_P+1)-INDEX(CdP,2,i_P+0))/(INDEX(CdP,1,i_P+1)-INDEX(CdP,1,i_P+0))*(t-pas/2-T_ini-INDEX(CdP,1,i_P+0))+INDEX(CdP,2,i_P+0)</f>
        <v>177.672413793103</v>
      </c>
      <c r="R46" s="419" t="n">
        <f aca="false">Poussee/(g*ISP)</f>
        <v>0.0942995962002147</v>
      </c>
      <c r="S46" s="420" t="n">
        <f aca="false">S45-Débit*pas</f>
        <v>1.51708130319844</v>
      </c>
      <c r="T46" s="418" t="n">
        <f aca="false">m*g</f>
        <v>14.8825675843767</v>
      </c>
      <c r="U46" s="422" t="n">
        <f aca="false">IF(pos_xz&lt;L_rampe,Poids*COS(Beta),0)</f>
        <v>0</v>
      </c>
      <c r="V46" s="419" t="n">
        <f aca="false">Rho_moyen*(20000-Alt_rampe-pos_z)/(20000+Alt_rampe+pos_z)</f>
        <v>1.22376509990503</v>
      </c>
      <c r="W46" s="418" t="n">
        <f aca="false">1/2*Rho*Sref*Cx*vit_xz^2</f>
        <v>2.50362225796216</v>
      </c>
      <c r="X46" s="402"/>
      <c r="Y46" s="423" t="str">
        <f aca="false">IF(AND(pos_z&lt;=0,K45&gt;0),"Impact balistique","") &amp; IF(AND(H47&lt;0,vit_z&gt;=0),"Apogée","") &amp; IF(AND(Poussee=0,Q45&gt;0),"Fin de propulsion","") &amp; IF(AND(L47&gt;L_rampe,pos_xz&lt;=L_rampe),"Sortie de rampe","")</f>
        <v/>
      </c>
      <c r="Z46" s="424" t="str">
        <f aca="false">IF(ABS(t-T_para)&lt;pas/2,"Para","")</f>
        <v/>
      </c>
      <c r="AA46" s="425" t="str">
        <f aca="false">IF(ABS(t-T_satellite)&lt;pas/2,"Satellite","")</f>
        <v/>
      </c>
      <c r="AB46" s="413"/>
      <c r="AC46" s="421" t="e">
        <f aca="false">IF(ABS(t-ROUND(t,0))&lt;0.001,t,NA())</f>
        <v>#N/A</v>
      </c>
      <c r="AD46" s="426" t="e">
        <f aca="false">IF(ABS(t-ROUND(t,0))&lt;0.001,pos_x,NA())</f>
        <v>#N/A</v>
      </c>
      <c r="AE46" s="427" t="n">
        <f aca="false">IF(t&lt;T_para, pos_z, NA())</f>
        <v>10.085900807854</v>
      </c>
      <c r="AF46" s="413"/>
      <c r="AG46" s="419" t="n">
        <f aca="false">IF(AND(L45&lt;L_rampe,Poussee&lt;Poids*SIN(M45)),0,(-W45+Poussee)/m-Poids*SIN(M45)/m)</f>
        <v>105.892267673871</v>
      </c>
      <c r="AH46" s="418" t="n">
        <f aca="false">IF(AND(L45&lt;L_rampe,Poussee&lt;Poids*SIN(M45)), g*SIN(M45), (-W45+Poussee)/m)</f>
        <v>115.53601751086</v>
      </c>
    </row>
    <row r="47" customFormat="false" ht="12" hidden="false" customHeight="false" outlineLevel="0" collapsed="false">
      <c r="A47" s="417" t="n">
        <f aca="false">IF(B46+0.01&lt;=T_ini+ROUNDUP(Temps_fin_propu,0), 0.01, IF(K46&gt;0, 0.1, 0.0001))</f>
        <v>0.01</v>
      </c>
      <c r="B47" s="418" t="n">
        <f aca="false">B46+pas</f>
        <v>0.43</v>
      </c>
      <c r="C47" s="402"/>
      <c r="D47" s="419" t="n">
        <f aca="false">IF(AND(L46&lt;L_rampe,Poussee&lt;Poids*SIN(M46)),0,(-W46+Poussee)/m*COS(M46)-U46/m*SIN(M46))</f>
        <v>21.1181646457516</v>
      </c>
      <c r="E47" s="420" t="n">
        <f aca="false">IF(AND(L46&lt;L_rampe,Poussee&lt;Poids*SIN(M46)),0,(-W46+Poussee)/m*SIN(M46)+U46/m*COS(M46)-Poids/m)</f>
        <v>103.200987582355</v>
      </c>
      <c r="F47" s="418" t="n">
        <f aca="false">SQRT(acc_x^2+acc_z^2)</f>
        <v>105.339549628706</v>
      </c>
      <c r="G47" s="419" t="n">
        <f aca="false">G46+acc_x*pas</f>
        <v>9.0604662620195</v>
      </c>
      <c r="H47" s="420" t="n">
        <f aca="false">H46+acc_z*pas</f>
        <v>48.3877536432248</v>
      </c>
      <c r="I47" s="418" t="n">
        <f aca="false">SQRT(vit_x^2+vit_z^2)</f>
        <v>49.2287187678352</v>
      </c>
      <c r="J47" s="419" t="n">
        <f aca="false">J46+0.5*(vit_x+G46)*pas*(K46&gt;=0)</f>
        <v>1.9159428007248</v>
      </c>
      <c r="K47" s="420" t="n">
        <f aca="false">K46+0.5*(vit_z+H46)*pas</f>
        <v>10.5646182949072</v>
      </c>
      <c r="L47" s="418" t="n">
        <f aca="false">SQRT(pos_x^2+pos_z^2)</f>
        <v>10.7369454004729</v>
      </c>
      <c r="M47" s="419" t="n">
        <f aca="false">IF(AND(L46&gt;L_rampe,G47&gt;0),ATAN2(G47,H47),$M$4)</f>
        <v>1.38569270458396</v>
      </c>
      <c r="N47" s="418" t="n">
        <f aca="false">DEGREES(Beta)</f>
        <v>79.3943436747294</v>
      </c>
      <c r="O47" s="402"/>
      <c r="P47" s="421" t="n">
        <f aca="false">MATCH(t-pas/2-T_ini,CdP_t)</f>
        <v>3</v>
      </c>
      <c r="Q47" s="418" t="n">
        <f aca="false">(INDEX(CdP,2,i_P+1)-INDEX(CdP,2,i_P+0))/(INDEX(CdP,1,i_P+1)-INDEX(CdP,1,i_P+0))*(t-pas/2-T_ini-INDEX(CdP,1,i_P+0))+INDEX(CdP,2,i_P+0)</f>
        <v>176.810344827586</v>
      </c>
      <c r="R47" s="419" t="n">
        <f aca="false">Poussee/(g*ISP)</f>
        <v>0.0938420532783311</v>
      </c>
      <c r="S47" s="420" t="n">
        <f aca="false">S46-Débit*pas</f>
        <v>1.51614288266566</v>
      </c>
      <c r="T47" s="418" t="n">
        <f aca="false">m*g</f>
        <v>14.8733616789501</v>
      </c>
      <c r="U47" s="422" t="n">
        <f aca="false">IF(pos_xz&lt;L_rampe,Poids*COS(Beta),0)</f>
        <v>0</v>
      </c>
      <c r="V47" s="419" t="n">
        <f aca="false">Rho_moyen*(20000-Alt_rampe-pos_z)/(20000+Alt_rampe+pos_z)</f>
        <v>1.22370651751631</v>
      </c>
      <c r="W47" s="418" t="n">
        <f aca="false">1/2*Rho*Sref*Cx*vit_xz^2</f>
        <v>2.61416553419597</v>
      </c>
      <c r="X47" s="402"/>
      <c r="Y47" s="423" t="str">
        <f aca="false">IF(AND(pos_z&lt;=0,K46&gt;0),"Impact balistique","") &amp; IF(AND(H48&lt;0,vit_z&gt;=0),"Apogée","") &amp; IF(AND(Poussee=0,Q46&gt;0),"Fin de propulsion","") &amp; IF(AND(L48&gt;L_rampe,pos_xz&lt;=L_rampe),"Sortie de rampe","")</f>
        <v/>
      </c>
      <c r="Z47" s="424" t="str">
        <f aca="false">IF(ABS(t-T_para)&lt;pas/2,"Para","")</f>
        <v/>
      </c>
      <c r="AA47" s="425" t="str">
        <f aca="false">IF(ABS(t-T_satellite)&lt;pas/2,"Satellite","")</f>
        <v/>
      </c>
      <c r="AB47" s="413"/>
      <c r="AC47" s="421" t="e">
        <f aca="false">IF(ABS(t-ROUND(t,0))&lt;0.001,t,NA())</f>
        <v>#N/A</v>
      </c>
      <c r="AD47" s="426" t="e">
        <f aca="false">IF(ABS(t-ROUND(t,0))&lt;0.001,pos_x,NA())</f>
        <v>#N/A</v>
      </c>
      <c r="AE47" s="427" t="n">
        <f aca="false">IF(t&lt;T_para, pos_z, NA())</f>
        <v>10.5646182949072</v>
      </c>
      <c r="AF47" s="413"/>
      <c r="AG47" s="419" t="n">
        <f aca="false">IF(AND(L46&lt;L_rampe,Poussee&lt;Poids*SIN(M46)),0,(-W46+Poussee)/m-Poids*SIN(M46)/m)</f>
        <v>105.324135724018</v>
      </c>
      <c r="AH47" s="418" t="n">
        <f aca="false">IF(AND(L46&lt;L_rampe,Poussee&lt;Poids*SIN(M46)), g*SIN(M46), (-W46+Poussee)/m)</f>
        <v>114.967213553884</v>
      </c>
    </row>
    <row r="48" customFormat="false" ht="12" hidden="false" customHeight="false" outlineLevel="0" collapsed="false">
      <c r="A48" s="417" t="n">
        <f aca="false">IF(B47+0.01&lt;=T_ini+ROUNDUP(Temps_fin_propu,0), 0.01, IF(K47&gt;0, 0.1, 0.0001))</f>
        <v>0.01</v>
      </c>
      <c r="B48" s="418" t="n">
        <f aca="false">B47+pas</f>
        <v>0.44</v>
      </c>
      <c r="C48" s="402"/>
      <c r="D48" s="419" t="n">
        <f aca="false">IF(AND(L47&lt;L_rampe,Poussee&lt;Poids*SIN(M47)),0,(-W47+Poussee)/m*COS(M47)-U47/m*SIN(M47))</f>
        <v>21.054430479333</v>
      </c>
      <c r="E48" s="420" t="n">
        <f aca="false">IF(AND(L47&lt;L_rampe,Poussee&lt;Poids*SIN(M47)),0,(-W47+Poussee)/m*SIN(M47)+U47/m*COS(M47)-Poids/m)</f>
        <v>102.631961116612</v>
      </c>
      <c r="F48" s="418" t="n">
        <f aca="false">SQRT(acc_x^2+acc_z^2)</f>
        <v>104.769310799732</v>
      </c>
      <c r="G48" s="419" t="n">
        <f aca="false">G47+acc_x*pas</f>
        <v>9.27101056681283</v>
      </c>
      <c r="H48" s="420" t="n">
        <f aca="false">H47+acc_z*pas</f>
        <v>49.4140732543909</v>
      </c>
      <c r="I48" s="418" t="n">
        <f aca="false">SQRT(vit_x^2+vit_z^2)</f>
        <v>50.2762595319129</v>
      </c>
      <c r="J48" s="419" t="n">
        <f aca="false">J47+0.5*(vit_x+G47)*pas*(K47&gt;=0)</f>
        <v>2.00760018486897</v>
      </c>
      <c r="K48" s="420" t="n">
        <f aca="false">K47+0.5*(vit_z+H47)*pas</f>
        <v>11.0536274293952</v>
      </c>
      <c r="L48" s="418" t="n">
        <f aca="false">SQRT(pos_x^2+pos_z^2)</f>
        <v>11.2344620632305</v>
      </c>
      <c r="M48" s="419" t="n">
        <f aca="false">IF(AND(L47&gt;L_rampe,G48&gt;0),ATAN2(G48,H48),$M$4)</f>
        <v>1.38533358584127</v>
      </c>
      <c r="N48" s="418" t="n">
        <f aca="false">DEGREES(Beta)</f>
        <v>79.3737676864291</v>
      </c>
      <c r="O48" s="402"/>
      <c r="P48" s="421" t="n">
        <f aca="false">MATCH(t-pas/2-T_ini,CdP_t)</f>
        <v>3</v>
      </c>
      <c r="Q48" s="418" t="n">
        <f aca="false">(INDEX(CdP,2,i_P+1)-INDEX(CdP,2,i_P+0))/(INDEX(CdP,1,i_P+1)-INDEX(CdP,1,i_P+0))*(t-pas/2-T_ini-INDEX(CdP,1,i_P+0))+INDEX(CdP,2,i_P+0)</f>
        <v>175.948275862069</v>
      </c>
      <c r="R48" s="419" t="n">
        <f aca="false">Poussee/(g*ISP)</f>
        <v>0.0933845103564475</v>
      </c>
      <c r="S48" s="420" t="n">
        <f aca="false">S47-Débit*pas</f>
        <v>1.51520903756209</v>
      </c>
      <c r="T48" s="418" t="n">
        <f aca="false">m*g</f>
        <v>14.8642006584842</v>
      </c>
      <c r="U48" s="422" t="n">
        <f aca="false">IF(pos_xz&lt;L_rampe,Poids*COS(Beta),0)</f>
        <v>0</v>
      </c>
      <c r="V48" s="419" t="n">
        <f aca="false">Rho_moyen*(20000-Alt_rampe-pos_z)/(20000+Alt_rampe+pos_z)</f>
        <v>1.22364667859543</v>
      </c>
      <c r="W48" s="418" t="n">
        <f aca="false">1/2*Rho*Sref*Cx*vit_xz^2</f>
        <v>2.72646985404586</v>
      </c>
      <c r="X48" s="402"/>
      <c r="Y48" s="423" t="str">
        <f aca="false">IF(AND(pos_z&lt;=0,K47&gt;0),"Impact balistique","") &amp; IF(AND(H49&lt;0,vit_z&gt;=0),"Apogée","") &amp; IF(AND(Poussee=0,Q47&gt;0),"Fin de propulsion","") &amp; IF(AND(L49&gt;L_rampe,pos_xz&lt;=L_rampe),"Sortie de rampe","")</f>
        <v/>
      </c>
      <c r="Z48" s="424" t="str">
        <f aca="false">IF(ABS(t-T_para)&lt;pas/2,"Para","")</f>
        <v/>
      </c>
      <c r="AA48" s="425" t="str">
        <f aca="false">IF(ABS(t-T_satellite)&lt;pas/2,"Satellite","")</f>
        <v/>
      </c>
      <c r="AB48" s="413"/>
      <c r="AC48" s="421" t="e">
        <f aca="false">IF(ABS(t-ROUND(t,0))&lt;0.001,t,NA())</f>
        <v>#N/A</v>
      </c>
      <c r="AD48" s="426" t="e">
        <f aca="false">IF(ABS(t-ROUND(t,0))&lt;0.001,pos_x,NA())</f>
        <v>#N/A</v>
      </c>
      <c r="AE48" s="427" t="n">
        <f aca="false">IF(t&lt;T_para, pos_z, NA())</f>
        <v>11.0536274293952</v>
      </c>
      <c r="AF48" s="413"/>
      <c r="AG48" s="419" t="n">
        <f aca="false">IF(AND(L47&lt;L_rampe,Poussee&lt;Poids*SIN(M47)),0,(-W47+Poussee)/m-Poids*SIN(M47)/m)</f>
        <v>104.753752210692</v>
      </c>
      <c r="AH48" s="418" t="n">
        <f aca="false">IF(AND(L47&lt;L_rampe,Poussee&lt;Poids*SIN(M47)), g*SIN(M47), (-W47+Poussee)/m)</f>
        <v>114.396169789721</v>
      </c>
    </row>
    <row r="49" customFormat="false" ht="12" hidden="false" customHeight="false" outlineLevel="0" collapsed="false">
      <c r="A49" s="417" t="n">
        <f aca="false">IF(B48+0.01&lt;=T_ini+ROUNDUP(Temps_fin_propu,0), 0.01, IF(K48&gt;0, 0.1, 0.0001))</f>
        <v>0.01</v>
      </c>
      <c r="B49" s="418" t="n">
        <f aca="false">B48+pas</f>
        <v>0.45</v>
      </c>
      <c r="C49" s="402"/>
      <c r="D49" s="419" t="n">
        <f aca="false">IF(AND(L48&lt;L_rampe,Poussee&lt;Poids*SIN(M48)),0,(-W48+Poussee)/m*COS(M48)-U48/m*SIN(M48))</f>
        <v>20.9891001422709</v>
      </c>
      <c r="E49" s="420" t="n">
        <f aca="false">IF(AND(L48&lt;L_rampe,Poussee&lt;Poids*SIN(M48)),0,(-W48+Poussee)/m*SIN(M48)+U48/m*COS(M48)-Poids/m)</f>
        <v>102.060968596088</v>
      </c>
      <c r="F49" s="418" t="n">
        <f aca="false">SQRT(acc_x^2+acc_z^2)</f>
        <v>104.196850410912</v>
      </c>
      <c r="G49" s="419" t="n">
        <f aca="false">G48+acc_x*pas</f>
        <v>9.48090156823554</v>
      </c>
      <c r="H49" s="420" t="n">
        <f aca="false">H48+acc_z*pas</f>
        <v>50.4346829403518</v>
      </c>
      <c r="I49" s="418" t="n">
        <f aca="false">SQRT(vit_x^2+vit_z^2)</f>
        <v>51.3180741828879</v>
      </c>
      <c r="J49" s="419" t="n">
        <f aca="false">J48+0.5*(vit_x+G48)*pas*(K48&gt;=0)</f>
        <v>2.10135974554421</v>
      </c>
      <c r="K49" s="420" t="n">
        <f aca="false">K48+0.5*(vit_z+H48)*pas</f>
        <v>11.552871210369</v>
      </c>
      <c r="L49" s="418" t="n">
        <f aca="false">SQRT(pos_x^2+pos_z^2)</f>
        <v>11.7424250469639</v>
      </c>
      <c r="M49" s="419" t="n">
        <f aca="false">IF(AND(L48&gt;L_rampe,G49&gt;0),ATAN2(G49,H49),$M$4)</f>
        <v>1.38498108286939</v>
      </c>
      <c r="N49" s="418" t="n">
        <f aca="false">DEGREES(Beta)</f>
        <v>79.3535707538744</v>
      </c>
      <c r="O49" s="402"/>
      <c r="P49" s="421" t="n">
        <f aca="false">MATCH(t-pas/2-T_ini,CdP_t)</f>
        <v>3</v>
      </c>
      <c r="Q49" s="418" t="n">
        <f aca="false">(INDEX(CdP,2,i_P+1)-INDEX(CdP,2,i_P+0))/(INDEX(CdP,1,i_P+1)-INDEX(CdP,1,i_P+0))*(t-pas/2-T_ini-INDEX(CdP,1,i_P+0))+INDEX(CdP,2,i_P+0)</f>
        <v>175.086206896552</v>
      </c>
      <c r="R49" s="419" t="n">
        <f aca="false">Poussee/(g*ISP)</f>
        <v>0.0929269674345639</v>
      </c>
      <c r="S49" s="420" t="n">
        <f aca="false">S48-Débit*pas</f>
        <v>1.51427976788775</v>
      </c>
      <c r="T49" s="418" t="n">
        <f aca="false">m*g</f>
        <v>14.8550845229788</v>
      </c>
      <c r="U49" s="422" t="n">
        <f aca="false">IF(pos_xz&lt;L_rampe,Poids*COS(Beta),0)</f>
        <v>0</v>
      </c>
      <c r="V49" s="419" t="n">
        <f aca="false">Rho_moyen*(20000-Alt_rampe-pos_z)/(20000+Alt_rampe+pos_z)</f>
        <v>1.22358559030138</v>
      </c>
      <c r="W49" s="418" t="n">
        <f aca="false">1/2*Rho*Sref*Cx*vit_xz^2</f>
        <v>2.84049349991179</v>
      </c>
      <c r="X49" s="402"/>
      <c r="Y49" s="423" t="str">
        <f aca="false">IF(AND(pos_z&lt;=0,K48&gt;0),"Impact balistique","") &amp; IF(AND(H50&lt;0,vit_z&gt;=0),"Apogée","") &amp; IF(AND(Poussee=0,Q48&gt;0),"Fin de propulsion","") &amp; IF(AND(L50&gt;L_rampe,pos_xz&lt;=L_rampe),"Sortie de rampe","")</f>
        <v/>
      </c>
      <c r="Z49" s="424" t="str">
        <f aca="false">IF(ABS(t-T_para)&lt;pas/2,"Para","")</f>
        <v/>
      </c>
      <c r="AA49" s="425" t="str">
        <f aca="false">IF(ABS(t-T_satellite)&lt;pas/2,"Satellite","")</f>
        <v/>
      </c>
      <c r="AB49" s="413"/>
      <c r="AC49" s="421" t="e">
        <f aca="false">IF(ABS(t-ROUND(t,0))&lt;0.001,t,NA())</f>
        <v>#N/A</v>
      </c>
      <c r="AD49" s="426" t="e">
        <f aca="false">IF(ABS(t-ROUND(t,0))&lt;0.001,pos_x,NA())</f>
        <v>#N/A</v>
      </c>
      <c r="AE49" s="427" t="n">
        <f aca="false">IF(t&lt;T_para, pos_z, NA())</f>
        <v>11.552871210369</v>
      </c>
      <c r="AF49" s="413"/>
      <c r="AG49" s="419" t="n">
        <f aca="false">IF(AND(L48&lt;L_rampe,Poussee&lt;Poids*SIN(M48)),0,(-W48+Poussee)/m-Poids*SIN(M48)/m)</f>
        <v>104.181146262549</v>
      </c>
      <c r="AH49" s="418" t="n">
        <f aca="false">IF(AND(L48&lt;L_rampe,Poussee&lt;Poids*SIN(M48)), g*SIN(M48), (-W48+Poussee)/m)</f>
        <v>113.822914825659</v>
      </c>
    </row>
    <row r="50" customFormat="false" ht="12" hidden="false" customHeight="false" outlineLevel="0" collapsed="false">
      <c r="A50" s="417" t="n">
        <f aca="false">IF(B49+0.01&lt;=T_ini+ROUNDUP(Temps_fin_propu,0), 0.01, IF(K49&gt;0, 0.1, 0.0001))</f>
        <v>0.01</v>
      </c>
      <c r="B50" s="418" t="n">
        <f aca="false">B49+pas</f>
        <v>0.46</v>
      </c>
      <c r="C50" s="402"/>
      <c r="D50" s="419" t="n">
        <f aca="false">IF(AND(L49&lt;L_rampe,Poussee&lt;Poids*SIN(M49)),0,(-W49+Poussee)/m*COS(M49)-U49/m*SIN(M49))</f>
        <v>20.9222228764705</v>
      </c>
      <c r="E50" s="420" t="n">
        <f aca="false">IF(AND(L49&lt;L_rampe,Poussee&lt;Poids*SIN(M49)),0,(-W49+Poussee)/m*SIN(M49)+U49/m*COS(M49)-Poids/m)</f>
        <v>101.488031056191</v>
      </c>
      <c r="F50" s="418" t="n">
        <f aca="false">SQRT(acc_x^2+acc_z^2)</f>
        <v>103.62219770761</v>
      </c>
      <c r="G50" s="419" t="n">
        <f aca="false">G49+acc_x*pas</f>
        <v>9.69012379700024</v>
      </c>
      <c r="H50" s="420" t="n">
        <f aca="false">H49+acc_z*pas</f>
        <v>51.4495632509137</v>
      </c>
      <c r="I50" s="418" t="n">
        <f aca="false">SQRT(vit_x^2+vit_z^2)</f>
        <v>52.3541407904949</v>
      </c>
      <c r="J50" s="419" t="n">
        <f aca="false">J49+0.5*(vit_x+G49)*pas*(K49&gt;=0)</f>
        <v>2.19721487237039</v>
      </c>
      <c r="K50" s="420" t="n">
        <f aca="false">K49+0.5*(vit_z+H49)*pas</f>
        <v>12.0622924413253</v>
      </c>
      <c r="L50" s="418" t="n">
        <f aca="false">SQRT(pos_x^2+pos_z^2)</f>
        <v>12.2607769792709</v>
      </c>
      <c r="M50" s="419" t="n">
        <f aca="false">IF(AND(L49&gt;L_rampe,G50&gt;0),ATAN2(G50,H50),$M$4)</f>
        <v>1.38463490662104</v>
      </c>
      <c r="N50" s="418" t="n">
        <f aca="false">DEGREES(Beta)</f>
        <v>79.3337363158766</v>
      </c>
      <c r="O50" s="402"/>
      <c r="P50" s="421" t="n">
        <f aca="false">MATCH(t-pas/2-T_ini,CdP_t)</f>
        <v>3</v>
      </c>
      <c r="Q50" s="418" t="n">
        <f aca="false">(INDEX(CdP,2,i_P+1)-INDEX(CdP,2,i_P+0))/(INDEX(CdP,1,i_P+1)-INDEX(CdP,1,i_P+0))*(t-pas/2-T_ini-INDEX(CdP,1,i_P+0))+INDEX(CdP,2,i_P+0)</f>
        <v>174.224137931034</v>
      </c>
      <c r="R50" s="419" t="n">
        <f aca="false">Poussee/(g*ISP)</f>
        <v>0.0924694245126802</v>
      </c>
      <c r="S50" s="420" t="n">
        <f aca="false">S49-Débit*pas</f>
        <v>1.51335507364262</v>
      </c>
      <c r="T50" s="418" t="n">
        <f aca="false">m*g</f>
        <v>14.8460132724341</v>
      </c>
      <c r="U50" s="422" t="n">
        <f aca="false">IF(pos_xz&lt;L_rampe,Poids*COS(Beta),0)</f>
        <v>0</v>
      </c>
      <c r="V50" s="419" t="n">
        <f aca="false">Rho_moyen*(20000-Alt_rampe-pos_z)/(20000+Alt_rampe+pos_z)</f>
        <v>1.22352325981953</v>
      </c>
      <c r="W50" s="418" t="n">
        <f aca="false">1/2*Rho*Sref*Cx*vit_xz^2</f>
        <v>2.95619479923368</v>
      </c>
      <c r="X50" s="402"/>
      <c r="Y50" s="423" t="str">
        <f aca="false">IF(AND(pos_z&lt;=0,K49&gt;0),"Impact balistique","") &amp; IF(AND(H51&lt;0,vit_z&gt;=0),"Apogée","") &amp; IF(AND(Poussee=0,Q49&gt;0),"Fin de propulsion","") &amp; IF(AND(L51&gt;L_rampe,pos_xz&lt;=L_rampe),"Sortie de rampe","")</f>
        <v/>
      </c>
      <c r="Z50" s="424" t="str">
        <f aca="false">IF(ABS(t-T_para)&lt;pas/2,"Para","")</f>
        <v/>
      </c>
      <c r="AA50" s="425" t="str">
        <f aca="false">IF(ABS(t-T_satellite)&lt;pas/2,"Satellite","")</f>
        <v/>
      </c>
      <c r="AB50" s="413"/>
      <c r="AC50" s="421" t="e">
        <f aca="false">IF(ABS(t-ROUND(t,0))&lt;0.001,t,NA())</f>
        <v>#N/A</v>
      </c>
      <c r="AD50" s="426" t="e">
        <f aca="false">IF(ABS(t-ROUND(t,0))&lt;0.001,pos_x,NA())</f>
        <v>#N/A</v>
      </c>
      <c r="AE50" s="427" t="n">
        <f aca="false">IF(t&lt;T_para, pos_z, NA())</f>
        <v>12.0622924413253</v>
      </c>
      <c r="AF50" s="413"/>
      <c r="AG50" s="419" t="n">
        <f aca="false">IF(AND(L49&lt;L_rampe,Poussee&lt;Poids*SIN(M49)),0,(-W49+Poussee)/m-Poids*SIN(M49)/m)</f>
        <v>103.606347059941</v>
      </c>
      <c r="AH50" s="418" t="n">
        <f aca="false">IF(AND(L49&lt;L_rampe,Poussee&lt;Poids*SIN(M49)), g*SIN(M49), (-W49+Poussee)/m)</f>
        <v>113.247477354145</v>
      </c>
    </row>
    <row r="51" customFormat="false" ht="12" hidden="false" customHeight="false" outlineLevel="0" collapsed="false">
      <c r="A51" s="417" t="n">
        <f aca="false">IF(B50+0.01&lt;=T_ini+ROUNDUP(Temps_fin_propu,0), 0.01, IF(K50&gt;0, 0.1, 0.0001))</f>
        <v>0.01</v>
      </c>
      <c r="B51" s="418" t="n">
        <f aca="false">B50+pas</f>
        <v>0.47</v>
      </c>
      <c r="C51" s="402"/>
      <c r="D51" s="419" t="n">
        <f aca="false">IF(AND(L50&lt;L_rampe,Poussee&lt;Poids*SIN(M50)),0,(-W50+Poussee)/m*COS(M50)-U50/m*SIN(M50))</f>
        <v>20.8538451492332</v>
      </c>
      <c r="E51" s="420" t="n">
        <f aca="false">IF(AND(L50&lt;L_rampe,Poussee&lt;Poids*SIN(M50)),0,(-W50+Poussee)/m*SIN(M50)+U50/m*COS(M50)-Poids/m)</f>
        <v>100.913170055101</v>
      </c>
      <c r="F51" s="418" t="n">
        <f aca="false">SQRT(acc_x^2+acc_z^2)</f>
        <v>103.045381983269</v>
      </c>
      <c r="G51" s="419" t="n">
        <f aca="false">G50+acc_x*pas</f>
        <v>9.89866224849258</v>
      </c>
      <c r="H51" s="420" t="n">
        <f aca="false">H50+acc_z*pas</f>
        <v>52.4586949514647</v>
      </c>
      <c r="I51" s="418" t="n">
        <f aca="false">SQRT(vit_x^2+vit_z^2)</f>
        <v>53.3844377166282</v>
      </c>
      <c r="J51" s="419" t="n">
        <f aca="false">J50+0.5*(vit_x+G50)*pas*(K50&gt;=0)</f>
        <v>2.29515880259785</v>
      </c>
      <c r="K51" s="420" t="n">
        <f aca="false">K50+0.5*(vit_z+H50)*pas</f>
        <v>12.5818337323372</v>
      </c>
      <c r="L51" s="418" t="n">
        <f aca="false">SQRT(pos_x^2+pos_z^2)</f>
        <v>12.789460269977</v>
      </c>
      <c r="M51" s="419" t="n">
        <f aca="false">IF(AND(L50&gt;L_rampe,G51&gt;0),ATAN2(G51,H51),$M$4)</f>
        <v>1.38429478625965</v>
      </c>
      <c r="N51" s="418" t="n">
        <f aca="false">DEGREES(Beta)</f>
        <v>79.3142488546424</v>
      </c>
      <c r="O51" s="402"/>
      <c r="P51" s="421" t="n">
        <f aca="false">MATCH(t-pas/2-T_ini,CdP_t)</f>
        <v>3</v>
      </c>
      <c r="Q51" s="418" t="n">
        <f aca="false">(INDEX(CdP,2,i_P+1)-INDEX(CdP,2,i_P+0))/(INDEX(CdP,1,i_P+1)-INDEX(CdP,1,i_P+0))*(t-pas/2-T_ini-INDEX(CdP,1,i_P+0))+INDEX(CdP,2,i_P+0)</f>
        <v>173.362068965517</v>
      </c>
      <c r="R51" s="419" t="n">
        <f aca="false">Poussee/(g*ISP)</f>
        <v>0.0920118815907966</v>
      </c>
      <c r="S51" s="420" t="n">
        <f aca="false">S50-Débit*pas</f>
        <v>1.51243495482671</v>
      </c>
      <c r="T51" s="418" t="n">
        <f aca="false">m*g</f>
        <v>14.8369869068501</v>
      </c>
      <c r="U51" s="422" t="n">
        <f aca="false">IF(pos_xz&lt;L_rampe,Poids*COS(Beta),0)</f>
        <v>0</v>
      </c>
      <c r="V51" s="419" t="n">
        <f aca="false">Rho_moyen*(20000-Alt_rampe-pos_z)/(20000+Alt_rampe+pos_z)</f>
        <v>1.22345969436126</v>
      </c>
      <c r="W51" s="418" t="n">
        <f aca="false">1/2*Rho*Sref*Cx*vit_xz^2</f>
        <v>3.07353213105963</v>
      </c>
      <c r="X51" s="402"/>
      <c r="Y51" s="423" t="str">
        <f aca="false">IF(AND(pos_z&lt;=0,K50&gt;0),"Impact balistique","") &amp; IF(AND(H52&lt;0,vit_z&gt;=0),"Apogée","") &amp; IF(AND(Poussee=0,Q50&gt;0),"Fin de propulsion","") &amp; IF(AND(L52&gt;L_rampe,pos_xz&lt;=L_rampe),"Sortie de rampe","")</f>
        <v/>
      </c>
      <c r="Z51" s="424" t="str">
        <f aca="false">IF(ABS(t-T_para)&lt;pas/2,"Para","")</f>
        <v/>
      </c>
      <c r="AA51" s="425" t="str">
        <f aca="false">IF(ABS(t-T_satellite)&lt;pas/2,"Satellite","")</f>
        <v/>
      </c>
      <c r="AB51" s="413"/>
      <c r="AC51" s="421" t="e">
        <f aca="false">IF(ABS(t-ROUND(t,0))&lt;0.001,t,NA())</f>
        <v>#N/A</v>
      </c>
      <c r="AD51" s="426" t="e">
        <f aca="false">IF(ABS(t-ROUND(t,0))&lt;0.001,pos_x,NA())</f>
        <v>#N/A</v>
      </c>
      <c r="AE51" s="427" t="n">
        <f aca="false">IF(t&lt;T_para, pos_z, NA())</f>
        <v>12.5818337323372</v>
      </c>
      <c r="AF51" s="413"/>
      <c r="AG51" s="419" t="n">
        <f aca="false">IF(AND(L50&lt;L_rampe,Poussee&lt;Poids*SIN(M50)),0,(-W50+Poussee)/m-Poids*SIN(M50)/m)</f>
        <v>103.029383832787</v>
      </c>
      <c r="AH51" s="418" t="n">
        <f aca="false">IF(AND(L50&lt;L_rampe,Poussee&lt;Poids*SIN(M50)), g*SIN(M50), (-W50+Poussee)/m)</f>
        <v>112.669886147803</v>
      </c>
    </row>
    <row r="52" customFormat="false" ht="12" hidden="false" customHeight="false" outlineLevel="0" collapsed="false">
      <c r="A52" s="417" t="n">
        <f aca="false">IF(B51+0.01&lt;=T_ini+ROUNDUP(Temps_fin_propu,0), 0.01, IF(K51&gt;0, 0.1, 0.0001))</f>
        <v>0.01</v>
      </c>
      <c r="B52" s="418" t="n">
        <f aca="false">B51+pas</f>
        <v>0.48</v>
      </c>
      <c r="C52" s="402"/>
      <c r="D52" s="419" t="n">
        <f aca="false">IF(AND(L51&lt;L_rampe,Poussee&lt;Poids*SIN(M51)),0,(-W51+Poussee)/m*COS(M51)-U51/m*SIN(M51))</f>
        <v>20.7840108878709</v>
      </c>
      <c r="E52" s="420" t="n">
        <f aca="false">IF(AND(L51&lt;L_rampe,Poussee&lt;Poids*SIN(M51)),0,(-W51+Poussee)/m*SIN(M51)+U51/m*COS(M51)-Poids/m)</f>
        <v>100.336407632079</v>
      </c>
      <c r="F52" s="418" t="n">
        <f aca="false">SQRT(acc_x^2+acc_z^2)</f>
        <v>102.4664325772</v>
      </c>
      <c r="G52" s="419" t="n">
        <f aca="false">G51+acc_x*pas</f>
        <v>10.1065023573713</v>
      </c>
      <c r="H52" s="420" t="n">
        <f aca="false">H51+acc_z*pas</f>
        <v>53.4620590277855</v>
      </c>
      <c r="I52" s="418" t="n">
        <f aca="false">SQRT(vit_x^2+vit_z^2)</f>
        <v>54.4089436158245</v>
      </c>
      <c r="J52" s="419" t="n">
        <f aca="false">J51+0.5*(vit_x+G51)*pas*(K51&gt;=0)</f>
        <v>2.39518462562717</v>
      </c>
      <c r="K52" s="420" t="n">
        <f aca="false">K51+0.5*(vit_z+H51)*pas</f>
        <v>13.1114375022334</v>
      </c>
      <c r="L52" s="418" t="n">
        <f aca="false">SQRT(pos_x^2+pos_z^2)</f>
        <v>13.3284171140392</v>
      </c>
      <c r="M52" s="419" t="n">
        <f aca="false">IF(AND(L51&gt;L_rampe,G52&gt;0),ATAN2(G52,H52),$M$4)</f>
        <v>1.38396046764787</v>
      </c>
      <c r="N52" s="418" t="n">
        <f aca="false">DEGREES(Beta)</f>
        <v>79.2950938091748</v>
      </c>
      <c r="O52" s="402"/>
      <c r="P52" s="421" t="n">
        <f aca="false">MATCH(t-pas/2-T_ini,CdP_t)</f>
        <v>3</v>
      </c>
      <c r="Q52" s="418" t="n">
        <f aca="false">(INDEX(CdP,2,i_P+1)-INDEX(CdP,2,i_P+0))/(INDEX(CdP,1,i_P+1)-INDEX(CdP,1,i_P+0))*(t-pas/2-T_ini-INDEX(CdP,1,i_P+0))+INDEX(CdP,2,i_P+0)</f>
        <v>172.5</v>
      </c>
      <c r="R52" s="419" t="n">
        <f aca="false">Poussee/(g*ISP)</f>
        <v>0.091554338668913</v>
      </c>
      <c r="S52" s="420" t="n">
        <f aca="false">S51-Débit*pas</f>
        <v>1.51151941144002</v>
      </c>
      <c r="T52" s="418" t="n">
        <f aca="false">m*g</f>
        <v>14.8280054262266</v>
      </c>
      <c r="U52" s="422" t="n">
        <f aca="false">IF(pos_xz&lt;L_rampe,Poids*COS(Beta),0)</f>
        <v>0</v>
      </c>
      <c r="V52" s="419" t="n">
        <f aca="false">Rho_moyen*(20000-Alt_rampe-pos_z)/(20000+Alt_rampe+pos_z)</f>
        <v>1.22339490116363</v>
      </c>
      <c r="W52" s="418" t="n">
        <f aca="false">1/2*Rho*Sref*Cx*vit_xz^2</f>
        <v>3.19246393256677</v>
      </c>
      <c r="X52" s="402"/>
      <c r="Y52" s="423" t="str">
        <f aca="false">IF(AND(pos_z&lt;=0,K51&gt;0),"Impact balistique","") &amp; IF(AND(H53&lt;0,vit_z&gt;=0),"Apogée","") &amp; IF(AND(Poussee=0,Q51&gt;0),"Fin de propulsion","") &amp; IF(AND(L53&gt;L_rampe,pos_xz&lt;=L_rampe),"Sortie de rampe","")</f>
        <v/>
      </c>
      <c r="Z52" s="424" t="str">
        <f aca="false">IF(ABS(t-T_para)&lt;pas/2,"Para","")</f>
        <v/>
      </c>
      <c r="AA52" s="425" t="str">
        <f aca="false">IF(ABS(t-T_satellite)&lt;pas/2,"Satellite","")</f>
        <v/>
      </c>
      <c r="AB52" s="413"/>
      <c r="AC52" s="421" t="e">
        <f aca="false">IF(ABS(t-ROUND(t,0))&lt;0.001,t,NA())</f>
        <v>#N/A</v>
      </c>
      <c r="AD52" s="426" t="e">
        <f aca="false">IF(ABS(t-ROUND(t,0))&lt;0.001,pos_x,NA())</f>
        <v>#N/A</v>
      </c>
      <c r="AE52" s="427" t="n">
        <f aca="false">IF(t&lt;T_para, pos_z, NA())</f>
        <v>13.1114375022334</v>
      </c>
      <c r="AF52" s="413"/>
      <c r="AG52" s="419" t="n">
        <f aca="false">IF(AND(L51&lt;L_rampe,Poussee&lt;Poids*SIN(M51)),0,(-W51+Poussee)/m-Poids*SIN(M51)/m)</f>
        <v>102.450285858149</v>
      </c>
      <c r="AH52" s="418" t="n">
        <f aca="false">IF(AND(L51&lt;L_rampe,Poussee&lt;Poids*SIN(M51)), g*SIN(M51), (-W51+Poussee)/m)</f>
        <v>112.090170054467</v>
      </c>
    </row>
    <row r="53" customFormat="false" ht="12" hidden="false" customHeight="false" outlineLevel="0" collapsed="false">
      <c r="A53" s="417" t="n">
        <f aca="false">IF(B52+0.01&lt;=T_ini+ROUNDUP(Temps_fin_propu,0), 0.01, IF(K52&gt;0, 0.1, 0.0001))</f>
        <v>0.01</v>
      </c>
      <c r="B53" s="418" t="n">
        <f aca="false">B52+pas</f>
        <v>0.49</v>
      </c>
      <c r="C53" s="402"/>
      <c r="D53" s="419" t="n">
        <f aca="false">IF(AND(L52&lt;L_rampe,Poussee&lt;Poids*SIN(M52)),0,(-W52+Poussee)/m*COS(M52)-U52/m*SIN(M52))</f>
        <v>20.7127616899211</v>
      </c>
      <c r="E53" s="420" t="n">
        <f aca="false">IF(AND(L52&lt;L_rampe,Poussee&lt;Poids*SIN(M52)),0,(-W52+Poussee)/m*SIN(M52)+U52/m*COS(M52)-Poids/m)</f>
        <v>99.7577662695403</v>
      </c>
      <c r="F53" s="418" t="n">
        <f aca="false">SQRT(acc_x^2+acc_z^2)</f>
        <v>101.885378872102</v>
      </c>
      <c r="G53" s="419" t="n">
        <f aca="false">G52+acc_x*pas</f>
        <v>10.3136299742705</v>
      </c>
      <c r="H53" s="420" t="n">
        <f aca="false">H52+acc_z*pas</f>
        <v>54.4596366904809</v>
      </c>
      <c r="I53" s="418" t="n">
        <f aca="false">SQRT(vit_x^2+vit_z^2)</f>
        <v>55.4276374357174</v>
      </c>
      <c r="J53" s="419" t="n">
        <f aca="false">J52+0.5*(vit_x+G52)*pas*(K52&gt;=0)</f>
        <v>2.49728528728538</v>
      </c>
      <c r="K53" s="420" t="n">
        <f aca="false">K52+0.5*(vit_z+H52)*pas</f>
        <v>13.6510459808248</v>
      </c>
      <c r="L53" s="418" t="n">
        <f aca="false">SQRT(pos_x^2+pos_z^2)</f>
        <v>13.8775894944577</v>
      </c>
      <c r="M53" s="419" t="n">
        <f aca="false">IF(AND(L52&gt;L_rampe,G53&gt;0),ATAN2(G53,H53),$M$4)</f>
        <v>1.38363171199022</v>
      </c>
      <c r="N53" s="418" t="n">
        <f aca="false">DEGREES(Beta)</f>
        <v>79.2762574975002</v>
      </c>
      <c r="O53" s="402"/>
      <c r="P53" s="421" t="n">
        <f aca="false">MATCH(t-pas/2-T_ini,CdP_t)</f>
        <v>3</v>
      </c>
      <c r="Q53" s="418" t="n">
        <f aca="false">(INDEX(CdP,2,i_P+1)-INDEX(CdP,2,i_P+0))/(INDEX(CdP,1,i_P+1)-INDEX(CdP,1,i_P+0))*(t-pas/2-T_ini-INDEX(CdP,1,i_P+0))+INDEX(CdP,2,i_P+0)</f>
        <v>171.637931034483</v>
      </c>
      <c r="R53" s="419" t="n">
        <f aca="false">Poussee/(g*ISP)</f>
        <v>0.0910967957470294</v>
      </c>
      <c r="S53" s="420" t="n">
        <f aca="false">S52-Débit*pas</f>
        <v>1.51060844348255</v>
      </c>
      <c r="T53" s="418" t="n">
        <f aca="false">m*g</f>
        <v>14.8190688305639</v>
      </c>
      <c r="U53" s="422" t="n">
        <f aca="false">IF(pos_xz&lt;L_rampe,Poids*COS(Beta),0)</f>
        <v>0</v>
      </c>
      <c r="V53" s="419" t="n">
        <f aca="false">Rho_moyen*(20000-Alt_rampe-pos_z)/(20000+Alt_rampe+pos_z)</f>
        <v>1.22332888748904</v>
      </c>
      <c r="W53" s="418" t="n">
        <f aca="false">1/2*Rho*Sref*Cx*vit_xz^2</f>
        <v>3.31294870553343</v>
      </c>
      <c r="X53" s="402"/>
      <c r="Y53" s="423" t="str">
        <f aca="false">IF(AND(pos_z&lt;=0,K52&gt;0),"Impact balistique","") &amp; IF(AND(H54&lt;0,vit_z&gt;=0),"Apogée","") &amp; IF(AND(Poussee=0,Q52&gt;0),"Fin de propulsion","") &amp; IF(AND(L54&gt;L_rampe,pos_xz&lt;=L_rampe),"Sortie de rampe","")</f>
        <v/>
      </c>
      <c r="Z53" s="424" t="str">
        <f aca="false">IF(ABS(t-T_para)&lt;pas/2,"Para","")</f>
        <v/>
      </c>
      <c r="AA53" s="425" t="str">
        <f aca="false">IF(ABS(t-T_satellite)&lt;pas/2,"Satellite","")</f>
        <v/>
      </c>
      <c r="AB53" s="413"/>
      <c r="AC53" s="421" t="e">
        <f aca="false">IF(ABS(t-ROUND(t,0))&lt;0.001,t,NA())</f>
        <v>#N/A</v>
      </c>
      <c r="AD53" s="426" t="e">
        <f aca="false">IF(ABS(t-ROUND(t,0))&lt;0.001,pos_x,NA())</f>
        <v>#N/A</v>
      </c>
      <c r="AE53" s="427" t="n">
        <f aca="false">IF(t&lt;T_para, pos_z, NA())</f>
        <v>13.6510459808248</v>
      </c>
      <c r="AF53" s="413"/>
      <c r="AG53" s="419" t="n">
        <f aca="false">IF(AND(L52&lt;L_rampe,Poussee&lt;Poids*SIN(M52)),0,(-W52+Poussee)/m-Poids*SIN(M52)/m)</f>
        <v>101.869082457558</v>
      </c>
      <c r="AH53" s="418" t="n">
        <f aca="false">IF(AND(L52&lt;L_rampe,Poussee&lt;Poids*SIN(M52)), g*SIN(M52), (-W52+Poussee)/m)</f>
        <v>111.508357992215</v>
      </c>
    </row>
    <row r="54" customFormat="false" ht="12" hidden="false" customHeight="false" outlineLevel="0" collapsed="false">
      <c r="A54" s="417" t="n">
        <f aca="false">IF(B53+0.01&lt;=T_ini+ROUNDUP(Temps_fin_propu,0), 0.01, IF(K53&gt;0, 0.1, 0.0001))</f>
        <v>0.01</v>
      </c>
      <c r="B54" s="418" t="n">
        <f aca="false">B53+pas</f>
        <v>0.5</v>
      </c>
      <c r="C54" s="402"/>
      <c r="D54" s="419" t="n">
        <f aca="false">IF(AND(L53&lt;L_rampe,Poussee&lt;Poids*SIN(M53)),0,(-W53+Poussee)/m*COS(M53)-U53/m*SIN(M53))</f>
        <v>20.6401370119434</v>
      </c>
      <c r="E54" s="420" t="n">
        <f aca="false">IF(AND(L53&lt;L_rampe,Poussee&lt;Poids*SIN(M53)),0,(-W53+Poussee)/m*SIN(M53)+U53/m*COS(M53)-Poids/m)</f>
        <v>99.1772688584306</v>
      </c>
      <c r="F54" s="418" t="n">
        <f aca="false">SQRT(acc_x^2+acc_z^2)</f>
        <v>101.30225029134</v>
      </c>
      <c r="G54" s="419" t="n">
        <f aca="false">G53+acc_x*pas</f>
        <v>10.5200313443899</v>
      </c>
      <c r="H54" s="420" t="n">
        <f aca="false">H53+acc_z*pas</f>
        <v>55.4514093790652</v>
      </c>
      <c r="I54" s="418" t="n">
        <f aca="false">SQRT(vit_x^2+vit_z^2)</f>
        <v>56.4404984174629</v>
      </c>
      <c r="J54" s="419" t="n">
        <f aca="false">J53+0.5*(vit_x+G53)*pas*(K53&gt;=0)</f>
        <v>2.60145359387868</v>
      </c>
      <c r="K54" s="420" t="n">
        <f aca="false">K53+0.5*(vit_z+H53)*pas</f>
        <v>14.2006012111725</v>
      </c>
      <c r="L54" s="418" t="n">
        <f aca="false">SQRT(pos_x^2+pos_z^2)</f>
        <v>14.4369191851952</v>
      </c>
      <c r="M54" s="419" t="n">
        <f aca="false">IF(AND(L53&gt;L_rampe,G54&gt;0),ATAN2(G54,H54),$M$4)</f>
        <v>1.38330829461125</v>
      </c>
      <c r="N54" s="418" t="n">
        <f aca="false">DEGREES(Beta)</f>
        <v>79.2577270466643</v>
      </c>
      <c r="O54" s="402"/>
      <c r="P54" s="421" t="n">
        <f aca="false">MATCH(t-pas/2-T_ini,CdP_t)</f>
        <v>3</v>
      </c>
      <c r="Q54" s="418" t="n">
        <f aca="false">(INDEX(CdP,2,i_P+1)-INDEX(CdP,2,i_P+0))/(INDEX(CdP,1,i_P+1)-INDEX(CdP,1,i_P+0))*(t-pas/2-T_ini-INDEX(CdP,1,i_P+0))+INDEX(CdP,2,i_P+0)</f>
        <v>170.775862068966</v>
      </c>
      <c r="R54" s="419" t="n">
        <f aca="false">Poussee/(g*ISP)</f>
        <v>0.0906392528251458</v>
      </c>
      <c r="S54" s="420" t="n">
        <f aca="false">S53-Débit*pas</f>
        <v>1.5097020509543</v>
      </c>
      <c r="T54" s="418" t="n">
        <f aca="false">m*g</f>
        <v>14.8101771198617</v>
      </c>
      <c r="U54" s="422" t="n">
        <f aca="false">IF(pos_xz&lt;L_rampe,Poids*COS(Beta),0)</f>
        <v>0</v>
      </c>
      <c r="V54" s="419" t="n">
        <f aca="false">Rho_moyen*(20000-Alt_rampe-pos_z)/(20000+Alt_rampe+pos_z)</f>
        <v>1.22326166062484</v>
      </c>
      <c r="W54" s="418" t="n">
        <f aca="false">1/2*Rho*Sref*Cx*vit_xz^2</f>
        <v>3.43494502276093</v>
      </c>
      <c r="X54" s="402"/>
      <c r="Y54" s="423" t="str">
        <f aca="false">IF(AND(pos_z&lt;=0,K53&gt;0),"Impact balistique","") &amp; IF(AND(H55&lt;0,vit_z&gt;=0),"Apogée","") &amp; IF(AND(Poussee=0,Q53&gt;0),"Fin de propulsion","") &amp; IF(AND(L55&gt;L_rampe,pos_xz&lt;=L_rampe),"Sortie de rampe","")</f>
        <v/>
      </c>
      <c r="Z54" s="424" t="str">
        <f aca="false">IF(ABS(t-T_para)&lt;pas/2,"Para","")</f>
        <v/>
      </c>
      <c r="AA54" s="425" t="str">
        <f aca="false">IF(ABS(t-T_satellite)&lt;pas/2,"Satellite","")</f>
        <v/>
      </c>
      <c r="AB54" s="413"/>
      <c r="AC54" s="421" t="e">
        <f aca="false">IF(ABS(t-ROUND(t,0))&lt;0.001,t,NA())</f>
        <v>#N/A</v>
      </c>
      <c r="AD54" s="426" t="e">
        <f aca="false">IF(ABS(t-ROUND(t,0))&lt;0.001,pos_x,NA())</f>
        <v>#N/A</v>
      </c>
      <c r="AE54" s="427" t="n">
        <f aca="false">IF(t&lt;T_para, pos_z, NA())</f>
        <v>14.2006012111725</v>
      </c>
      <c r="AF54" s="413"/>
      <c r="AG54" s="419" t="n">
        <f aca="false">IF(AND(L53&lt;L_rampe,Poussee&lt;Poids*SIN(M53)),0,(-W53+Poussee)/m-Poids*SIN(M53)/m)</f>
        <v>101.285802994122</v>
      </c>
      <c r="AH54" s="418" t="n">
        <f aca="false">IF(AND(L53&lt;L_rampe,Poussee&lt;Poids*SIN(M53)), g*SIN(M53), (-W53+Poussee)/m)</f>
        <v>110.924478944423</v>
      </c>
    </row>
    <row r="55" customFormat="false" ht="12" hidden="false" customHeight="false" outlineLevel="0" collapsed="false">
      <c r="A55" s="417" t="n">
        <f aca="false">IF(B54+0.01&lt;=T_ini+ROUNDUP(Temps_fin_propu,0), 0.01, IF(K54&gt;0, 0.1, 0.0001))</f>
        <v>0.01</v>
      </c>
      <c r="B55" s="418" t="n">
        <f aca="false">B54+pas</f>
        <v>0.51</v>
      </c>
      <c r="C55" s="402"/>
      <c r="D55" s="419" t="n">
        <f aca="false">IF(AND(L54&lt;L_rampe,Poussee&lt;Poids*SIN(M54)),0,(-W54+Poussee)/m*COS(M54)-U54/m*SIN(M54))</f>
        <v>20.5661743394611</v>
      </c>
      <c r="E55" s="420" t="n">
        <f aca="false">IF(AND(L54&lt;L_rampe,Poussee&lt;Poids*SIN(M54)),0,(-W54+Poussee)/m*SIN(M54)+U54/m*COS(M54)-Poids/m)</f>
        <v>98.5949386665416</v>
      </c>
      <c r="F55" s="418" t="n">
        <f aca="false">SQRT(acc_x^2+acc_z^2)</f>
        <v>100.717076296029</v>
      </c>
      <c r="G55" s="419" t="n">
        <f aca="false">G54+acc_x*pas</f>
        <v>10.7256930877845</v>
      </c>
      <c r="H55" s="420" t="n">
        <f aca="false">H54+acc_z*pas</f>
        <v>56.4373587657306</v>
      </c>
      <c r="I55" s="418" t="n">
        <f aca="false">SQRT(vit_x^2+vit_z^2)</f>
        <v>57.4475060961321</v>
      </c>
      <c r="J55" s="419" t="n">
        <f aca="false">J54+0.5*(vit_x+G54)*pas*(K54&gt;=0)</f>
        <v>2.70768221603955</v>
      </c>
      <c r="K55" s="420" t="n">
        <f aca="false">K54+0.5*(vit_z+H54)*pas</f>
        <v>14.7600450518965</v>
      </c>
      <c r="L55" s="418" t="n">
        <f aca="false">SQRT(pos_x^2+pos_z^2)</f>
        <v>15.0063477541029</v>
      </c>
      <c r="M55" s="419" t="n">
        <f aca="false">IF(AND(L54&gt;L_rampe,G55&gt;0),ATAN2(G55,H55),$M$4)</f>
        <v>1.38299000385337</v>
      </c>
      <c r="N55" s="418" t="n">
        <f aca="false">DEGREES(Beta)</f>
        <v>79.2394903295794</v>
      </c>
      <c r="O55" s="402"/>
      <c r="P55" s="421" t="n">
        <f aca="false">MATCH(t-pas/2-T_ini,CdP_t)</f>
        <v>3</v>
      </c>
      <c r="Q55" s="418" t="n">
        <f aca="false">(INDEX(CdP,2,i_P+1)-INDEX(CdP,2,i_P+0))/(INDEX(CdP,1,i_P+1)-INDEX(CdP,1,i_P+0))*(t-pas/2-T_ini-INDEX(CdP,1,i_P+0))+INDEX(CdP,2,i_P+0)</f>
        <v>169.913793103448</v>
      </c>
      <c r="R55" s="419" t="n">
        <f aca="false">Poussee/(g*ISP)</f>
        <v>0.0901817099032621</v>
      </c>
      <c r="S55" s="420" t="n">
        <f aca="false">S54-Débit*pas</f>
        <v>1.50880023385527</v>
      </c>
      <c r="T55" s="418" t="n">
        <f aca="false">m*g</f>
        <v>14.8013302941202</v>
      </c>
      <c r="U55" s="422" t="n">
        <f aca="false">IF(pos_xz&lt;L_rampe,Poids*COS(Beta),0)</f>
        <v>0</v>
      </c>
      <c r="V55" s="419" t="n">
        <f aca="false">Rho_moyen*(20000-Alt_rampe-pos_z)/(20000+Alt_rampe+pos_z)</f>
        <v>1.22319322788304</v>
      </c>
      <c r="W55" s="418" t="n">
        <f aca="false">1/2*Rho*Sref*Cx*vit_xz^2</f>
        <v>3.55841153444397</v>
      </c>
      <c r="X55" s="402"/>
      <c r="Y55" s="423" t="str">
        <f aca="false">IF(AND(pos_z&lt;=0,K54&gt;0),"Impact balistique","") &amp; IF(AND(H56&lt;0,vit_z&gt;=0),"Apogée","") &amp; IF(AND(Poussee=0,Q54&gt;0),"Fin de propulsion","") &amp; IF(AND(L56&gt;L_rampe,pos_xz&lt;=L_rampe),"Sortie de rampe","")</f>
        <v/>
      </c>
      <c r="Z55" s="424" t="str">
        <f aca="false">IF(ABS(t-T_para)&lt;pas/2,"Para","")</f>
        <v/>
      </c>
      <c r="AA55" s="425" t="str">
        <f aca="false">IF(ABS(t-T_satellite)&lt;pas/2,"Satellite","")</f>
        <v/>
      </c>
      <c r="AB55" s="413"/>
      <c r="AC55" s="421" t="e">
        <f aca="false">IF(ABS(t-ROUND(t,0))&lt;0.001,t,NA())</f>
        <v>#N/A</v>
      </c>
      <c r="AD55" s="426" t="e">
        <f aca="false">IF(ABS(t-ROUND(t,0))&lt;0.001,pos_x,NA())</f>
        <v>#N/A</v>
      </c>
      <c r="AE55" s="427" t="n">
        <f aca="false">IF(t&lt;T_para, pos_z, NA())</f>
        <v>14.7600450518965</v>
      </c>
      <c r="AF55" s="413"/>
      <c r="AG55" s="419" t="n">
        <f aca="false">IF(AND(L54&lt;L_rampe,Poussee&lt;Poids*SIN(M54)),0,(-W54+Poussee)/m-Poids*SIN(M54)/m)</f>
        <v>100.700476869443</v>
      </c>
      <c r="AH55" s="418" t="n">
        <f aca="false">IF(AND(L54&lt;L_rampe,Poussee&lt;Poids*SIN(M54)), g*SIN(M54), (-W54+Poussee)/m)</f>
        <v>110.33856195482</v>
      </c>
    </row>
    <row r="56" customFormat="false" ht="12" hidden="false" customHeight="false" outlineLevel="0" collapsed="false">
      <c r="A56" s="417" t="n">
        <f aca="false">IF(B55+0.01&lt;=T_ini+ROUNDUP(Temps_fin_propu,0), 0.01, IF(K55&gt;0, 0.1, 0.0001))</f>
        <v>0.01</v>
      </c>
      <c r="B56" s="418" t="n">
        <f aca="false">B55+pas</f>
        <v>0.52</v>
      </c>
      <c r="C56" s="402"/>
      <c r="D56" s="419" t="n">
        <f aca="false">IF(AND(L55&lt;L_rampe,Poussee&lt;Poids*SIN(M55)),0,(-W55+Poussee)/m*COS(M55)-U55/m*SIN(M55))</f>
        <v>20.4909093402596</v>
      </c>
      <c r="E56" s="420" t="n">
        <f aca="false">IF(AND(L55&lt;L_rampe,Poussee&lt;Poids*SIN(M55)),0,(-W55+Poussee)/m*SIN(M55)+U55/m*COS(M55)-Poids/m)</f>
        <v>98.010799309405</v>
      </c>
      <c r="F56" s="418" t="n">
        <f aca="false">SQRT(acc_x^2+acc_z^2)</f>
        <v>100.129886381935</v>
      </c>
      <c r="G56" s="419" t="n">
        <f aca="false">G55+acc_x*pas</f>
        <v>10.9306021811871</v>
      </c>
      <c r="H56" s="420" t="n">
        <f aca="false">H55+acc_z*pas</f>
        <v>57.4174667588247</v>
      </c>
      <c r="I56" s="418" t="n">
        <f aca="false">SQRT(vit_x^2+vit_z^2)</f>
        <v>58.4486403010721</v>
      </c>
      <c r="J56" s="419" t="n">
        <f aca="false">J55+0.5*(vit_x+G55)*pas*(K55&gt;=0)</f>
        <v>2.81596369238441</v>
      </c>
      <c r="K56" s="420" t="n">
        <f aca="false">K55+0.5*(vit_z+H55)*pas</f>
        <v>15.3293191795192</v>
      </c>
      <c r="L56" s="418" t="n">
        <f aca="false">SQRT(pos_x^2+pos_z^2)</f>
        <v>15.5858165658526</v>
      </c>
      <c r="M56" s="419" t="n">
        <f aca="false">IF(AND(L55&gt;L_rampe,G56&gt;0),ATAN2(G56,H56),$M$4)</f>
        <v>1.38267664008035</v>
      </c>
      <c r="N56" s="418" t="n">
        <f aca="false">DEGREES(Beta)</f>
        <v>79.2215359079332</v>
      </c>
      <c r="O56" s="402"/>
      <c r="P56" s="421" t="n">
        <f aca="false">MATCH(t-pas/2-T_ini,CdP_t)</f>
        <v>3</v>
      </c>
      <c r="Q56" s="418" t="n">
        <f aca="false">(INDEX(CdP,2,i_P+1)-INDEX(CdP,2,i_P+0))/(INDEX(CdP,1,i_P+1)-INDEX(CdP,1,i_P+0))*(t-pas/2-T_ini-INDEX(CdP,1,i_P+0))+INDEX(CdP,2,i_P+0)</f>
        <v>169.051724137931</v>
      </c>
      <c r="R56" s="419" t="n">
        <f aca="false">Poussee/(g*ISP)</f>
        <v>0.0897241669813785</v>
      </c>
      <c r="S56" s="420" t="n">
        <f aca="false">S55-Débit*pas</f>
        <v>1.50790299218546</v>
      </c>
      <c r="T56" s="418" t="n">
        <f aca="false">m*g</f>
        <v>14.7925283533393</v>
      </c>
      <c r="U56" s="422" t="n">
        <f aca="false">IF(pos_xz&lt;L_rampe,Poids*COS(Beta),0)</f>
        <v>0</v>
      </c>
      <c r="V56" s="419" t="n">
        <f aca="false">Rho_moyen*(20000-Alt_rampe-pos_z)/(20000+Alt_rampe+pos_z)</f>
        <v>1.22312359659984</v>
      </c>
      <c r="W56" s="418" t="n">
        <f aca="false">1/2*Rho*Sref*Cx*vit_xz^2</f>
        <v>3.68330697448789</v>
      </c>
      <c r="X56" s="402"/>
      <c r="Y56" s="423" t="str">
        <f aca="false">IF(AND(pos_z&lt;=0,K55&gt;0),"Impact balistique","") &amp; IF(AND(H57&lt;0,vit_z&gt;=0),"Apogée","") &amp; IF(AND(Poussee=0,Q55&gt;0),"Fin de propulsion","") &amp; IF(AND(L57&gt;L_rampe,pos_xz&lt;=L_rampe),"Sortie de rampe","")</f>
        <v/>
      </c>
      <c r="Z56" s="424" t="str">
        <f aca="false">IF(ABS(t-T_para)&lt;pas/2,"Para","")</f>
        <v/>
      </c>
      <c r="AA56" s="425" t="str">
        <f aca="false">IF(ABS(t-T_satellite)&lt;pas/2,"Satellite","")</f>
        <v/>
      </c>
      <c r="AB56" s="413"/>
      <c r="AC56" s="421" t="e">
        <f aca="false">IF(ABS(t-ROUND(t,0))&lt;0.001,t,NA())</f>
        <v>#N/A</v>
      </c>
      <c r="AD56" s="426" t="e">
        <f aca="false">IF(ABS(t-ROUND(t,0))&lt;0.001,pos_x,NA())</f>
        <v>#N/A</v>
      </c>
      <c r="AE56" s="427" t="n">
        <f aca="false">IF(t&lt;T_para, pos_z, NA())</f>
        <v>15.3293191795192</v>
      </c>
      <c r="AF56" s="413"/>
      <c r="AG56" s="419" t="n">
        <f aca="false">IF(AND(L55&lt;L_rampe,Poussee&lt;Poids*SIN(M55)),0,(-W55+Poussee)/m-Poids*SIN(M55)/m)</f>
        <v>100.113133520367</v>
      </c>
      <c r="AH56" s="418" t="n">
        <f aca="false">IF(AND(L55&lt;L_rampe,Poussee&lt;Poids*SIN(M55)), g*SIN(M55), (-W55+Poussee)/m)</f>
        <v>109.750636122574</v>
      </c>
    </row>
    <row r="57" customFormat="false" ht="12" hidden="false" customHeight="false" outlineLevel="0" collapsed="false">
      <c r="A57" s="417" t="n">
        <f aca="false">IF(B56+0.01&lt;=T_ini+ROUNDUP(Temps_fin_propu,0), 0.01, IF(K56&gt;0, 0.1, 0.0001))</f>
        <v>0.01</v>
      </c>
      <c r="B57" s="418" t="n">
        <f aca="false">B56+pas</f>
        <v>0.53</v>
      </c>
      <c r="C57" s="402"/>
      <c r="D57" s="419" t="n">
        <f aca="false">IF(AND(L56&lt;L_rampe,Poussee&lt;Poids*SIN(M56)),0,(-W56+Poussee)/m*COS(M56)-U56/m*SIN(M56))</f>
        <v>20.4143760029562</v>
      </c>
      <c r="E57" s="420" t="n">
        <f aca="false">IF(AND(L56&lt;L_rampe,Poussee&lt;Poids*SIN(M56)),0,(-W56+Poussee)/m*SIN(M56)+U56/m*COS(M56)-Poids/m)</f>
        <v>97.4248747234878</v>
      </c>
      <c r="F57" s="418" t="n">
        <f aca="false">SQRT(acc_x^2+acc_z^2)</f>
        <v>99.5407100762164</v>
      </c>
      <c r="G57" s="419" t="n">
        <f aca="false">G56+acc_x*pas</f>
        <v>11.1347459412167</v>
      </c>
      <c r="H57" s="420" t="n">
        <f aca="false">H56+acc_z*pas</f>
        <v>58.3917155060595</v>
      </c>
      <c r="I57" s="418" t="n">
        <f aca="false">SQRT(vit_x^2+vit_z^2)</f>
        <v>59.4438811562303</v>
      </c>
      <c r="J57" s="419" t="n">
        <f aca="false">J56+0.5*(vit_x+G56)*pas*(K56&gt;=0)</f>
        <v>2.92629043299643</v>
      </c>
      <c r="K57" s="420" t="n">
        <f aca="false">K56+0.5*(vit_z+H56)*pas</f>
        <v>15.9083650908437</v>
      </c>
      <c r="L57" s="418" t="n">
        <f aca="false">SQRT(pos_x^2+pos_z^2)</f>
        <v>16.1752667848731</v>
      </c>
      <c r="M57" s="419" t="n">
        <f aca="false">IF(AND(L56&gt;L_rampe,G57&gt;0),ATAN2(G57,H57),$M$4)</f>
        <v>1.38236801477478</v>
      </c>
      <c r="N57" s="418" t="n">
        <f aca="false">DEGREES(Beta)</f>
        <v>79.2038529804733</v>
      </c>
      <c r="O57" s="402"/>
      <c r="P57" s="421" t="n">
        <f aca="false">MATCH(t-pas/2-T_ini,CdP_t)</f>
        <v>3</v>
      </c>
      <c r="Q57" s="418" t="n">
        <f aca="false">(INDEX(CdP,2,i_P+1)-INDEX(CdP,2,i_P+0))/(INDEX(CdP,1,i_P+1)-INDEX(CdP,1,i_P+0))*(t-pas/2-T_ini-INDEX(CdP,1,i_P+0))+INDEX(CdP,2,i_P+0)</f>
        <v>168.189655172414</v>
      </c>
      <c r="R57" s="419" t="n">
        <f aca="false">Poussee/(g*ISP)</f>
        <v>0.0892666240594949</v>
      </c>
      <c r="S57" s="420" t="n">
        <f aca="false">S56-Débit*pas</f>
        <v>1.50701032594486</v>
      </c>
      <c r="T57" s="418" t="n">
        <f aca="false">m*g</f>
        <v>14.7837712975191</v>
      </c>
      <c r="U57" s="422" t="n">
        <f aca="false">IF(pos_xz&lt;L_rampe,Poids*COS(Beta),0)</f>
        <v>0</v>
      </c>
      <c r="V57" s="419" t="n">
        <f aca="false">Rho_moyen*(20000-Alt_rampe-pos_z)/(20000+Alt_rampe+pos_z)</f>
        <v>1.22305277413537</v>
      </c>
      <c r="W57" s="418" t="n">
        <f aca="false">1/2*Rho*Sref*Cx*vit_xz^2</f>
        <v>3.80959016677164</v>
      </c>
      <c r="X57" s="402"/>
      <c r="Y57" s="423" t="str">
        <f aca="false">IF(AND(pos_z&lt;=0,K56&gt;0),"Impact balistique","") &amp; IF(AND(H58&lt;0,vit_z&gt;=0),"Apogée","") &amp; IF(AND(Poussee=0,Q56&gt;0),"Fin de propulsion","") &amp; IF(AND(L58&gt;L_rampe,pos_xz&lt;=L_rampe),"Sortie de rampe","")</f>
        <v/>
      </c>
      <c r="Z57" s="424" t="str">
        <f aca="false">IF(ABS(t-T_para)&lt;pas/2,"Para","")</f>
        <v/>
      </c>
      <c r="AA57" s="425" t="str">
        <f aca="false">IF(ABS(t-T_satellite)&lt;pas/2,"Satellite","")</f>
        <v/>
      </c>
      <c r="AB57" s="413"/>
      <c r="AC57" s="421" t="e">
        <f aca="false">IF(ABS(t-ROUND(t,0))&lt;0.001,t,NA())</f>
        <v>#N/A</v>
      </c>
      <c r="AD57" s="426" t="e">
        <f aca="false">IF(ABS(t-ROUND(t,0))&lt;0.001,pos_x,NA())</f>
        <v>#N/A</v>
      </c>
      <c r="AE57" s="427" t="n">
        <f aca="false">IF(t&lt;T_para, pos_z, NA())</f>
        <v>15.9083650908437</v>
      </c>
      <c r="AF57" s="413"/>
      <c r="AG57" s="419" t="n">
        <f aca="false">IF(AND(L56&lt;L_rampe,Poussee&lt;Poids*SIN(M56)),0,(-W56+Poussee)/m-Poids*SIN(M56)/m)</f>
        <v>99.5238024155937</v>
      </c>
      <c r="AH57" s="418" t="n">
        <f aca="false">IF(AND(L56&lt;L_rampe,Poussee&lt;Poids*SIN(M56)), g*SIN(M56), (-W56+Poussee)/m)</f>
        <v>109.160730597373</v>
      </c>
    </row>
    <row r="58" customFormat="false" ht="12" hidden="false" customHeight="false" outlineLevel="0" collapsed="false">
      <c r="A58" s="417" t="n">
        <f aca="false">IF(B57+0.01&lt;=T_ini+ROUNDUP(Temps_fin_propu,0), 0.01, IF(K57&gt;0, 0.1, 0.0001))</f>
        <v>0.01</v>
      </c>
      <c r="B58" s="418" t="n">
        <f aca="false">B57+pas</f>
        <v>0.54</v>
      </c>
      <c r="C58" s="402"/>
      <c r="D58" s="419" t="n">
        <f aca="false">IF(AND(L57&lt;L_rampe,Poussee&lt;Poids*SIN(M57)),0,(-W57+Poussee)/m*COS(M57)-U57/m*SIN(M57))</f>
        <v>20.3366067625037</v>
      </c>
      <c r="E58" s="420" t="n">
        <f aca="false">IF(AND(L57&lt;L_rampe,Poussee&lt;Poids*SIN(M57)),0,(-W57+Poussee)/m*SIN(M57)+U57/m*COS(M57)-Poids/m)</f>
        <v>96.8371891414316</v>
      </c>
      <c r="F58" s="418" t="n">
        <f aca="false">SQRT(acc_x^2+acc_z^2)</f>
        <v>98.9495769340431</v>
      </c>
      <c r="G58" s="419" t="n">
        <f aca="false">G57+acc_x*pas</f>
        <v>11.3381120088417</v>
      </c>
      <c r="H58" s="420" t="n">
        <f aca="false">H57+acc_z*pas</f>
        <v>59.3600873974739</v>
      </c>
      <c r="I58" s="418" t="n">
        <f aca="false">SQRT(vit_x^2+vit_z^2)</f>
        <v>60.433209080445</v>
      </c>
      <c r="J58" s="419" t="n">
        <f aca="false">J57+0.5*(vit_x+G57)*pas*(K57&gt;=0)</f>
        <v>3.03865472274672</v>
      </c>
      <c r="K58" s="420" t="n">
        <f aca="false">K57+0.5*(vit_z+H57)*pas</f>
        <v>16.4971241053613</v>
      </c>
      <c r="L58" s="418" t="n">
        <f aca="false">SQRT(pos_x^2+pos_z^2)</f>
        <v>16.7746393782926</v>
      </c>
      <c r="M58" s="419" t="n">
        <f aca="false">IF(AND(L57&gt;L_rampe,G58&gt;0),ATAN2(G58,H58),$M$4)</f>
        <v>1.38206394971879</v>
      </c>
      <c r="N58" s="418" t="n">
        <f aca="false">DEGREES(Beta)</f>
        <v>79.1864313360676</v>
      </c>
      <c r="O58" s="402"/>
      <c r="P58" s="421" t="n">
        <f aca="false">MATCH(t-pas/2-T_ini,CdP_t)</f>
        <v>3</v>
      </c>
      <c r="Q58" s="418" t="n">
        <f aca="false">(INDEX(CdP,2,i_P+1)-INDEX(CdP,2,i_P+0))/(INDEX(CdP,1,i_P+1)-INDEX(CdP,1,i_P+0))*(t-pas/2-T_ini-INDEX(CdP,1,i_P+0))+INDEX(CdP,2,i_P+0)</f>
        <v>167.327586206897</v>
      </c>
      <c r="R58" s="419" t="n">
        <f aca="false">Poussee/(g*ISP)</f>
        <v>0.0888090811376113</v>
      </c>
      <c r="S58" s="420" t="n">
        <f aca="false">S57-Débit*pas</f>
        <v>1.50612223513349</v>
      </c>
      <c r="T58" s="418" t="n">
        <f aca="false">m*g</f>
        <v>14.7750591266595</v>
      </c>
      <c r="U58" s="422" t="n">
        <f aca="false">IF(pos_xz&lt;L_rampe,Poids*COS(Beta),0)</f>
        <v>0</v>
      </c>
      <c r="V58" s="419" t="n">
        <f aca="false">Rho_moyen*(20000-Alt_rampe-pos_z)/(20000+Alt_rampe+pos_z)</f>
        <v>1.22298076787324</v>
      </c>
      <c r="W58" s="418" t="n">
        <f aca="false">1/2*Rho*Sref*Cx*vit_xz^2</f>
        <v>3.9372200313551</v>
      </c>
      <c r="X58" s="402"/>
      <c r="Y58" s="423" t="str">
        <f aca="false">IF(AND(pos_z&lt;=0,K57&gt;0),"Impact balistique","") &amp; IF(AND(H59&lt;0,vit_z&gt;=0),"Apogée","") &amp; IF(AND(Poussee=0,Q57&gt;0),"Fin de propulsion","") &amp; IF(AND(L59&gt;L_rampe,pos_xz&lt;=L_rampe),"Sortie de rampe","")</f>
        <v/>
      </c>
      <c r="Z58" s="424" t="str">
        <f aca="false">IF(ABS(t-T_para)&lt;pas/2,"Para","")</f>
        <v/>
      </c>
      <c r="AA58" s="425" t="str">
        <f aca="false">IF(ABS(t-T_satellite)&lt;pas/2,"Satellite","")</f>
        <v/>
      </c>
      <c r="AB58" s="413"/>
      <c r="AC58" s="421" t="e">
        <f aca="false">IF(ABS(t-ROUND(t,0))&lt;0.001,t,NA())</f>
        <v>#N/A</v>
      </c>
      <c r="AD58" s="426" t="e">
        <f aca="false">IF(ABS(t-ROUND(t,0))&lt;0.001,pos_x,NA())</f>
        <v>#N/A</v>
      </c>
      <c r="AE58" s="427" t="n">
        <f aca="false">IF(t&lt;T_para, pos_z, NA())</f>
        <v>16.4971241053613</v>
      </c>
      <c r="AF58" s="413"/>
      <c r="AG58" s="419" t="n">
        <f aca="false">IF(AND(L57&lt;L_rampe,Poussee&lt;Poids*SIN(M57)),0,(-W57+Poussee)/m-Poids*SIN(M57)/m)</f>
        <v>98.9325130521609</v>
      </c>
      <c r="AH58" s="418" t="n">
        <f aca="false">IF(AND(L57&lt;L_rampe,Poussee&lt;Poids*SIN(M57)), g*SIN(M57), (-W57+Poussee)/m)</f>
        <v>108.568874574534</v>
      </c>
    </row>
    <row r="59" customFormat="false" ht="12" hidden="false" customHeight="false" outlineLevel="0" collapsed="false">
      <c r="A59" s="417" t="n">
        <f aca="false">IF(B58+0.01&lt;=T_ini+ROUNDUP(Temps_fin_propu,0), 0.01, IF(K58&gt;0, 0.1, 0.0001))</f>
        <v>0.01</v>
      </c>
      <c r="B59" s="418" t="n">
        <f aca="false">B58+pas</f>
        <v>0.55</v>
      </c>
      <c r="C59" s="402"/>
      <c r="D59" s="419" t="n">
        <f aca="false">IF(AND(L58&lt;L_rampe,Poussee&lt;Poids*SIN(M58)),0,(-W58+Poussee)/m*COS(M58)-U58/m*SIN(M58))</f>
        <v>20.2576326140729</v>
      </c>
      <c r="E59" s="420" t="n">
        <f aca="false">IF(AND(L58&lt;L_rampe,Poussee&lt;Poids*SIN(M58)),0,(-W58+Poussee)/m*SIN(M58)+U58/m*COS(M58)-Poids/m)</f>
        <v>96.2477670691159</v>
      </c>
      <c r="F59" s="418" t="n">
        <f aca="false">SQRT(acc_x^2+acc_z^2)</f>
        <v>98.3565165350905</v>
      </c>
      <c r="G59" s="419" t="n">
        <f aca="false">G58+acc_x*pas</f>
        <v>11.5406883349825</v>
      </c>
      <c r="H59" s="420" t="n">
        <f aca="false">H58+acc_z*pas</f>
        <v>60.322565068165</v>
      </c>
      <c r="I59" s="418" t="n">
        <f aca="false">SQRT(vit_x^2+vit_z^2)</f>
        <v>61.4166047876973</v>
      </c>
      <c r="J59" s="419" t="n">
        <f aca="false">J58+0.5*(vit_x+G58)*pas*(K58&gt;=0)</f>
        <v>3.15304872446584</v>
      </c>
      <c r="K59" s="420" t="n">
        <f aca="false">K58+0.5*(vit_z+H58)*pas</f>
        <v>17.0955373676895</v>
      </c>
      <c r="L59" s="418" t="n">
        <f aca="false">SQRT(pos_x^2+pos_z^2)</f>
        <v>17.3838751188832</v>
      </c>
      <c r="M59" s="419" t="n">
        <f aca="false">IF(AND(L58&gt;L_rampe,G59&gt;0),ATAN2(G59,H59),$M$4)</f>
        <v>1.3817642762491</v>
      </c>
      <c r="N59" s="418" t="n">
        <f aca="false">DEGREES(Beta)</f>
        <v>79.1692613110224</v>
      </c>
      <c r="O59" s="402"/>
      <c r="P59" s="421" t="n">
        <f aca="false">MATCH(t-pas/2-T_ini,CdP_t)</f>
        <v>3</v>
      </c>
      <c r="Q59" s="418" t="n">
        <f aca="false">(INDEX(CdP,2,i_P+1)-INDEX(CdP,2,i_P+0))/(INDEX(CdP,1,i_P+1)-INDEX(CdP,1,i_P+0))*(t-pas/2-T_ini-INDEX(CdP,1,i_P+0))+INDEX(CdP,2,i_P+0)</f>
        <v>166.465517241379</v>
      </c>
      <c r="R59" s="419" t="n">
        <f aca="false">Poussee/(g*ISP)</f>
        <v>0.0883515382157276</v>
      </c>
      <c r="S59" s="420" t="n">
        <f aca="false">S58-Débit*pas</f>
        <v>1.50523871975133</v>
      </c>
      <c r="T59" s="418" t="n">
        <f aca="false">m*g</f>
        <v>14.7663918407605</v>
      </c>
      <c r="U59" s="422" t="n">
        <f aca="false">IF(pos_xz&lt;L_rampe,Poids*COS(Beta),0)</f>
        <v>0</v>
      </c>
      <c r="V59" s="419" t="n">
        <f aca="false">Rho_moyen*(20000-Alt_rampe-pos_z)/(20000+Alt_rampe+pos_z)</f>
        <v>1.22290758522021</v>
      </c>
      <c r="W59" s="418" t="n">
        <f aca="false">1/2*Rho*Sref*Cx*vit_xz^2</f>
        <v>4.06615559062938</v>
      </c>
      <c r="X59" s="402"/>
      <c r="Y59" s="423" t="str">
        <f aca="false">IF(AND(pos_z&lt;=0,K58&gt;0),"Impact balistique","") &amp; IF(AND(H60&lt;0,vit_z&gt;=0),"Apogée","") &amp; IF(AND(Poussee=0,Q58&gt;0),"Fin de propulsion","") &amp; IF(AND(L60&gt;L_rampe,pos_xz&lt;=L_rampe),"Sortie de rampe","")</f>
        <v/>
      </c>
      <c r="Z59" s="424" t="str">
        <f aca="false">IF(ABS(t-T_para)&lt;pas/2,"Para","")</f>
        <v/>
      </c>
      <c r="AA59" s="425" t="str">
        <f aca="false">IF(ABS(t-T_satellite)&lt;pas/2,"Satellite","")</f>
        <v/>
      </c>
      <c r="AB59" s="413"/>
      <c r="AC59" s="421" t="e">
        <f aca="false">IF(ABS(t-ROUND(t,0))&lt;0.001,t,NA())</f>
        <v>#N/A</v>
      </c>
      <c r="AD59" s="426" t="e">
        <f aca="false">IF(ABS(t-ROUND(t,0))&lt;0.001,pos_x,NA())</f>
        <v>#N/A</v>
      </c>
      <c r="AE59" s="427" t="n">
        <f aca="false">IF(t&lt;T_para, pos_z, NA())</f>
        <v>17.0955373676895</v>
      </c>
      <c r="AF59" s="413"/>
      <c r="AG59" s="419" t="n">
        <f aca="false">IF(AND(L58&lt;L_rampe,Poussee&lt;Poids*SIN(M58)),0,(-W58+Poussee)/m-Poids*SIN(M58)/m)</f>
        <v>98.3392949518178</v>
      </c>
      <c r="AH59" s="418" t="n">
        <f aca="false">IF(AND(L58&lt;L_rampe,Poussee&lt;Poids*SIN(M58)), g*SIN(M58), (-W58+Poussee)/m)</f>
        <v>107.975097290133</v>
      </c>
    </row>
    <row r="60" customFormat="false" ht="12" hidden="false" customHeight="false" outlineLevel="0" collapsed="false">
      <c r="A60" s="417" t="n">
        <f aca="false">IF(B59+0.01&lt;=T_ini+ROUNDUP(Temps_fin_propu,0), 0.01, IF(K59&gt;0, 0.1, 0.0001))</f>
        <v>0.01</v>
      </c>
      <c r="B60" s="418" t="n">
        <f aca="false">B59+pas</f>
        <v>0.56</v>
      </c>
      <c r="C60" s="402"/>
      <c r="D60" s="419" t="n">
        <f aca="false">IF(AND(L59&lt;L_rampe,Poussee&lt;Poids*SIN(M59)),0,(-W59+Poussee)/m*COS(M59)-U59/m*SIN(M59))</f>
        <v>20.1774832165773</v>
      </c>
      <c r="E60" s="420" t="n">
        <f aca="false">IF(AND(L59&lt;L_rampe,Poussee&lt;Poids*SIN(M59)),0,(-W59+Poussee)/m*SIN(M59)+U59/m*COS(M59)-Poids/m)</f>
        <v>95.6566332643527</v>
      </c>
      <c r="F60" s="418" t="n">
        <f aca="false">SQRT(acc_x^2+acc_z^2)</f>
        <v>97.7615584799369</v>
      </c>
      <c r="G60" s="419" t="n">
        <f aca="false">G59+acc_x*pas</f>
        <v>11.7424631671482</v>
      </c>
      <c r="H60" s="420" t="n">
        <f aca="false">H59+acc_z*pas</f>
        <v>61.2791314008085</v>
      </c>
      <c r="I60" s="418" t="n">
        <f aca="false">SQRT(vit_x^2+vit_z^2)</f>
        <v>62.394049287327</v>
      </c>
      <c r="J60" s="419" t="n">
        <f aca="false">J59+0.5*(vit_x+G59)*pas*(K59&gt;=0)</f>
        <v>3.2694644819765</v>
      </c>
      <c r="K60" s="420" t="n">
        <f aca="false">K59+0.5*(vit_z+H59)*pas</f>
        <v>17.7035458500344</v>
      </c>
      <c r="L60" s="418" t="n">
        <f aca="false">SQRT(pos_x^2+pos_z^2)</f>
        <v>18.0029145880098</v>
      </c>
      <c r="M60" s="419" t="n">
        <f aca="false">IF(AND(L59&gt;L_rampe,G60&gt;0),ATAN2(G60,H60),$M$4)</f>
        <v>1.38146883457842</v>
      </c>
      <c r="N60" s="418" t="n">
        <f aca="false">DEGREES(Beta)</f>
        <v>79.1523337501999</v>
      </c>
      <c r="O60" s="402"/>
      <c r="P60" s="421" t="n">
        <f aca="false">MATCH(t-pas/2-T_ini,CdP_t)</f>
        <v>3</v>
      </c>
      <c r="Q60" s="418" t="n">
        <f aca="false">(INDEX(CdP,2,i_P+1)-INDEX(CdP,2,i_P+0))/(INDEX(CdP,1,i_P+1)-INDEX(CdP,1,i_P+0))*(t-pas/2-T_ini-INDEX(CdP,1,i_P+0))+INDEX(CdP,2,i_P+0)</f>
        <v>165.603448275862</v>
      </c>
      <c r="R60" s="419" t="n">
        <f aca="false">Poussee/(g*ISP)</f>
        <v>0.087893995293844</v>
      </c>
      <c r="S60" s="420" t="n">
        <f aca="false">S59-Débit*pas</f>
        <v>1.50435977979839</v>
      </c>
      <c r="T60" s="418" t="n">
        <f aca="false">m*g</f>
        <v>14.7577694398222</v>
      </c>
      <c r="U60" s="422" t="n">
        <f aca="false">IF(pos_xz&lt;L_rampe,Poids*COS(Beta),0)</f>
        <v>0</v>
      </c>
      <c r="V60" s="419" t="n">
        <f aca="false">Rho_moyen*(20000-Alt_rampe-pos_z)/(20000+Alt_rampe+pos_z)</f>
        <v>1.22283323360578</v>
      </c>
      <c r="W60" s="418" t="n">
        <f aca="false">1/2*Rho*Sref*Cx*vit_xz^2</f>
        <v>4.19635597540887</v>
      </c>
      <c r="X60" s="402"/>
      <c r="Y60" s="423" t="str">
        <f aca="false">IF(AND(pos_z&lt;=0,K59&gt;0),"Impact balistique","") &amp; IF(AND(H61&lt;0,vit_z&gt;=0),"Apogée","") &amp; IF(AND(Poussee=0,Q59&gt;0),"Fin de propulsion","") &amp; IF(AND(L61&gt;L_rampe,pos_xz&lt;=L_rampe),"Sortie de rampe","")</f>
        <v/>
      </c>
      <c r="Z60" s="424" t="str">
        <f aca="false">IF(ABS(t-T_para)&lt;pas/2,"Para","")</f>
        <v/>
      </c>
      <c r="AA60" s="425" t="str">
        <f aca="false">IF(ABS(t-T_satellite)&lt;pas/2,"Satellite","")</f>
        <v/>
      </c>
      <c r="AB60" s="413"/>
      <c r="AC60" s="421" t="e">
        <f aca="false">IF(ABS(t-ROUND(t,0))&lt;0.001,t,NA())</f>
        <v>#N/A</v>
      </c>
      <c r="AD60" s="426" t="e">
        <f aca="false">IF(ABS(t-ROUND(t,0))&lt;0.001,pos_x,NA())</f>
        <v>#N/A</v>
      </c>
      <c r="AE60" s="427" t="n">
        <f aca="false">IF(t&lt;T_para, pos_z, NA())</f>
        <v>17.7035458500344</v>
      </c>
      <c r="AF60" s="413"/>
      <c r="AG60" s="419" t="n">
        <f aca="false">IF(AND(L59&lt;L_rampe,Poussee&lt;Poids*SIN(M59)),0,(-W59+Poussee)/m-Poids*SIN(M59)/m)</f>
        <v>97.7441776573082</v>
      </c>
      <c r="AH60" s="418" t="n">
        <f aca="false">IF(AND(L59&lt;L_rampe,Poussee&lt;Poids*SIN(M59)), g*SIN(M59), (-W59+Poussee)/m)</f>
        <v>107.379428016137</v>
      </c>
    </row>
    <row r="61" customFormat="false" ht="12" hidden="false" customHeight="false" outlineLevel="0" collapsed="false">
      <c r="A61" s="417" t="n">
        <f aca="false">IF(B60+0.01&lt;=T_ini+ROUNDUP(Temps_fin_propu,0), 0.01, IF(K60&gt;0, 0.1, 0.0001))</f>
        <v>0.01</v>
      </c>
      <c r="B61" s="418" t="n">
        <f aca="false">B60+pas</f>
        <v>0.57</v>
      </c>
      <c r="C61" s="402"/>
      <c r="D61" s="419" t="n">
        <f aca="false">IF(AND(L60&lt;L_rampe,Poussee&lt;Poids*SIN(M60)),0,(-W60+Poussee)/m*COS(M60)-U60/m*SIN(M60))</f>
        <v>20.0961869869463</v>
      </c>
      <c r="E61" s="420" t="n">
        <f aca="false">IF(AND(L60&lt;L_rampe,Poussee&lt;Poids*SIN(M60)),0,(-W60+Poussee)/m*SIN(M60)+U60/m*COS(M60)-Poids/m)</f>
        <v>95.0638127170447</v>
      </c>
      <c r="F61" s="418" t="n">
        <f aca="false">SQRT(acc_x^2+acc_z^2)</f>
        <v>97.1647323863739</v>
      </c>
      <c r="G61" s="419" t="n">
        <f aca="false">G60+acc_x*pas</f>
        <v>11.9434250370177</v>
      </c>
      <c r="H61" s="420" t="n">
        <f aca="false">H60+acc_z*pas</f>
        <v>62.229769527979</v>
      </c>
      <c r="I61" s="418" t="n">
        <f aca="false">SQRT(vit_x^2+vit_z^2)</f>
        <v>63.3655238842089</v>
      </c>
      <c r="J61" s="419" t="n">
        <f aca="false">J60+0.5*(vit_x+G60)*pas*(K60&gt;=0)</f>
        <v>3.38789392299733</v>
      </c>
      <c r="K61" s="420" t="n">
        <f aca="false">K60+0.5*(vit_z+H60)*pas</f>
        <v>18.3210903546783</v>
      </c>
      <c r="L61" s="418" t="n">
        <f aca="false">SQRT(pos_x^2+pos_z^2)</f>
        <v>18.6316981785818</v>
      </c>
      <c r="M61" s="419" t="n">
        <f aca="false">IF(AND(L60&gt;L_rampe,G61&gt;0),ATAN2(G61,H61),$M$4)</f>
        <v>1.38117747317614</v>
      </c>
      <c r="N61" s="418" t="n">
        <f aca="false">DEGREES(Beta)</f>
        <v>79.1356399715364</v>
      </c>
      <c r="O61" s="402"/>
      <c r="P61" s="421" t="n">
        <f aca="false">MATCH(t-pas/2-T_ini,CdP_t)</f>
        <v>3</v>
      </c>
      <c r="Q61" s="418" t="n">
        <f aca="false">(INDEX(CdP,2,i_P+1)-INDEX(CdP,2,i_P+0))/(INDEX(CdP,1,i_P+1)-INDEX(CdP,1,i_P+0))*(t-pas/2-T_ini-INDEX(CdP,1,i_P+0))+INDEX(CdP,2,i_P+0)</f>
        <v>164.741379310345</v>
      </c>
      <c r="R61" s="419" t="n">
        <f aca="false">Poussee/(g*ISP)</f>
        <v>0.0874364523719604</v>
      </c>
      <c r="S61" s="420" t="n">
        <f aca="false">S60-Débit*pas</f>
        <v>1.50348541527467</v>
      </c>
      <c r="T61" s="418" t="n">
        <f aca="false">m*g</f>
        <v>14.7491919238445</v>
      </c>
      <c r="U61" s="422" t="n">
        <f aca="false">IF(pos_xz&lt;L_rampe,Poids*COS(Beta),0)</f>
        <v>0</v>
      </c>
      <c r="V61" s="419" t="n">
        <f aca="false">Rho_moyen*(20000-Alt_rampe-pos_z)/(20000+Alt_rampe+pos_z)</f>
        <v>1.22275772048183</v>
      </c>
      <c r="W61" s="418" t="n">
        <f aca="false">1/2*Rho*Sref*Cx*vit_xz^2</f>
        <v>4.32778043096374</v>
      </c>
      <c r="X61" s="402"/>
      <c r="Y61" s="423" t="str">
        <f aca="false">IF(AND(pos_z&lt;=0,K60&gt;0),"Impact balistique","") &amp; IF(AND(H62&lt;0,vit_z&gt;=0),"Apogée","") &amp; IF(AND(Poussee=0,Q60&gt;0),"Fin de propulsion","") &amp; IF(AND(L62&gt;L_rampe,pos_xz&lt;=L_rampe),"Sortie de rampe","")</f>
        <v/>
      </c>
      <c r="Z61" s="424" t="str">
        <f aca="false">IF(ABS(t-T_para)&lt;pas/2,"Para","")</f>
        <v/>
      </c>
      <c r="AA61" s="425" t="str">
        <f aca="false">IF(ABS(t-T_satellite)&lt;pas/2,"Satellite","")</f>
        <v/>
      </c>
      <c r="AB61" s="413"/>
      <c r="AC61" s="421" t="e">
        <f aca="false">IF(ABS(t-ROUND(t,0))&lt;0.001,t,NA())</f>
        <v>#N/A</v>
      </c>
      <c r="AD61" s="426" t="e">
        <f aca="false">IF(ABS(t-ROUND(t,0))&lt;0.001,pos_x,NA())</f>
        <v>#N/A</v>
      </c>
      <c r="AE61" s="427" t="n">
        <f aca="false">IF(t&lt;T_para, pos_z, NA())</f>
        <v>18.3210903546783</v>
      </c>
      <c r="AF61" s="413"/>
      <c r="AG61" s="419" t="n">
        <f aca="false">IF(AND(L60&lt;L_rampe,Poussee&lt;Poids*SIN(M60)),0,(-W60+Poussee)/m-Poids*SIN(M60)/m)</f>
        <v>97.1471907285736</v>
      </c>
      <c r="AH61" s="418" t="n">
        <f aca="false">IF(AND(L60&lt;L_rampe,Poussee&lt;Poids*SIN(M60)), g*SIN(M60), (-W60+Poussee)/m)</f>
        <v>106.781896055577</v>
      </c>
    </row>
    <row r="62" customFormat="false" ht="12" hidden="false" customHeight="false" outlineLevel="0" collapsed="false">
      <c r="A62" s="417" t="n">
        <f aca="false">IF(B61+0.01&lt;=T_ini+ROUNDUP(Temps_fin_propu,0), 0.01, IF(K61&gt;0, 0.1, 0.0001))</f>
        <v>0.01</v>
      </c>
      <c r="B62" s="418" t="n">
        <f aca="false">B61+pas</f>
        <v>0.58</v>
      </c>
      <c r="C62" s="402"/>
      <c r="D62" s="419" t="n">
        <f aca="false">IF(AND(L61&lt;L_rampe,Poussee&lt;Poids*SIN(M61)),0,(-W61+Poussee)/m*COS(M61)-U61/m*SIN(M61))</f>
        <v>20.013771186115</v>
      </c>
      <c r="E62" s="420" t="n">
        <f aca="false">IF(AND(L61&lt;L_rampe,Poussee&lt;Poids*SIN(M61)),0,(-W61+Poussee)/m*SIN(M61)+U61/m*COS(M61)-Poids/m)</f>
        <v>94.4693306306578</v>
      </c>
      <c r="F62" s="418" t="n">
        <f aca="false">SQRT(acc_x^2+acc_z^2)</f>
        <v>96.5660678856435</v>
      </c>
      <c r="G62" s="419" t="n">
        <f aca="false">G61+acc_x*pas</f>
        <v>12.1435627488789</v>
      </c>
      <c r="H62" s="420" t="n">
        <f aca="false">H61+acc_z*pas</f>
        <v>63.1744628342856</v>
      </c>
      <c r="I62" s="418" t="n">
        <f aca="false">SQRT(vit_x^2+vit_z^2)</f>
        <v>64.3310101788903</v>
      </c>
      <c r="J62" s="419" t="n">
        <f aca="false">J61+0.5*(vit_x+G61)*pas*(K61&gt;=0)</f>
        <v>3.50832886192681</v>
      </c>
      <c r="K62" s="420" t="n">
        <f aca="false">K61+0.5*(vit_z+H61)*pas</f>
        <v>18.9481115164897</v>
      </c>
      <c r="L62" s="418" t="n">
        <f aca="false">SQRT(pos_x^2+pos_z^2)</f>
        <v>19.2701660980064</v>
      </c>
      <c r="M62" s="419" t="n">
        <f aca="false">IF(AND(L61&gt;L_rampe,G62&gt;0),ATAN2(G62,H62),$M$4)</f>
        <v>1.38089004820232</v>
      </c>
      <c r="N62" s="418" t="n">
        <f aca="false">DEGREES(Beta)</f>
        <v>79.1191717336095</v>
      </c>
      <c r="O62" s="402"/>
      <c r="P62" s="421" t="n">
        <f aca="false">MATCH(t-pas/2-T_ini,CdP_t)</f>
        <v>3</v>
      </c>
      <c r="Q62" s="418" t="n">
        <f aca="false">(INDEX(CdP,2,i_P+1)-INDEX(CdP,2,i_P+0))/(INDEX(CdP,1,i_P+1)-INDEX(CdP,1,i_P+0))*(t-pas/2-T_ini-INDEX(CdP,1,i_P+0))+INDEX(CdP,2,i_P+0)</f>
        <v>163.879310344828</v>
      </c>
      <c r="R62" s="419" t="n">
        <f aca="false">Poussee/(g*ISP)</f>
        <v>0.0869789094500768</v>
      </c>
      <c r="S62" s="420" t="n">
        <f aca="false">S61-Débit*pas</f>
        <v>1.50261562618017</v>
      </c>
      <c r="T62" s="418" t="n">
        <f aca="false">m*g</f>
        <v>14.7406592928275</v>
      </c>
      <c r="U62" s="422" t="n">
        <f aca="false">IF(pos_xz&lt;L_rampe,Poids*COS(Beta),0)</f>
        <v>0</v>
      </c>
      <c r="V62" s="419" t="n">
        <f aca="false">Rho_moyen*(20000-Alt_rampe-pos_z)/(20000+Alt_rampe+pos_z)</f>
        <v>1.22268105332224</v>
      </c>
      <c r="W62" s="418" t="n">
        <f aca="false">1/2*Rho*Sref*Cx*vit_xz^2</f>
        <v>4.46038832299167</v>
      </c>
      <c r="X62" s="402"/>
      <c r="Y62" s="423" t="str">
        <f aca="false">IF(AND(pos_z&lt;=0,K61&gt;0),"Impact balistique","") &amp; IF(AND(H63&lt;0,vit_z&gt;=0),"Apogée","") &amp; IF(AND(Poussee=0,Q61&gt;0),"Fin de propulsion","") &amp; IF(AND(L63&gt;L_rampe,pos_xz&lt;=L_rampe),"Sortie de rampe","")</f>
        <v/>
      </c>
      <c r="Z62" s="424" t="str">
        <f aca="false">IF(ABS(t-T_para)&lt;pas/2,"Para","")</f>
        <v/>
      </c>
      <c r="AA62" s="425" t="str">
        <f aca="false">IF(ABS(t-T_satellite)&lt;pas/2,"Satellite","")</f>
        <v/>
      </c>
      <c r="AB62" s="413"/>
      <c r="AC62" s="421" t="e">
        <f aca="false">IF(ABS(t-ROUND(t,0))&lt;0.001,t,NA())</f>
        <v>#N/A</v>
      </c>
      <c r="AD62" s="426" t="e">
        <f aca="false">IF(ABS(t-ROUND(t,0))&lt;0.001,pos_x,NA())</f>
        <v>#N/A</v>
      </c>
      <c r="AE62" s="427" t="n">
        <f aca="false">IF(t&lt;T_para, pos_z, NA())</f>
        <v>18.9481115164897</v>
      </c>
      <c r="AF62" s="413"/>
      <c r="AG62" s="419" t="n">
        <f aca="false">IF(AND(L61&lt;L_rampe,Poussee&lt;Poids*SIN(M61)),0,(-W61+Poussee)/m-Poids*SIN(M61)/m)</f>
        <v>96.5483637388861</v>
      </c>
      <c r="AH62" s="418" t="n">
        <f aca="false">IF(AND(L61&lt;L_rampe,Poussee&lt;Poids*SIN(M61)), g*SIN(M61), (-W61+Poussee)/m)</f>
        <v>106.182530737726</v>
      </c>
    </row>
    <row r="63" customFormat="false" ht="12" hidden="false" customHeight="false" outlineLevel="0" collapsed="false">
      <c r="A63" s="417" t="n">
        <f aca="false">IF(B62+0.01&lt;=T_ini+ROUNDUP(Temps_fin_propu,0), 0.01, IF(K62&gt;0, 0.1, 0.0001))</f>
        <v>0.01</v>
      </c>
      <c r="B63" s="418" t="n">
        <f aca="false">B62+pas</f>
        <v>0.59</v>
      </c>
      <c r="C63" s="402"/>
      <c r="D63" s="419" t="n">
        <f aca="false">IF(AND(L62&lt;L_rampe,Poussee&lt;Poids*SIN(M62)),0,(-W62+Poussee)/m*COS(M62)-U62/m*SIN(M62))</f>
        <v>19.9302619975846</v>
      </c>
      <c r="E63" s="420" t="n">
        <f aca="false">IF(AND(L62&lt;L_rampe,Poussee&lt;Poids*SIN(M62)),0,(-W62+Poussee)/m*SIN(M62)+U62/m*COS(M62)-Poids/m)</f>
        <v>93.8732124048788</v>
      </c>
      <c r="F63" s="418" t="n">
        <f aca="false">SQRT(acc_x^2+acc_z^2)</f>
        <v>95.9655946186124</v>
      </c>
      <c r="G63" s="419" t="n">
        <f aca="false">G62+acc_x*pas</f>
        <v>12.3428653688547</v>
      </c>
      <c r="H63" s="420" t="n">
        <f aca="false">H62+acc_z*pas</f>
        <v>64.1131949583344</v>
      </c>
      <c r="I63" s="418" t="n">
        <f aca="false">SQRT(vit_x^2+vit_z^2)</f>
        <v>65.2904900676895</v>
      </c>
      <c r="J63" s="419" t="n">
        <f aca="false">J62+0.5*(vit_x+G62)*pas*(K62&gt;=0)</f>
        <v>3.63076100251548</v>
      </c>
      <c r="K63" s="420" t="n">
        <f aca="false">K62+0.5*(vit_z+H62)*pas</f>
        <v>19.5845498054528</v>
      </c>
      <c r="L63" s="418" t="n">
        <f aca="false">SQRT(pos_x^2+pos_z^2)</f>
        <v>19.918258371144</v>
      </c>
      <c r="M63" s="419" t="n">
        <f aca="false">IF(AND(L62&gt;L_rampe,G63&gt;0),ATAN2(G63,H63),$M$4)</f>
        <v>1.38060642298938</v>
      </c>
      <c r="N63" s="418" t="n">
        <f aca="false">DEGREES(Beta)</f>
        <v>79.1029212059446</v>
      </c>
      <c r="O63" s="402"/>
      <c r="P63" s="421" t="n">
        <f aca="false">MATCH(t-pas/2-T_ini,CdP_t)</f>
        <v>3</v>
      </c>
      <c r="Q63" s="418" t="n">
        <f aca="false">(INDEX(CdP,2,i_P+1)-INDEX(CdP,2,i_P+0))/(INDEX(CdP,1,i_P+1)-INDEX(CdP,1,i_P+0))*(t-pas/2-T_ini-INDEX(CdP,1,i_P+0))+INDEX(CdP,2,i_P+0)</f>
        <v>163.01724137931</v>
      </c>
      <c r="R63" s="419" t="n">
        <f aca="false">Poussee/(g*ISP)</f>
        <v>0.0865213665281931</v>
      </c>
      <c r="S63" s="420" t="n">
        <f aca="false">S62-Débit*pas</f>
        <v>1.50175041251489</v>
      </c>
      <c r="T63" s="418" t="n">
        <f aca="false">m*g</f>
        <v>14.732171546771</v>
      </c>
      <c r="U63" s="422" t="n">
        <f aca="false">IF(pos_xz&lt;L_rampe,Poids*COS(Beta),0)</f>
        <v>0</v>
      </c>
      <c r="V63" s="419" t="n">
        <f aca="false">Rho_moyen*(20000-Alt_rampe-pos_z)/(20000+Alt_rampe+pos_z)</f>
        <v>1.22260323962248</v>
      </c>
      <c r="W63" s="418" t="n">
        <f aca="false">1/2*Rho*Sref*Cx*vit_xz^2</f>
        <v>4.59413914352767</v>
      </c>
      <c r="X63" s="402"/>
      <c r="Y63" s="423" t="str">
        <f aca="false">IF(AND(pos_z&lt;=0,K62&gt;0),"Impact balistique","") &amp; IF(AND(H64&lt;0,vit_z&gt;=0),"Apogée","") &amp; IF(AND(Poussee=0,Q62&gt;0),"Fin de propulsion","") &amp; IF(AND(L64&gt;L_rampe,pos_xz&lt;=L_rampe),"Sortie de rampe","")</f>
        <v/>
      </c>
      <c r="Z63" s="424" t="str">
        <f aca="false">IF(ABS(t-T_para)&lt;pas/2,"Para","")</f>
        <v/>
      </c>
      <c r="AA63" s="425" t="str">
        <f aca="false">IF(ABS(t-T_satellite)&lt;pas/2,"Satellite","")</f>
        <v/>
      </c>
      <c r="AB63" s="413"/>
      <c r="AC63" s="421" t="e">
        <f aca="false">IF(ABS(t-ROUND(t,0))&lt;0.001,t,NA())</f>
        <v>#N/A</v>
      </c>
      <c r="AD63" s="426" t="e">
        <f aca="false">IF(ABS(t-ROUND(t,0))&lt;0.001,pos_x,NA())</f>
        <v>#N/A</v>
      </c>
      <c r="AE63" s="427" t="n">
        <f aca="false">IF(t&lt;T_para, pos_z, NA())</f>
        <v>19.5845498054528</v>
      </c>
      <c r="AF63" s="413"/>
      <c r="AG63" s="419" t="n">
        <f aca="false">IF(AND(L62&lt;L_rampe,Poussee&lt;Poids*SIN(M62)),0,(-W62+Poussee)/m-Poids*SIN(M62)/m)</f>
        <v>95.9477262709253</v>
      </c>
      <c r="AH63" s="418" t="n">
        <f aca="false">IF(AND(L62&lt;L_rampe,Poussee&lt;Poids*SIN(M62)), g*SIN(M62), (-W62+Poussee)/m)</f>
        <v>105.581361413308</v>
      </c>
    </row>
    <row r="64" customFormat="false" ht="12" hidden="false" customHeight="false" outlineLevel="0" collapsed="false">
      <c r="A64" s="417" t="n">
        <f aca="false">IF(B63+0.01&lt;=T_ini+ROUNDUP(Temps_fin_propu,0), 0.01, IF(K63&gt;0, 0.1, 0.0001))</f>
        <v>0.01</v>
      </c>
      <c r="B64" s="418" t="n">
        <f aca="false">B63+pas</f>
        <v>0.6</v>
      </c>
      <c r="C64" s="402"/>
      <c r="D64" s="419" t="n">
        <f aca="false">IF(AND(L63&lt;L_rampe,Poussee&lt;Poids*SIN(M63)),0,(-W63+Poussee)/m*COS(M63)-U63/m*SIN(M63))</f>
        <v>19.8456845993043</v>
      </c>
      <c r="E64" s="420" t="n">
        <f aca="false">IF(AND(L63&lt;L_rampe,Poussee&lt;Poids*SIN(M63)),0,(-W63+Poussee)/m*SIN(M63)+U63/m*COS(M63)-Poids/m)</f>
        <v>93.2754836193419</v>
      </c>
      <c r="F64" s="418" t="n">
        <f aca="false">SQRT(acc_x^2+acc_z^2)</f>
        <v>95.3633422318932</v>
      </c>
      <c r="G64" s="419" t="n">
        <f aca="false">G63+acc_x*pas</f>
        <v>12.5413222148477</v>
      </c>
      <c r="H64" s="420" t="n">
        <f aca="false">H63+acc_z*pas</f>
        <v>65.0459497945278</v>
      </c>
      <c r="I64" s="418" t="n">
        <f aca="false">SQRT(vit_x^2+vit_z^2)</f>
        <v>66.2439457427534</v>
      </c>
      <c r="J64" s="419" t="n">
        <f aca="false">J63+0.5*(vit_x+G63)*pas*(K63&gt;=0)</f>
        <v>3.75518194043399</v>
      </c>
      <c r="K64" s="420" t="n">
        <f aca="false">K63+0.5*(vit_z+H63)*pas</f>
        <v>20.2303455292171</v>
      </c>
      <c r="L64" s="418" t="n">
        <f aca="false">SQRT(pos_x^2+pos_z^2)</f>
        <v>20.5759148432646</v>
      </c>
      <c r="M64" s="419" t="n">
        <f aca="false">IF(AND(L63&gt;L_rampe,G64&gt;0),ATAN2(G64,H64),$M$4)</f>
        <v>1.38032646756692</v>
      </c>
      <c r="N64" s="418" t="n">
        <f aca="false">DEGREES(Beta)</f>
        <v>79.0868809417862</v>
      </c>
      <c r="O64" s="402"/>
      <c r="P64" s="421" t="n">
        <f aca="false">MATCH(t-pas/2-T_ini,CdP_t)</f>
        <v>3</v>
      </c>
      <c r="Q64" s="418" t="n">
        <f aca="false">(INDEX(CdP,2,i_P+1)-INDEX(CdP,2,i_P+0))/(INDEX(CdP,1,i_P+1)-INDEX(CdP,1,i_P+0))*(t-pas/2-T_ini-INDEX(CdP,1,i_P+0))+INDEX(CdP,2,i_P+0)</f>
        <v>162.155172413793</v>
      </c>
      <c r="R64" s="419" t="n">
        <f aca="false">Poussee/(g*ISP)</f>
        <v>0.0860638236063095</v>
      </c>
      <c r="S64" s="420" t="n">
        <f aca="false">S63-Débit*pas</f>
        <v>1.50088977427882</v>
      </c>
      <c r="T64" s="418" t="n">
        <f aca="false">m*g</f>
        <v>14.7237286856753</v>
      </c>
      <c r="U64" s="422" t="n">
        <f aca="false">IF(pos_xz&lt;L_rampe,Poids*COS(Beta),0)</f>
        <v>0</v>
      </c>
      <c r="V64" s="419" t="n">
        <f aca="false">Rho_moyen*(20000-Alt_rampe-pos_z)/(20000+Alt_rampe+pos_z)</f>
        <v>1.22252428689924</v>
      </c>
      <c r="W64" s="418" t="n">
        <f aca="false">1/2*Rho*Sref*Cx*vit_xz^2</f>
        <v>4.72899251679061</v>
      </c>
      <c r="X64" s="402"/>
      <c r="Y64" s="423" t="str">
        <f aca="false">IF(AND(pos_z&lt;=0,K63&gt;0),"Impact balistique","") &amp; IF(AND(H65&lt;0,vit_z&gt;=0),"Apogée","") &amp; IF(AND(Poussee=0,Q63&gt;0),"Fin de propulsion","") &amp; IF(AND(L65&gt;L_rampe,pos_xz&lt;=L_rampe),"Sortie de rampe","")</f>
        <v/>
      </c>
      <c r="Z64" s="424" t="str">
        <f aca="false">IF(ABS(t-T_para)&lt;pas/2,"Para","")</f>
        <v/>
      </c>
      <c r="AA64" s="425" t="str">
        <f aca="false">IF(ABS(t-T_satellite)&lt;pas/2,"Satellite","")</f>
        <v/>
      </c>
      <c r="AB64" s="413"/>
      <c r="AC64" s="421" t="e">
        <f aca="false">IF(ABS(t-ROUND(t,0))&lt;0.001,t,NA())</f>
        <v>#N/A</v>
      </c>
      <c r="AD64" s="426" t="e">
        <f aca="false">IF(ABS(t-ROUND(t,0))&lt;0.001,pos_x,NA())</f>
        <v>#N/A</v>
      </c>
      <c r="AE64" s="427" t="n">
        <f aca="false">IF(t&lt;T_para, pos_z, NA())</f>
        <v>20.2303455292171</v>
      </c>
      <c r="AF64" s="413"/>
      <c r="AG64" s="419" t="n">
        <f aca="false">IF(AND(L63&lt;L_rampe,Poussee&lt;Poids*SIN(M63)),0,(-W63+Poussee)/m-Poids*SIN(M63)/m)</f>
        <v>95.3453079128044</v>
      </c>
      <c r="AH64" s="418" t="n">
        <f aca="false">IF(AND(L63&lt;L_rampe,Poussee&lt;Poids*SIN(M63)), g*SIN(M63), (-W63+Poussee)/m)</f>
        <v>104.978417449725</v>
      </c>
    </row>
    <row r="65" customFormat="false" ht="12" hidden="false" customHeight="false" outlineLevel="0" collapsed="false">
      <c r="A65" s="417" t="n">
        <f aca="false">IF(B64+0.01&lt;=T_ini+ROUNDUP(Temps_fin_propu,0), 0.01, IF(K64&gt;0, 0.1, 0.0001))</f>
        <v>0.01</v>
      </c>
      <c r="B65" s="418" t="n">
        <f aca="false">B64+pas</f>
        <v>0.61</v>
      </c>
      <c r="C65" s="402"/>
      <c r="D65" s="419" t="n">
        <f aca="false">IF(AND(L64&lt;L_rampe,Poussee&lt;Poids*SIN(M64)),0,(-W64+Poussee)/m*COS(M64)-U64/m*SIN(M64))</f>
        <v>19.7600632295419</v>
      </c>
      <c r="E65" s="420" t="n">
        <f aca="false">IF(AND(L64&lt;L_rampe,Poussee&lt;Poids*SIN(M64)),0,(-W64+Poussee)/m*SIN(M64)+U64/m*COS(M64)-Poids/m)</f>
        <v>92.6761700183246</v>
      </c>
      <c r="F65" s="418" t="n">
        <f aca="false">SQRT(acc_x^2+acc_z^2)</f>
        <v>94.7593403739225</v>
      </c>
      <c r="G65" s="419" t="n">
        <f aca="false">G64+acc_x*pas</f>
        <v>12.7389228471432</v>
      </c>
      <c r="H65" s="420" t="n">
        <f aca="false">H64+acc_z*pas</f>
        <v>65.972711494711</v>
      </c>
      <c r="I65" s="418" t="n">
        <f aca="false">SQRT(vit_x^2+vit_z^2)</f>
        <v>67.1913596920753</v>
      </c>
      <c r="J65" s="419" t="n">
        <f aca="false">J64+0.5*(vit_x+G64)*pas*(K64&gt;=0)</f>
        <v>3.88158316574394</v>
      </c>
      <c r="K65" s="420" t="n">
        <f aca="false">K64+0.5*(vit_z+H64)*pas</f>
        <v>20.8854388356633</v>
      </c>
      <c r="L65" s="418" t="n">
        <f aca="false">SQRT(pos_x^2+pos_z^2)</f>
        <v>21.2430751830054</v>
      </c>
      <c r="M65" s="419" t="n">
        <f aca="false">IF(AND(L64&gt;L_rampe,G65&gt;0),ATAN2(G65,H65),$M$4)</f>
        <v>1.3800500582253</v>
      </c>
      <c r="N65" s="418" t="n">
        <f aca="false">DEGREES(Beta)</f>
        <v>79.0710438530935</v>
      </c>
      <c r="O65" s="402"/>
      <c r="P65" s="421" t="n">
        <f aca="false">MATCH(t-pas/2-T_ini,CdP_t)</f>
        <v>3</v>
      </c>
      <c r="Q65" s="418" t="n">
        <f aca="false">(INDEX(CdP,2,i_P+1)-INDEX(CdP,2,i_P+0))/(INDEX(CdP,1,i_P+1)-INDEX(CdP,1,i_P+0))*(t-pas/2-T_ini-INDEX(CdP,1,i_P+0))+INDEX(CdP,2,i_P+0)</f>
        <v>161.293103448276</v>
      </c>
      <c r="R65" s="419" t="n">
        <f aca="false">Poussee/(g*ISP)</f>
        <v>0.0856062806844259</v>
      </c>
      <c r="S65" s="420" t="n">
        <f aca="false">S64-Débit*pas</f>
        <v>1.50003371147198</v>
      </c>
      <c r="T65" s="418" t="n">
        <f aca="false">m*g</f>
        <v>14.7153307095401</v>
      </c>
      <c r="U65" s="422" t="n">
        <f aca="false">IF(pos_xz&lt;L_rampe,Poids*COS(Beta),0)</f>
        <v>0</v>
      </c>
      <c r="V65" s="419" t="n">
        <f aca="false">Rho_moyen*(20000-Alt_rampe-pos_z)/(20000+Alt_rampe+pos_z)</f>
        <v>1.22244420269005</v>
      </c>
      <c r="W65" s="418" t="n">
        <f aca="false">1/2*Rho*Sref*Cx*vit_xz^2</f>
        <v>4.86490820496561</v>
      </c>
      <c r="X65" s="402"/>
      <c r="Y65" s="423" t="str">
        <f aca="false">IF(AND(pos_z&lt;=0,K64&gt;0),"Impact balistique","") &amp; IF(AND(H66&lt;0,vit_z&gt;=0),"Apogée","") &amp; IF(AND(Poussee=0,Q64&gt;0),"Fin de propulsion","") &amp; IF(AND(L66&gt;L_rampe,pos_xz&lt;=L_rampe),"Sortie de rampe","")</f>
        <v/>
      </c>
      <c r="Z65" s="424" t="str">
        <f aca="false">IF(ABS(t-T_para)&lt;pas/2,"Para","")</f>
        <v/>
      </c>
      <c r="AA65" s="425" t="str">
        <f aca="false">IF(ABS(t-T_satellite)&lt;pas/2,"Satellite","")</f>
        <v/>
      </c>
      <c r="AB65" s="413"/>
      <c r="AC65" s="421" t="e">
        <f aca="false">IF(ABS(t-ROUND(t,0))&lt;0.001,t,NA())</f>
        <v>#N/A</v>
      </c>
      <c r="AD65" s="426" t="e">
        <f aca="false">IF(ABS(t-ROUND(t,0))&lt;0.001,pos_x,NA())</f>
        <v>#N/A</v>
      </c>
      <c r="AE65" s="427" t="n">
        <f aca="false">IF(t&lt;T_para, pos_z, NA())</f>
        <v>20.8854388356633</v>
      </c>
      <c r="AF65" s="413"/>
      <c r="AG65" s="419" t="n">
        <f aca="false">IF(AND(L64&lt;L_rampe,Poussee&lt;Poids*SIN(M64)),0,(-W64+Poussee)/m-Poids*SIN(M64)/m)</f>
        <v>94.7411382540579</v>
      </c>
      <c r="AH65" s="418" t="n">
        <f aca="false">IF(AND(L64&lt;L_rampe,Poussee&lt;Poids*SIN(M64)), g*SIN(M64), (-W64+Poussee)/m)</f>
        <v>104.373728226314</v>
      </c>
    </row>
    <row r="66" customFormat="false" ht="12" hidden="false" customHeight="false" outlineLevel="0" collapsed="false">
      <c r="A66" s="417" t="n">
        <f aca="false">IF(B65+0.01&lt;=T_ini+ROUNDUP(Temps_fin_propu,0), 0.01, IF(K65&gt;0, 0.1, 0.0001))</f>
        <v>0.01</v>
      </c>
      <c r="B66" s="418" t="n">
        <f aca="false">B65+pas</f>
        <v>0.62</v>
      </c>
      <c r="C66" s="402"/>
      <c r="D66" s="419" t="n">
        <f aca="false">IF(AND(L65&lt;L_rampe,Poussee&lt;Poids*SIN(M65)),0,(-W65+Poussee)/m*COS(M65)-U65/m*SIN(M65))</f>
        <v>19.6734212473276</v>
      </c>
      <c r="E66" s="420" t="n">
        <f aca="false">IF(AND(L65&lt;L_rampe,Poussee&lt;Poids*SIN(M65)),0,(-W65+Poussee)/m*SIN(M65)+U65/m*COS(M65)-Poids/m)</f>
        <v>92.0752974963209</v>
      </c>
      <c r="F66" s="418" t="n">
        <f aca="false">SQRT(acc_x^2+acc_z^2)</f>
        <v>94.153618691003</v>
      </c>
      <c r="G66" s="419" t="n">
        <f aca="false">G65+acc_x*pas</f>
        <v>12.9356570596164</v>
      </c>
      <c r="H66" s="420" t="n">
        <f aca="false">H65+acc_z*pas</f>
        <v>66.8934644696742</v>
      </c>
      <c r="I66" s="418" t="n">
        <f aca="false">SQRT(vit_x^2+vit_z^2)</f>
        <v>68.1327146994715</v>
      </c>
      <c r="J66" s="419" t="n">
        <f aca="false">J65+0.5*(vit_x+G65)*pas*(K65&gt;=0)</f>
        <v>4.00995606527774</v>
      </c>
      <c r="K66" s="420" t="n">
        <f aca="false">K65+0.5*(vit_z+H65)*pas</f>
        <v>21.5497697154852</v>
      </c>
      <c r="L66" s="418" t="n">
        <f aca="false">SQRT(pos_x^2+pos_z^2)</f>
        <v>21.9196788853281</v>
      </c>
      <c r="M66" s="419" t="n">
        <f aca="false">IF(AND(L65&gt;L_rampe,G66&gt;0),ATAN2(G66,H66),$M$4)</f>
        <v>1.37977707711424</v>
      </c>
      <c r="N66" s="418" t="n">
        <f aca="false">DEGREES(Beta)</f>
        <v>79.0554031875429</v>
      </c>
      <c r="O66" s="402"/>
      <c r="P66" s="421" t="n">
        <f aca="false">MATCH(t-pas/2-T_ini,CdP_t)</f>
        <v>3</v>
      </c>
      <c r="Q66" s="418" t="n">
        <f aca="false">(INDEX(CdP,2,i_P+1)-INDEX(CdP,2,i_P+0))/(INDEX(CdP,1,i_P+1)-INDEX(CdP,1,i_P+0))*(t-pas/2-T_ini-INDEX(CdP,1,i_P+0))+INDEX(CdP,2,i_P+0)</f>
        <v>160.431034482759</v>
      </c>
      <c r="R66" s="419" t="n">
        <f aca="false">Poussee/(g*ISP)</f>
        <v>0.0851487377625423</v>
      </c>
      <c r="S66" s="420" t="n">
        <f aca="false">S65-Débit*pas</f>
        <v>1.49918222409435</v>
      </c>
      <c r="T66" s="418" t="n">
        <f aca="false">m*g</f>
        <v>14.7069776183656</v>
      </c>
      <c r="U66" s="422" t="n">
        <f aca="false">IF(pos_xz&lt;L_rampe,Poids*COS(Beta),0)</f>
        <v>0</v>
      </c>
      <c r="V66" s="419" t="n">
        <f aca="false">Rho_moyen*(20000-Alt_rampe-pos_z)/(20000+Alt_rampe+pos_z)</f>
        <v>1.22236299455286</v>
      </c>
      <c r="W66" s="418" t="n">
        <f aca="false">1/2*Rho*Sref*Cx*vit_xz^2</f>
        <v>5.00184611392094</v>
      </c>
      <c r="X66" s="402"/>
      <c r="Y66" s="423" t="str">
        <f aca="false">IF(AND(pos_z&lt;=0,K65&gt;0),"Impact balistique","") &amp; IF(AND(H67&lt;0,vit_z&gt;=0),"Apogée","") &amp; IF(AND(Poussee=0,Q65&gt;0),"Fin de propulsion","") &amp; IF(AND(L67&gt;L_rampe,pos_xz&lt;=L_rampe),"Sortie de rampe","")</f>
        <v/>
      </c>
      <c r="Z66" s="424" t="str">
        <f aca="false">IF(ABS(t-T_para)&lt;pas/2,"Para","")</f>
        <v/>
      </c>
      <c r="AA66" s="425" t="str">
        <f aca="false">IF(ABS(t-T_satellite)&lt;pas/2,"Satellite","")</f>
        <v/>
      </c>
      <c r="AB66" s="413"/>
      <c r="AC66" s="421" t="e">
        <f aca="false">IF(ABS(t-ROUND(t,0))&lt;0.001,t,NA())</f>
        <v>#N/A</v>
      </c>
      <c r="AD66" s="426" t="e">
        <f aca="false">IF(ABS(t-ROUND(t,0))&lt;0.001,pos_x,NA())</f>
        <v>#N/A</v>
      </c>
      <c r="AE66" s="427" t="n">
        <f aca="false">IF(t&lt;T_para, pos_z, NA())</f>
        <v>21.5497697154852</v>
      </c>
      <c r="AF66" s="413"/>
      <c r="AG66" s="419" t="n">
        <f aca="false">IF(AND(L65&lt;L_rampe,Poussee&lt;Poids*SIN(M65)),0,(-W65+Poussee)/m-Poids*SIN(M65)/m)</f>
        <v>94.1352468815944</v>
      </c>
      <c r="AH66" s="418" t="n">
        <f aca="false">IF(AND(L65&lt;L_rampe,Poussee&lt;Poids*SIN(M65)), g*SIN(M65), (-W65+Poussee)/m)</f>
        <v>103.767323129628</v>
      </c>
    </row>
    <row r="67" customFormat="false" ht="12" hidden="false" customHeight="false" outlineLevel="0" collapsed="false">
      <c r="A67" s="417" t="n">
        <f aca="false">IF(B66+0.01&lt;=T_ini+ROUNDUP(Temps_fin_propu,0), 0.01, IF(K66&gt;0, 0.1, 0.0001))</f>
        <v>0.01</v>
      </c>
      <c r="B67" s="418" t="n">
        <f aca="false">B66+pas</f>
        <v>0.63</v>
      </c>
      <c r="C67" s="402"/>
      <c r="D67" s="419" t="n">
        <f aca="false">IF(AND(L66&lt;L_rampe,Poussee&lt;Poids*SIN(M66)),0,(-W66+Poussee)/m*COS(M66)-U66/m*SIN(M66))</f>
        <v>19.4819504693532</v>
      </c>
      <c r="E67" s="420" t="n">
        <f aca="false">IF(AND(L66&lt;L_rampe,Poussee&lt;Poids*SIN(M66)),0,(-W66+Poussee)/m*SIN(M66)+U66/m*COS(M66)-Poids/m)</f>
        <v>90.9359578988156</v>
      </c>
      <c r="F67" s="418" t="n">
        <f aca="false">SQRT(acc_x^2+acc_z^2)</f>
        <v>92.9994345846549</v>
      </c>
      <c r="G67" s="419" t="n">
        <f aca="false">G66+acc_x*pas</f>
        <v>13.13047656431</v>
      </c>
      <c r="H67" s="420" t="n">
        <f aca="false">H66+acc_z*pas</f>
        <v>67.8028240486624</v>
      </c>
      <c r="I67" s="418" t="n">
        <f aca="false">SQRT(vit_x^2+vit_z^2)</f>
        <v>69.0625250318852</v>
      </c>
      <c r="J67" s="419" t="n">
        <f aca="false">J66+0.5*(vit_x+G66)*pas*(K66&gt;=0)</f>
        <v>4.14028673339737</v>
      </c>
      <c r="K67" s="420" t="n">
        <f aca="false">K66+0.5*(vit_z+H66)*pas</f>
        <v>22.2232511580769</v>
      </c>
      <c r="L67" s="418" t="n">
        <f aca="false">SQRT(pos_x^2+pos_z^2)</f>
        <v>22.6056379310497</v>
      </c>
      <c r="M67" s="419" t="n">
        <f aca="false">IF(AND(L66&gt;L_rampe,G67&gt;0),ATAN2(G67,H67),$M$4)</f>
        <v>1.37950739051938</v>
      </c>
      <c r="N67" s="418" t="n">
        <f aca="false">DEGREES(Beta)</f>
        <v>79.0399512838661</v>
      </c>
      <c r="O67" s="402"/>
      <c r="P67" s="421" t="n">
        <f aca="false">MATCH(t-pas/2-T_ini,CdP_t)</f>
        <v>4</v>
      </c>
      <c r="Q67" s="418" t="n">
        <f aca="false">(INDEX(CdP,2,i_P+1)-INDEX(CdP,2,i_P+0))/(INDEX(CdP,1,i_P+1)-INDEX(CdP,1,i_P+0))*(t-pas/2-T_ini-INDEX(CdP,1,i_P+0))+INDEX(CdP,2,i_P+0)</f>
        <v>158.75</v>
      </c>
      <c r="R67" s="419" t="n">
        <f aca="false">Poussee/(g*ISP)</f>
        <v>0.0842565290648692</v>
      </c>
      <c r="S67" s="420" t="n">
        <f aca="false">S66-Débit*pas</f>
        <v>1.4983396588037</v>
      </c>
      <c r="T67" s="418" t="n">
        <f aca="false">m*g</f>
        <v>14.6987120528643</v>
      </c>
      <c r="U67" s="422" t="n">
        <f aca="false">IF(pos_xz&lt;L_rampe,Poids*COS(Beta),0)</f>
        <v>0</v>
      </c>
      <c r="V67" s="419" t="n">
        <f aca="false">Rho_moyen*(20000-Alt_rampe-pos_z)/(20000+Alt_rampe+pos_z)</f>
        <v>1.2222806733471</v>
      </c>
      <c r="W67" s="418" t="n">
        <f aca="false">1/2*Rho*Sref*Cx*vit_xz^2</f>
        <v>5.13895241016589</v>
      </c>
      <c r="X67" s="402"/>
      <c r="Y67" s="423" t="str">
        <f aca="false">IF(AND(pos_z&lt;=0,K66&gt;0),"Impact balistique","") &amp; IF(AND(H68&lt;0,vit_z&gt;=0),"Apogée","") &amp; IF(AND(Poussee=0,Q66&gt;0),"Fin de propulsion","") &amp; IF(AND(L68&gt;L_rampe,pos_xz&lt;=L_rampe),"Sortie de rampe","")</f>
        <v/>
      </c>
      <c r="Z67" s="424" t="str">
        <f aca="false">IF(ABS(t-T_para)&lt;pas/2,"Para","")</f>
        <v/>
      </c>
      <c r="AA67" s="425" t="str">
        <f aca="false">IF(ABS(t-T_satellite)&lt;pas/2,"Satellite","")</f>
        <v/>
      </c>
      <c r="AB67" s="413"/>
      <c r="AC67" s="421" t="e">
        <f aca="false">IF(ABS(t-ROUND(t,0))&lt;0.001,t,NA())</f>
        <v>#N/A</v>
      </c>
      <c r="AD67" s="426" t="e">
        <f aca="false">IF(ABS(t-ROUND(t,0))&lt;0.001,pos_x,NA())</f>
        <v>#N/A</v>
      </c>
      <c r="AE67" s="427" t="n">
        <f aca="false">IF(t&lt;T_para, pos_z, NA())</f>
        <v>22.2232511580769</v>
      </c>
      <c r="AF67" s="413"/>
      <c r="AG67" s="419" t="n">
        <f aca="false">IF(AND(L66&lt;L_rampe,Poussee&lt;Poids*SIN(M66)),0,(-W66+Poussee)/m-Poids*SIN(M66)/m)</f>
        <v>92.9807820925319</v>
      </c>
      <c r="AH67" s="418" t="n">
        <f aca="false">IF(AND(L66&lt;L_rampe,Poussee&lt;Poids*SIN(M66)), g*SIN(M66), (-W66+Poussee)/m)</f>
        <v>102.612350265649</v>
      </c>
    </row>
    <row r="68" customFormat="false" ht="12" hidden="false" customHeight="false" outlineLevel="0" collapsed="false">
      <c r="A68" s="417" t="n">
        <f aca="false">IF(B67+0.01&lt;=T_ini+ROUNDUP(Temps_fin_propu,0), 0.01, IF(K67&gt;0, 0.1, 0.0001))</f>
        <v>0.01</v>
      </c>
      <c r="B68" s="418" t="n">
        <f aca="false">B67+pas</f>
        <v>0.64</v>
      </c>
      <c r="C68" s="402"/>
      <c r="D68" s="419" t="n">
        <f aca="false">IF(AND(L67&lt;L_rampe,Poussee&lt;Poids*SIN(M67)),0,(-W67+Poussee)/m*COS(M67)-U67/m*SIN(M67))</f>
        <v>19.1851154167578</v>
      </c>
      <c r="E68" s="420" t="n">
        <f aca="false">IF(AND(L67&lt;L_rampe,Poussee&lt;Poids*SIN(M67)),0,(-W67+Poussee)/m*SIN(M67)+U67/m*COS(M67)-Poids/m)</f>
        <v>89.257615602882</v>
      </c>
      <c r="F68" s="418" t="n">
        <f aca="false">SQRT(acc_x^2+acc_z^2)</f>
        <v>91.2961696713842</v>
      </c>
      <c r="G68" s="419" t="n">
        <f aca="false">G67+acc_x*pas</f>
        <v>13.3223277184775</v>
      </c>
      <c r="H68" s="420" t="n">
        <f aca="false">H67+acc_z*pas</f>
        <v>68.6954002046912</v>
      </c>
      <c r="I68" s="418" t="n">
        <f aca="false">SQRT(vit_x^2+vit_z^2)</f>
        <v>69.975298678328</v>
      </c>
      <c r="J68" s="419" t="n">
        <f aca="false">J67+0.5*(vit_x+G67)*pas*(K67&gt;=0)</f>
        <v>4.27255075481131</v>
      </c>
      <c r="K68" s="420" t="n">
        <f aca="false">K67+0.5*(vit_z+H67)*pas</f>
        <v>22.9057422793436</v>
      </c>
      <c r="L68" s="418" t="n">
        <f aca="false">SQRT(pos_x^2+pos_z^2)</f>
        <v>23.300809413412</v>
      </c>
      <c r="M68" s="419" t="n">
        <f aca="false">IF(AND(L67&gt;L_rampe,G68&gt;0),ATAN2(G68,H68),$M$4)</f>
        <v>1.3792408505842</v>
      </c>
      <c r="N68" s="418" t="n">
        <f aca="false">DEGREES(Beta)</f>
        <v>79.0246796705085</v>
      </c>
      <c r="O68" s="402"/>
      <c r="P68" s="421" t="n">
        <f aca="false">MATCH(t-pas/2-T_ini,CdP_t)</f>
        <v>4</v>
      </c>
      <c r="Q68" s="418" t="n">
        <f aca="false">(INDEX(CdP,2,i_P+1)-INDEX(CdP,2,i_P+0))/(INDEX(CdP,1,i_P+1)-INDEX(CdP,1,i_P+0))*(t-pas/2-T_ini-INDEX(CdP,1,i_P+0))+INDEX(CdP,2,i_P+0)</f>
        <v>156.25</v>
      </c>
      <c r="R68" s="419" t="n">
        <f aca="false">Poussee/(g*ISP)</f>
        <v>0.0829296545914067</v>
      </c>
      <c r="S68" s="420" t="n">
        <f aca="false">S67-Débit*pas</f>
        <v>1.49751036225779</v>
      </c>
      <c r="T68" s="418" t="n">
        <f aca="false">m*g</f>
        <v>14.6905766537489</v>
      </c>
      <c r="U68" s="422" t="n">
        <f aca="false">IF(pos_xz&lt;L_rampe,Poids*COS(Beta),0)</f>
        <v>0</v>
      </c>
      <c r="V68" s="419" t="n">
        <f aca="false">Rho_moyen*(20000-Alt_rampe-pos_z)/(20000+Alt_rampe+pos_z)</f>
        <v>1.22219725651678</v>
      </c>
      <c r="W68" s="418" t="n">
        <f aca="false">1/2*Rho*Sref*Cx*vit_xz^2</f>
        <v>5.27532926550394</v>
      </c>
      <c r="X68" s="402"/>
      <c r="Y68" s="423" t="str">
        <f aca="false">IF(AND(pos_z&lt;=0,K67&gt;0),"Impact balistique","") &amp; IF(AND(H69&lt;0,vit_z&gt;=0),"Apogée","") &amp; IF(AND(Poussee=0,Q67&gt;0),"Fin de propulsion","") &amp; IF(AND(L69&gt;L_rampe,pos_xz&lt;=L_rampe),"Sortie de rampe","")</f>
        <v/>
      </c>
      <c r="Z68" s="424" t="str">
        <f aca="false">IF(ABS(t-T_para)&lt;pas/2,"Para","")</f>
        <v/>
      </c>
      <c r="AA68" s="425" t="str">
        <f aca="false">IF(ABS(t-T_satellite)&lt;pas/2,"Satellite","")</f>
        <v/>
      </c>
      <c r="AB68" s="413"/>
      <c r="AC68" s="421" t="e">
        <f aca="false">IF(ABS(t-ROUND(t,0))&lt;0.001,t,NA())</f>
        <v>#N/A</v>
      </c>
      <c r="AD68" s="426" t="e">
        <f aca="false">IF(ABS(t-ROUND(t,0))&lt;0.001,pos_x,NA())</f>
        <v>#N/A</v>
      </c>
      <c r="AE68" s="427" t="n">
        <f aca="false">IF(t&lt;T_para, pos_z, NA())</f>
        <v>22.9057422793436</v>
      </c>
      <c r="AF68" s="413"/>
      <c r="AG68" s="419" t="n">
        <f aca="false">IF(AND(L67&lt;L_rampe,Poussee&lt;Poids*SIN(M67)),0,(-W67+Poussee)/m-Poids*SIN(M67)/m)</f>
        <v>91.2771160796436</v>
      </c>
      <c r="AH68" s="418" t="n">
        <f aca="false">IF(AND(L67&lt;L_rampe,Poussee&lt;Poids*SIN(M67)), g*SIN(M67), (-W67+Poussee)/m)</f>
        <v>100.908181604837</v>
      </c>
    </row>
    <row r="69" customFormat="false" ht="12" hidden="false" customHeight="false" outlineLevel="0" collapsed="false">
      <c r="A69" s="417" t="n">
        <f aca="false">IF(B68+0.01&lt;=T_ini+ROUNDUP(Temps_fin_propu,0), 0.01, IF(K68&gt;0, 0.1, 0.0001))</f>
        <v>0.01</v>
      </c>
      <c r="B69" s="418" t="n">
        <f aca="false">B68+pas</f>
        <v>0.65</v>
      </c>
      <c r="C69" s="402"/>
      <c r="D69" s="419" t="n">
        <f aca="false">IF(AND(L68&lt;L_rampe,Poussee&lt;Poids*SIN(M68)),0,(-W68+Poussee)/m*COS(M68)-U68/m*SIN(M68))</f>
        <v>18.8866359014569</v>
      </c>
      <c r="E69" s="420" t="n">
        <f aca="false">IF(AND(L68&lt;L_rampe,Poussee&lt;Poids*SIN(M68)),0,(-W68+Poussee)/m*SIN(M68)+U68/m*COS(M68)-Poids/m)</f>
        <v>87.5772613846147</v>
      </c>
      <c r="F69" s="418" t="n">
        <f aca="false">SQRT(acc_x^2+acc_z^2)</f>
        <v>89.5906341494653</v>
      </c>
      <c r="G69" s="419" t="n">
        <f aca="false">G68+acc_x*pas</f>
        <v>13.5111940774921</v>
      </c>
      <c r="H69" s="420" t="n">
        <f aca="false">H68+acc_z*pas</f>
        <v>69.5711728185374</v>
      </c>
      <c r="I69" s="418" t="n">
        <f aca="false">SQRT(vit_x^2+vit_z^2)</f>
        <v>70.8710127820003</v>
      </c>
      <c r="J69" s="419" t="n">
        <f aca="false">J68+0.5*(vit_x+G68)*pas*(K68&gt;=0)</f>
        <v>4.40671836379116</v>
      </c>
      <c r="K69" s="420" t="n">
        <f aca="false">K68+0.5*(vit_z+H68)*pas</f>
        <v>23.5970751444598</v>
      </c>
      <c r="L69" s="418" t="n">
        <f aca="false">SQRT(pos_x^2+pos_z^2)</f>
        <v>24.0050228517087</v>
      </c>
      <c r="M69" s="419" t="n">
        <f aca="false">IF(AND(L68&gt;L_rampe,G69&gt;0),ATAN2(G69,H69),$M$4)</f>
        <v>1.37897731714776</v>
      </c>
      <c r="N69" s="418" t="n">
        <f aca="false">DEGREES(Beta)</f>
        <v>79.0095803168399</v>
      </c>
      <c r="O69" s="402"/>
      <c r="P69" s="421" t="n">
        <f aca="false">MATCH(t-pas/2-T_ini,CdP_t)</f>
        <v>4</v>
      </c>
      <c r="Q69" s="418" t="n">
        <f aca="false">(INDEX(CdP,2,i_P+1)-INDEX(CdP,2,i_P+0))/(INDEX(CdP,1,i_P+1)-INDEX(CdP,1,i_P+0))*(t-pas/2-T_ini-INDEX(CdP,1,i_P+0))+INDEX(CdP,2,i_P+0)</f>
        <v>153.75</v>
      </c>
      <c r="R69" s="419" t="n">
        <f aca="false">Poussee/(g*ISP)</f>
        <v>0.0816027801179442</v>
      </c>
      <c r="S69" s="420" t="n">
        <f aca="false">S68-Débit*pas</f>
        <v>1.49669433445661</v>
      </c>
      <c r="T69" s="418" t="n">
        <f aca="false">m*g</f>
        <v>14.6825714210194</v>
      </c>
      <c r="U69" s="422" t="n">
        <f aca="false">IF(pos_xz&lt;L_rampe,Poids*COS(Beta),0)</f>
        <v>0</v>
      </c>
      <c r="V69" s="419" t="n">
        <f aca="false">Rho_moyen*(20000-Alt_rampe-pos_z)/(20000+Alt_rampe+pos_z)</f>
        <v>1.22211276481009</v>
      </c>
      <c r="W69" s="418" t="n">
        <f aca="false">1/2*Rho*Sref*Cx*vit_xz^2</f>
        <v>5.41087254386376</v>
      </c>
      <c r="X69" s="402"/>
      <c r="Y69" s="423" t="str">
        <f aca="false">IF(AND(pos_z&lt;=0,K68&gt;0),"Impact balistique","") &amp; IF(AND(H70&lt;0,vit_z&gt;=0),"Apogée","") &amp; IF(AND(Poussee=0,Q68&gt;0),"Fin de propulsion","") &amp; IF(AND(L70&gt;L_rampe,pos_xz&lt;=L_rampe),"Sortie de rampe","")</f>
        <v/>
      </c>
      <c r="Z69" s="424" t="str">
        <f aca="false">IF(ABS(t-T_para)&lt;pas/2,"Para","")</f>
        <v/>
      </c>
      <c r="AA69" s="425" t="str">
        <f aca="false">IF(ABS(t-T_satellite)&lt;pas/2,"Satellite","")</f>
        <v/>
      </c>
      <c r="AB69" s="413"/>
      <c r="AC69" s="421" t="e">
        <f aca="false">IF(ABS(t-ROUND(t,0))&lt;0.001,t,NA())</f>
        <v>#N/A</v>
      </c>
      <c r="AD69" s="426" t="e">
        <f aca="false">IF(ABS(t-ROUND(t,0))&lt;0.001,pos_x,NA())</f>
        <v>#N/A</v>
      </c>
      <c r="AE69" s="427" t="n">
        <f aca="false">IF(t&lt;T_para, pos_z, NA())</f>
        <v>23.5970751444598</v>
      </c>
      <c r="AF69" s="413"/>
      <c r="AG69" s="419" t="n">
        <f aca="false">IF(AND(L68&lt;L_rampe,Poussee&lt;Poids*SIN(M68)),0,(-W68+Poussee)/m-Poids*SIN(M68)/m)</f>
        <v>89.571164268098</v>
      </c>
      <c r="AH69" s="418" t="n">
        <f aca="false">IF(AND(L68&lt;L_rampe,Poussee&lt;Poids*SIN(M68)), g*SIN(M68), (-W68+Poussee)/m)</f>
        <v>99.201732321918</v>
      </c>
    </row>
    <row r="70" customFormat="false" ht="12" hidden="false" customHeight="false" outlineLevel="0" collapsed="false">
      <c r="A70" s="417" t="n">
        <f aca="false">IF(B69+0.01&lt;=T_ini+ROUNDUP(Temps_fin_propu,0), 0.01, IF(K69&gt;0, 0.1, 0.0001))</f>
        <v>0.01</v>
      </c>
      <c r="B70" s="418" t="n">
        <f aca="false">B69+pas</f>
        <v>0.66</v>
      </c>
      <c r="C70" s="402"/>
      <c r="D70" s="419" t="n">
        <f aca="false">IF(AND(L69&lt;L_rampe,Poussee&lt;Poids*SIN(M69)),0,(-W69+Poussee)/m*COS(M69)-U69/m*SIN(M69))</f>
        <v>18.5865606942427</v>
      </c>
      <c r="E70" s="420" t="n">
        <f aca="false">IF(AND(L69&lt;L_rampe,Poussee&lt;Poids*SIN(M69)),0,(-W69+Poussee)/m*SIN(M69)+U69/m*COS(M69)-Poids/m)</f>
        <v>85.8949997761122</v>
      </c>
      <c r="F70" s="418" t="n">
        <f aca="false">SQRT(acc_x^2+acc_z^2)</f>
        <v>87.8829404661626</v>
      </c>
      <c r="G70" s="419" t="n">
        <f aca="false">G69+acc_x*pas</f>
        <v>13.6970596844345</v>
      </c>
      <c r="H70" s="420" t="n">
        <f aca="false">H69+acc_z*pas</f>
        <v>70.4301228162985</v>
      </c>
      <c r="I70" s="418" t="n">
        <f aca="false">SQRT(vit_x^2+vit_z^2)</f>
        <v>71.7496456013397</v>
      </c>
      <c r="J70" s="419" t="n">
        <f aca="false">J69+0.5*(vit_x+G69)*pas*(K69&gt;=0)</f>
        <v>4.54275963260079</v>
      </c>
      <c r="K70" s="420" t="n">
        <f aca="false">K69+0.5*(vit_z+H69)*pas</f>
        <v>24.297081622634</v>
      </c>
      <c r="L70" s="418" t="n">
        <f aca="false">SQRT(pos_x^2+pos_z^2)</f>
        <v>24.7181075419726</v>
      </c>
      <c r="M70" s="419" t="n">
        <f aca="false">IF(AND(L69&gt;L_rampe,G70&gt;0),ATAN2(G70,H70),$M$4)</f>
        <v>1.37871665717517</v>
      </c>
      <c r="N70" s="418" t="n">
        <f aca="false">DEGREES(Beta)</f>
        <v>78.9946456005222</v>
      </c>
      <c r="O70" s="402"/>
      <c r="P70" s="421" t="n">
        <f aca="false">MATCH(t-pas/2-T_ini,CdP_t)</f>
        <v>4</v>
      </c>
      <c r="Q70" s="418" t="n">
        <f aca="false">(INDEX(CdP,2,i_P+1)-INDEX(CdP,2,i_P+0))/(INDEX(CdP,1,i_P+1)-INDEX(CdP,1,i_P+0))*(t-pas/2-T_ini-INDEX(CdP,1,i_P+0))+INDEX(CdP,2,i_P+0)</f>
        <v>151.25</v>
      </c>
      <c r="R70" s="419" t="n">
        <f aca="false">Poussee/(g*ISP)</f>
        <v>0.0802759056444816</v>
      </c>
      <c r="S70" s="420" t="n">
        <f aca="false">S69-Débit*pas</f>
        <v>1.49589157540017</v>
      </c>
      <c r="T70" s="418" t="n">
        <f aca="false">m*g</f>
        <v>14.6746963546756</v>
      </c>
      <c r="U70" s="422" t="n">
        <f aca="false">IF(pos_xz&lt;L_rampe,Poids*COS(Beta),0)</f>
        <v>0</v>
      </c>
      <c r="V70" s="419" t="n">
        <f aca="false">Rho_moyen*(20000-Alt_rampe-pos_z)/(20000+Alt_rampe+pos_z)</f>
        <v>1.22202721899636</v>
      </c>
      <c r="W70" s="418" t="n">
        <f aca="false">1/2*Rho*Sref*Cx*vit_xz^2</f>
        <v>5.54548002664581</v>
      </c>
      <c r="X70" s="402"/>
      <c r="Y70" s="423" t="str">
        <f aca="false">IF(AND(pos_z&lt;=0,K69&gt;0),"Impact balistique","") &amp; IF(AND(H71&lt;0,vit_z&gt;=0),"Apogée","") &amp; IF(AND(Poussee=0,Q69&gt;0),"Fin de propulsion","") &amp; IF(AND(L71&gt;L_rampe,pos_xz&lt;=L_rampe),"Sortie de rampe","")</f>
        <v/>
      </c>
      <c r="Z70" s="424" t="str">
        <f aca="false">IF(ABS(t-T_para)&lt;pas/2,"Para","")</f>
        <v/>
      </c>
      <c r="AA70" s="425" t="str">
        <f aca="false">IF(ABS(t-T_satellite)&lt;pas/2,"Satellite","")</f>
        <v/>
      </c>
      <c r="AB70" s="413"/>
      <c r="AC70" s="421" t="e">
        <f aca="false">IF(ABS(t-ROUND(t,0))&lt;0.001,t,NA())</f>
        <v>#N/A</v>
      </c>
      <c r="AD70" s="426" t="e">
        <f aca="false">IF(ABS(t-ROUND(t,0))&lt;0.001,pos_x,NA())</f>
        <v>#N/A</v>
      </c>
      <c r="AE70" s="427" t="n">
        <f aca="false">IF(t&lt;T_para, pos_z, NA())</f>
        <v>24.297081622634</v>
      </c>
      <c r="AF70" s="413"/>
      <c r="AG70" s="419" t="n">
        <f aca="false">IF(AND(L69&lt;L_rampe,Poussee&lt;Poids*SIN(M69)),0,(-W69+Poussee)/m-Poids*SIN(M69)/m)</f>
        <v>87.8630381874074</v>
      </c>
      <c r="AH70" s="418" t="n">
        <f aca="false">IF(AND(L69&lt;L_rampe,Poussee&lt;Poids*SIN(M69)), g*SIN(M69), (-W69+Poussee)/m)</f>
        <v>97.4931137085405</v>
      </c>
    </row>
    <row r="71" customFormat="false" ht="12" hidden="false" customHeight="false" outlineLevel="0" collapsed="false">
      <c r="A71" s="417" t="n">
        <f aca="false">IF(B70+0.01&lt;=T_ini+ROUNDUP(Temps_fin_propu,0), 0.01, IF(K70&gt;0, 0.1, 0.0001))</f>
        <v>0.01</v>
      </c>
      <c r="B71" s="418" t="n">
        <f aca="false">B70+pas</f>
        <v>0.67</v>
      </c>
      <c r="C71" s="402"/>
      <c r="D71" s="419" t="n">
        <f aca="false">IF(AND(L70&lt;L_rampe,Poussee&lt;Poids*SIN(M70)),0,(-W70+Poussee)/m*COS(M70)-U70/m*SIN(M70))</f>
        <v>18.1891254424911</v>
      </c>
      <c r="E71" s="420" t="n">
        <f aca="false">IF(AND(L70&lt;L_rampe,Poussee&lt;Poids*SIN(M70)),0,(-W70+Poussee)/m*SIN(M70)+U70/m*COS(M70)-Poids/m)</f>
        <v>83.7182731002128</v>
      </c>
      <c r="F71" s="418" t="n">
        <f aca="false">SQRT(acc_x^2+acc_z^2)</f>
        <v>85.6714277647133</v>
      </c>
      <c r="G71" s="419" t="n">
        <f aca="false">G70+acc_x*pas</f>
        <v>13.8789509388595</v>
      </c>
      <c r="H71" s="420" t="n">
        <f aca="false">H70+acc_z*pas</f>
        <v>71.2673055473006</v>
      </c>
      <c r="I71" s="418" t="n">
        <f aca="false">SQRT(vit_x^2+vit_z^2)</f>
        <v>72.6061575841579</v>
      </c>
      <c r="J71" s="419" t="n">
        <f aca="false">J70+0.5*(vit_x+G70)*pas*(K70&gt;=0)</f>
        <v>4.68063968571726</v>
      </c>
      <c r="K71" s="420" t="n">
        <f aca="false">K70+0.5*(vit_z+H70)*pas</f>
        <v>25.005568764452</v>
      </c>
      <c r="L71" s="418" t="n">
        <f aca="false">SQRT(pos_x^2+pos_z^2)</f>
        <v>25.439867474129</v>
      </c>
      <c r="M71" s="419" t="n">
        <f aca="false">IF(AND(L70&gt;L_rampe,G71&gt;0),ATAN2(G71,H71),$M$4)</f>
        <v>1.37845872641018</v>
      </c>
      <c r="N71" s="418" t="n">
        <f aca="false">DEGREES(Beta)</f>
        <v>78.9798672562818</v>
      </c>
      <c r="O71" s="402"/>
      <c r="P71" s="421" t="n">
        <f aca="false">MATCH(t-pas/2-T_ini,CdP_t)</f>
        <v>5</v>
      </c>
      <c r="Q71" s="418" t="n">
        <f aca="false">(INDEX(CdP,2,i_P+1)-INDEX(CdP,2,i_P+0))/(INDEX(CdP,1,i_P+1)-INDEX(CdP,1,i_P+0))*(t-pas/2-T_ini-INDEX(CdP,1,i_P+0))+INDEX(CdP,2,i_P+0)</f>
        <v>148</v>
      </c>
      <c r="R71" s="419" t="n">
        <f aca="false">Poussee/(g*ISP)</f>
        <v>0.0785509688289804</v>
      </c>
      <c r="S71" s="420" t="n">
        <f aca="false">S70-Débit*pas</f>
        <v>1.49510606571188</v>
      </c>
      <c r="T71" s="418" t="n">
        <f aca="false">m*g</f>
        <v>14.6669905046335</v>
      </c>
      <c r="U71" s="422" t="n">
        <f aca="false">IF(pos_xz&lt;L_rampe,Poids*COS(Beta),0)</f>
        <v>0</v>
      </c>
      <c r="V71" s="419" t="n">
        <f aca="false">Rho_moyen*(20000-Alt_rampe-pos_z)/(20000+Alt_rampe+pos_z)</f>
        <v>1.2219406428746</v>
      </c>
      <c r="W71" s="418" t="n">
        <f aca="false">1/2*Rho*Sref*Cx*vit_xz^2</f>
        <v>5.67826639416023</v>
      </c>
      <c r="X71" s="402"/>
      <c r="Y71" s="423" t="str">
        <f aca="false">IF(AND(pos_z&lt;=0,K70&gt;0),"Impact balistique","") &amp; IF(AND(H72&lt;0,vit_z&gt;=0),"Apogée","") &amp; IF(AND(Poussee=0,Q70&gt;0),"Fin de propulsion","") &amp; IF(AND(L72&gt;L_rampe,pos_xz&lt;=L_rampe),"Sortie de rampe","")</f>
        <v/>
      </c>
      <c r="Z71" s="424" t="str">
        <f aca="false">IF(ABS(t-T_para)&lt;pas/2,"Para","")</f>
        <v/>
      </c>
      <c r="AA71" s="425" t="str">
        <f aca="false">IF(ABS(t-T_satellite)&lt;pas/2,"Satellite","")</f>
        <v/>
      </c>
      <c r="AB71" s="413"/>
      <c r="AC71" s="421" t="e">
        <f aca="false">IF(ABS(t-ROUND(t,0))&lt;0.001,t,NA())</f>
        <v>#N/A</v>
      </c>
      <c r="AD71" s="426" t="e">
        <f aca="false">IF(ABS(t-ROUND(t,0))&lt;0.001,pos_x,NA())</f>
        <v>#N/A</v>
      </c>
      <c r="AE71" s="427" t="n">
        <f aca="false">IF(t&lt;T_para, pos_z, NA())</f>
        <v>25.005568764452</v>
      </c>
      <c r="AF71" s="413"/>
      <c r="AG71" s="419" t="n">
        <f aca="false">IF(AND(L70&lt;L_rampe,Poussee&lt;Poids*SIN(M70)),0,(-W70+Poussee)/m-Poids*SIN(M70)/m)</f>
        <v>85.6509567636823</v>
      </c>
      <c r="AH71" s="418" t="n">
        <f aca="false">IF(AND(L70&lt;L_rampe,Poussee&lt;Poids*SIN(M70)), g*SIN(M70), (-W70+Poussee)/m)</f>
        <v>95.2805444646003</v>
      </c>
    </row>
    <row r="72" customFormat="false" ht="12" hidden="false" customHeight="false" outlineLevel="0" collapsed="false">
      <c r="A72" s="417" t="n">
        <f aca="false">IF(B71+0.01&lt;=T_ini+ROUNDUP(Temps_fin_propu,0), 0.01, IF(K71&gt;0, 0.1, 0.0001))</f>
        <v>0.01</v>
      </c>
      <c r="B72" s="418" t="n">
        <f aca="false">B71+pas</f>
        <v>0.68</v>
      </c>
      <c r="C72" s="402"/>
      <c r="D72" s="419" t="n">
        <f aca="false">IF(AND(L71&lt;L_rampe,Poussee&lt;Poids*SIN(M71)),0,(-W71+Poussee)/m*COS(M71)-U71/m*SIN(M71))</f>
        <v>17.6939041086867</v>
      </c>
      <c r="E72" s="420" t="n">
        <f aca="false">IF(AND(L71&lt;L_rampe,Poussee&lt;Poids*SIN(M71)),0,(-W71+Poussee)/m*SIN(M71)+U71/m*COS(M71)-Poids/m)</f>
        <v>81.0467856456477</v>
      </c>
      <c r="F72" s="418" t="n">
        <f aca="false">SQRT(acc_x^2+acc_z^2)</f>
        <v>82.9557454676828</v>
      </c>
      <c r="G72" s="419" t="n">
        <f aca="false">G71+acc_x*pas</f>
        <v>14.0558899799463</v>
      </c>
      <c r="H72" s="420" t="n">
        <f aca="false">H71+acc_z*pas</f>
        <v>72.0777734037571</v>
      </c>
      <c r="I72" s="418" t="n">
        <f aca="false">SQRT(vit_x^2+vit_z^2)</f>
        <v>73.4355054586792</v>
      </c>
      <c r="J72" s="419" t="n">
        <f aca="false">J71+0.5*(vit_x+G71)*pas*(K71&gt;=0)</f>
        <v>4.82031389031129</v>
      </c>
      <c r="K72" s="420" t="n">
        <f aca="false">K71+0.5*(vit_z+H71)*pas</f>
        <v>25.7222941592072</v>
      </c>
      <c r="L72" s="418" t="n">
        <f aca="false">SQRT(pos_x^2+pos_z^2)</f>
        <v>26.1700562248902</v>
      </c>
      <c r="M72" s="419" t="n">
        <f aca="false">IF(AND(L71&gt;L_rampe,G72&gt;0),ATAN2(G72,H72),$M$4)</f>
        <v>1.37820337038459</v>
      </c>
      <c r="N72" s="418" t="n">
        <f aca="false">DEGREES(Beta)</f>
        <v>78.9652364337426</v>
      </c>
      <c r="O72" s="402"/>
      <c r="P72" s="421" t="n">
        <f aca="false">MATCH(t-pas/2-T_ini,CdP_t)</f>
        <v>5</v>
      </c>
      <c r="Q72" s="418" t="n">
        <f aca="false">(INDEX(CdP,2,i_P+1)-INDEX(CdP,2,i_P+0))/(INDEX(CdP,1,i_P+1)-INDEX(CdP,1,i_P+0))*(t-pas/2-T_ini-INDEX(CdP,1,i_P+0))+INDEX(CdP,2,i_P+0)</f>
        <v>144</v>
      </c>
      <c r="R72" s="419" t="n">
        <f aca="false">Poussee/(g*ISP)</f>
        <v>0.0764279696714404</v>
      </c>
      <c r="S72" s="420" t="n">
        <f aca="false">S71-Débit*pas</f>
        <v>1.49434178601516</v>
      </c>
      <c r="T72" s="418" t="n">
        <f aca="false">m*g</f>
        <v>14.6594929208087</v>
      </c>
      <c r="U72" s="422" t="n">
        <f aca="false">IF(pos_xz&lt;L_rampe,Poids*COS(Beta),0)</f>
        <v>0</v>
      </c>
      <c r="V72" s="419" t="n">
        <f aca="false">Rho_moyen*(20000-Alt_rampe-pos_z)/(20000+Alt_rampe+pos_z)</f>
        <v>1.22185306628324</v>
      </c>
      <c r="W72" s="418" t="n">
        <f aca="false">1/2*Rho*Sref*Cx*vit_xz^2</f>
        <v>5.80831158028036</v>
      </c>
      <c r="X72" s="402"/>
      <c r="Y72" s="423" t="str">
        <f aca="false">IF(AND(pos_z&lt;=0,K71&gt;0),"Impact balistique","") &amp; IF(AND(H73&lt;0,vit_z&gt;=0),"Apogée","") &amp; IF(AND(Poussee=0,Q71&gt;0),"Fin de propulsion","") &amp; IF(AND(L73&gt;L_rampe,pos_xz&lt;=L_rampe),"Sortie de rampe","")</f>
        <v/>
      </c>
      <c r="Z72" s="424" t="str">
        <f aca="false">IF(ABS(t-T_para)&lt;pas/2,"Para","")</f>
        <v/>
      </c>
      <c r="AA72" s="425" t="str">
        <f aca="false">IF(ABS(t-T_satellite)&lt;pas/2,"Satellite","")</f>
        <v/>
      </c>
      <c r="AB72" s="413"/>
      <c r="AC72" s="421" t="e">
        <f aca="false">IF(ABS(t-ROUND(t,0))&lt;0.001,t,NA())</f>
        <v>#N/A</v>
      </c>
      <c r="AD72" s="426" t="e">
        <f aca="false">IF(ABS(t-ROUND(t,0))&lt;0.001,pos_x,NA())</f>
        <v>#N/A</v>
      </c>
      <c r="AE72" s="427" t="n">
        <f aca="false">IF(t&lt;T_para, pos_z, NA())</f>
        <v>25.7222941592072</v>
      </c>
      <c r="AF72" s="413"/>
      <c r="AG72" s="419" t="n">
        <f aca="false">IF(AND(L71&lt;L_rampe,Poussee&lt;Poids*SIN(M71)),0,(-W71+Poussee)/m-Poids*SIN(M71)/m)</f>
        <v>82.9345480277854</v>
      </c>
      <c r="AH72" s="418" t="n">
        <f aca="false">IF(AND(L71&lt;L_rampe,Poussee&lt;Poids*SIN(M71)), g*SIN(M71), (-W71+Poussee)/m)</f>
        <v>92.5636523721195</v>
      </c>
    </row>
    <row r="73" customFormat="false" ht="12" hidden="false" customHeight="false" outlineLevel="0" collapsed="false">
      <c r="A73" s="417" t="n">
        <f aca="false">IF(B72+0.01&lt;=T_ini+ROUNDUP(Temps_fin_propu,0), 0.01, IF(K72&gt;0, 0.1, 0.0001))</f>
        <v>0.01</v>
      </c>
      <c r="B73" s="418" t="n">
        <f aca="false">B72+pas</f>
        <v>0.69</v>
      </c>
      <c r="C73" s="402"/>
      <c r="D73" s="419" t="n">
        <f aca="false">IF(AND(L72&lt;L_rampe,Poussee&lt;Poids*SIN(M72)),0,(-W72+Poussee)/m*COS(M72)-U72/m*SIN(M72))</f>
        <v>17.0257062710934</v>
      </c>
      <c r="E73" s="420" t="n">
        <f aca="false">IF(AND(L72&lt;L_rampe,Poussee&lt;Poids*SIN(M72)),0,(-W72+Poussee)/m*SIN(M72)+U72/m*COS(M72)-Poids/m)</f>
        <v>77.496815889824</v>
      </c>
      <c r="F73" s="418" t="n">
        <f aca="false">SQRT(acc_x^2+acc_z^2)</f>
        <v>79.3450133725544</v>
      </c>
      <c r="G73" s="419" t="n">
        <f aca="false">G72+acc_x*pas</f>
        <v>14.2261470426573</v>
      </c>
      <c r="H73" s="420" t="n">
        <f aca="false">H72+acc_z*pas</f>
        <v>72.8527415626553</v>
      </c>
      <c r="I73" s="418" t="n">
        <f aca="false">SQRT(vit_x^2+vit_z^2)</f>
        <v>74.2287357623337</v>
      </c>
      <c r="J73" s="419" t="n">
        <f aca="false">J72+0.5*(vit_x+G72)*pas*(K72&gt;=0)</f>
        <v>4.96172407542431</v>
      </c>
      <c r="K73" s="420" t="n">
        <f aca="false">K72+0.5*(vit_z+H72)*pas</f>
        <v>26.4469467340393</v>
      </c>
      <c r="L73" s="418" t="n">
        <f aca="false">SQRT(pos_x^2+pos_z^2)</f>
        <v>26.9083573886211</v>
      </c>
      <c r="M73" s="419" t="n">
        <f aca="false">IF(AND(L72&gt;L_rampe,G73&gt;0),ATAN2(G73,H73),$M$4)</f>
        <v>1.37795041192449</v>
      </c>
      <c r="N73" s="418" t="n">
        <f aca="false">DEGREES(Beta)</f>
        <v>78.9507429815867</v>
      </c>
      <c r="O73" s="402"/>
      <c r="P73" s="421" t="n">
        <f aca="false">MATCH(t-pas/2-T_ini,CdP_t)</f>
        <v>6</v>
      </c>
      <c r="Q73" s="418" t="n">
        <f aca="false">(INDEX(CdP,2,i_P+1)-INDEX(CdP,2,i_P+0))/(INDEX(CdP,1,i_P+1)-INDEX(CdP,1,i_P+0))*(t-pas/2-T_ini-INDEX(CdP,1,i_P+0))+INDEX(CdP,2,i_P+0)</f>
        <v>138.666666666666</v>
      </c>
      <c r="R73" s="419" t="n">
        <f aca="false">Poussee/(g*ISP)</f>
        <v>0.0735973041280536</v>
      </c>
      <c r="S73" s="420" t="n">
        <f aca="false">S72-Débit*pas</f>
        <v>1.49360581297388</v>
      </c>
      <c r="T73" s="418" t="n">
        <f aca="false">m*g</f>
        <v>14.6522730252738</v>
      </c>
      <c r="U73" s="422" t="n">
        <f aca="false">IF(pos_xz&lt;L_rampe,Poids*COS(Beta),0)</f>
        <v>0</v>
      </c>
      <c r="V73" s="419" t="n">
        <f aca="false">Rho_moyen*(20000-Alt_rampe-pos_z)/(20000+Alt_rampe+pos_z)</f>
        <v>1.2217645274436</v>
      </c>
      <c r="W73" s="418" t="n">
        <f aca="false">1/2*Rho*Sref*Cx*vit_xz^2</f>
        <v>5.93403884595701</v>
      </c>
      <c r="X73" s="402"/>
      <c r="Y73" s="423" t="str">
        <f aca="false">IF(AND(pos_z&lt;=0,K72&gt;0),"Impact balistique","") &amp; IF(AND(H74&lt;0,vit_z&gt;=0),"Apogée","") &amp; IF(AND(Poussee=0,Q72&gt;0),"Fin de propulsion","") &amp; IF(AND(L74&gt;L_rampe,pos_xz&lt;=L_rampe),"Sortie de rampe","")</f>
        <v/>
      </c>
      <c r="Z73" s="424" t="str">
        <f aca="false">IF(ABS(t-T_para)&lt;pas/2,"Para","")</f>
        <v/>
      </c>
      <c r="AA73" s="425" t="str">
        <f aca="false">IF(ABS(t-T_satellite)&lt;pas/2,"Satellite","")</f>
        <v/>
      </c>
      <c r="AB73" s="413"/>
      <c r="AC73" s="421" t="e">
        <f aca="false">IF(ABS(t-ROUND(t,0))&lt;0.001,t,NA())</f>
        <v>#N/A</v>
      </c>
      <c r="AD73" s="426" t="e">
        <f aca="false">IF(ABS(t-ROUND(t,0))&lt;0.001,pos_x,NA())</f>
        <v>#N/A</v>
      </c>
      <c r="AE73" s="427" t="n">
        <f aca="false">IF(t&lt;T_para, pos_z, NA())</f>
        <v>26.4469467340393</v>
      </c>
      <c r="AF73" s="413"/>
      <c r="AG73" s="419" t="n">
        <f aca="false">IF(AND(L72&lt;L_rampe,Poussee&lt;Poids*SIN(M72)),0,(-W72+Poussee)/m-Poids*SIN(M72)/m)</f>
        <v>79.3227928780918</v>
      </c>
      <c r="AH73" s="418" t="n">
        <f aca="false">IF(AND(L72&lt;L_rampe,Poussee&lt;Poids*SIN(M72)), g*SIN(M72), (-W72+Poussee)/m)</f>
        <v>88.9514180597993</v>
      </c>
    </row>
    <row r="74" customFormat="false" ht="12" hidden="false" customHeight="false" outlineLevel="0" collapsed="false">
      <c r="A74" s="417" t="n">
        <f aca="false">IF(B73+0.01&lt;=T_ini+ROUNDUP(Temps_fin_propu,0), 0.01, IF(K73&gt;0, 0.1, 0.0001))</f>
        <v>0.01</v>
      </c>
      <c r="B74" s="418" t="n">
        <f aca="false">B73+pas</f>
        <v>0.7</v>
      </c>
      <c r="C74" s="402"/>
      <c r="D74" s="419" t="n">
        <f aca="false">IF(AND(L73&lt;L_rampe,Poussee&lt;Poids*SIN(M73)),0,(-W73+Poussee)/m*COS(M73)-U73/m*SIN(M73))</f>
        <v>16.1838122400184</v>
      </c>
      <c r="E74" s="420" t="n">
        <f aca="false">IF(AND(L73&lt;L_rampe,Poussee&lt;Poids*SIN(M73)),0,(-W73+Poussee)/m*SIN(M73)+U73/m*COS(M73)-Poids/m)</f>
        <v>73.0680334608697</v>
      </c>
      <c r="F74" s="418" t="n">
        <f aca="false">SQRT(acc_x^2+acc_z^2)</f>
        <v>74.8388488183707</v>
      </c>
      <c r="G74" s="419" t="n">
        <f aca="false">G73+acc_x*pas</f>
        <v>14.3879851650574</v>
      </c>
      <c r="H74" s="420" t="n">
        <f aca="false">H73+acc_z*pas</f>
        <v>73.583421897264</v>
      </c>
      <c r="I74" s="418" t="n">
        <f aca="false">SQRT(vit_x^2+vit_z^2)</f>
        <v>74.9768904077828</v>
      </c>
      <c r="J74" s="419" t="n">
        <f aca="false">J73+0.5*(vit_x+G73)*pas*(K73&gt;=0)</f>
        <v>5.10479473646288</v>
      </c>
      <c r="K74" s="420" t="n">
        <f aca="false">K73+0.5*(vit_z+H73)*pas</f>
        <v>27.1791275513389</v>
      </c>
      <c r="L74" s="418" t="n">
        <f aca="false">SQRT(pos_x^2+pos_z^2)</f>
        <v>27.6543650036187</v>
      </c>
      <c r="M74" s="419" t="n">
        <f aca="false">IF(AND(L73&gt;L_rampe,G74&gt;0),ATAN2(G74,H74),$M$4)</f>
        <v>1.37769965275845</v>
      </c>
      <c r="N74" s="418" t="n">
        <f aca="false">DEGREES(Beta)</f>
        <v>78.936375539698</v>
      </c>
      <c r="O74" s="402"/>
      <c r="P74" s="421" t="n">
        <f aca="false">MATCH(t-pas/2-T_ini,CdP_t)</f>
        <v>6</v>
      </c>
      <c r="Q74" s="418" t="n">
        <f aca="false">(INDEX(CdP,2,i_P+1)-INDEX(CdP,2,i_P+0))/(INDEX(CdP,1,i_P+1)-INDEX(CdP,1,i_P+0))*(t-pas/2-T_ini-INDEX(CdP,1,i_P+0))+INDEX(CdP,2,i_P+0)</f>
        <v>132</v>
      </c>
      <c r="R74" s="419" t="n">
        <f aca="false">Poussee/(g*ISP)</f>
        <v>0.0700589721988203</v>
      </c>
      <c r="S74" s="420" t="n">
        <f aca="false">S73-Débit*pas</f>
        <v>1.49290522325189</v>
      </c>
      <c r="T74" s="418" t="n">
        <f aca="false">m*g</f>
        <v>14.6454002401011</v>
      </c>
      <c r="U74" s="422" t="n">
        <f aca="false">IF(pos_xz&lt;L_rampe,Poids*COS(Beta),0)</f>
        <v>0</v>
      </c>
      <c r="V74" s="419" t="n">
        <f aca="false">Rho_moyen*(20000-Alt_rampe-pos_z)/(20000+Alt_rampe+pos_z)</f>
        <v>1.22167507530258</v>
      </c>
      <c r="W74" s="418" t="n">
        <f aca="false">1/2*Rho*Sref*Cx*vit_xz^2</f>
        <v>6.0538172714503</v>
      </c>
      <c r="X74" s="402"/>
      <c r="Y74" s="423" t="str">
        <f aca="false">IF(AND(pos_z&lt;=0,K73&gt;0),"Impact balistique","") &amp; IF(AND(H75&lt;0,vit_z&gt;=0),"Apogée","") &amp; IF(AND(Poussee=0,Q73&gt;0),"Fin de propulsion","") &amp; IF(AND(L75&gt;L_rampe,pos_xz&lt;=L_rampe),"Sortie de rampe","")</f>
        <v/>
      </c>
      <c r="Z74" s="424" t="str">
        <f aca="false">IF(ABS(t-T_para)&lt;pas/2,"Para","")</f>
        <v/>
      </c>
      <c r="AA74" s="425" t="str">
        <f aca="false">IF(ABS(t-T_satellite)&lt;pas/2,"Satellite","")</f>
        <v/>
      </c>
      <c r="AB74" s="413"/>
      <c r="AC74" s="421" t="e">
        <f aca="false">IF(ABS(t-ROUND(t,0))&lt;0.001,t,NA())</f>
        <v>#N/A</v>
      </c>
      <c r="AD74" s="426" t="e">
        <f aca="false">IF(ABS(t-ROUND(t,0))&lt;0.001,pos_x,NA())</f>
        <v>#N/A</v>
      </c>
      <c r="AE74" s="427" t="n">
        <f aca="false">IF(t&lt;T_para, pos_z, NA())</f>
        <v>27.1791275513389</v>
      </c>
      <c r="AF74" s="413"/>
      <c r="AG74" s="419" t="n">
        <f aca="false">IF(AND(L73&lt;L_rampe,Poussee&lt;Poids*SIN(M73)),0,(-W73+Poussee)/m-Poids*SIN(M73)/m)</f>
        <v>74.8152288169707</v>
      </c>
      <c r="AH74" s="418" t="n">
        <f aca="false">IF(AND(L73&lt;L_rampe,Poussee&lt;Poids*SIN(M73)), g*SIN(M73), (-W73+Poussee)/m)</f>
        <v>84.4433787159254</v>
      </c>
    </row>
    <row r="75" customFormat="false" ht="12" hidden="false" customHeight="false" outlineLevel="0" collapsed="false">
      <c r="A75" s="417" t="n">
        <f aca="false">IF(B74+0.01&lt;=T_ini+ROUNDUP(Temps_fin_propu,0), 0.01, IF(K74&gt;0, 0.1, 0.0001))</f>
        <v>0.01</v>
      </c>
      <c r="B75" s="418" t="n">
        <f aca="false">B74+pas</f>
        <v>0.71</v>
      </c>
      <c r="C75" s="402"/>
      <c r="D75" s="419" t="n">
        <f aca="false">IF(AND(L74&lt;L_rampe,Poussee&lt;Poids*SIN(M74)),0,(-W74+Poussee)/m*COS(M74)-U74/m*SIN(M74))</f>
        <v>15.3390952107976</v>
      </c>
      <c r="E75" s="420" t="n">
        <f aca="false">IF(AND(L74&lt;L_rampe,Poussee&lt;Poids*SIN(M74)),0,(-W74+Poussee)/m*SIN(M74)+U74/m*COS(M74)-Poids/m)</f>
        <v>68.637614552702</v>
      </c>
      <c r="F75" s="418" t="n">
        <f aca="false">SQRT(acc_x^2+acc_z^2)</f>
        <v>70.3307185614593</v>
      </c>
      <c r="G75" s="419" t="n">
        <f aca="false">G74+acc_x*pas</f>
        <v>14.5413761171654</v>
      </c>
      <c r="H75" s="420" t="n">
        <f aca="false">H74+acc_z*pas</f>
        <v>74.2697980427911</v>
      </c>
      <c r="I75" s="418" t="n">
        <f aca="false">SQRT(vit_x^2+vit_z^2)</f>
        <v>75.6799479432818</v>
      </c>
      <c r="J75" s="419" t="n">
        <f aca="false">J74+0.5*(vit_x+G74)*pas*(K74&gt;=0)</f>
        <v>5.249441542874</v>
      </c>
      <c r="K75" s="420" t="n">
        <f aca="false">K74+0.5*(vit_z+H74)*pas</f>
        <v>27.9183936510392</v>
      </c>
      <c r="L75" s="418" t="n">
        <f aca="false">SQRT(pos_x^2+pos_z^2)</f>
        <v>28.4076282108598</v>
      </c>
      <c r="M75" s="419" t="n">
        <f aca="false">IF(AND(L74&gt;L_rampe,G75&gt;0),ATAN2(G75,H75),$M$4)</f>
        <v>1.37745090410181</v>
      </c>
      <c r="N75" s="418" t="n">
        <f aca="false">DEGREES(Beta)</f>
        <v>78.9221232915129</v>
      </c>
      <c r="O75" s="402"/>
      <c r="P75" s="421" t="n">
        <f aca="false">MATCH(t-pas/2-T_ini,CdP_t)</f>
        <v>6</v>
      </c>
      <c r="Q75" s="418" t="n">
        <f aca="false">(INDEX(CdP,2,i_P+1)-INDEX(CdP,2,i_P+0))/(INDEX(CdP,1,i_P+1)-INDEX(CdP,1,i_P+0))*(t-pas/2-T_ini-INDEX(CdP,1,i_P+0))+INDEX(CdP,2,i_P+0)</f>
        <v>125.333333333333</v>
      </c>
      <c r="R75" s="419" t="n">
        <f aca="false">Poussee/(g*ISP)</f>
        <v>0.0665206402695869</v>
      </c>
      <c r="S75" s="420" t="n">
        <f aca="false">S74-Débit*pas</f>
        <v>1.4922400168492</v>
      </c>
      <c r="T75" s="418" t="n">
        <f aca="false">m*g</f>
        <v>14.6388745652906</v>
      </c>
      <c r="U75" s="422" t="n">
        <f aca="false">IF(pos_xz&lt;L_rampe,Poids*COS(Beta),0)</f>
        <v>0</v>
      </c>
      <c r="V75" s="419" t="n">
        <f aca="false">Rho_moyen*(20000-Alt_rampe-pos_z)/(20000+Alt_rampe+pos_z)</f>
        <v>1.22158476417266</v>
      </c>
      <c r="W75" s="418" t="n">
        <f aca="false">1/2*Rho*Sref*Cx*vit_xz^2</f>
        <v>6.16742678187865</v>
      </c>
      <c r="X75" s="402"/>
      <c r="Y75" s="423" t="str">
        <f aca="false">IF(AND(pos_z&lt;=0,K74&gt;0),"Impact balistique","") &amp; IF(AND(H76&lt;0,vit_z&gt;=0),"Apogée","") &amp; IF(AND(Poussee=0,Q74&gt;0),"Fin de propulsion","") &amp; IF(AND(L76&gt;L_rampe,pos_xz&lt;=L_rampe),"Sortie de rampe","")</f>
        <v/>
      </c>
      <c r="Z75" s="424" t="str">
        <f aca="false">IF(ABS(t-T_para)&lt;pas/2,"Para","")</f>
        <v/>
      </c>
      <c r="AA75" s="425" t="str">
        <f aca="false">IF(ABS(t-T_satellite)&lt;pas/2,"Satellite","")</f>
        <v/>
      </c>
      <c r="AB75" s="413"/>
      <c r="AC75" s="421" t="e">
        <f aca="false">IF(ABS(t-ROUND(t,0))&lt;0.001,t,NA())</f>
        <v>#N/A</v>
      </c>
      <c r="AD75" s="426" t="e">
        <f aca="false">IF(ABS(t-ROUND(t,0))&lt;0.001,pos_x,NA())</f>
        <v>#N/A</v>
      </c>
      <c r="AE75" s="427" t="n">
        <f aca="false">IF(t&lt;T_para, pos_z, NA())</f>
        <v>27.9183936510392</v>
      </c>
      <c r="AF75" s="413"/>
      <c r="AG75" s="419" t="n">
        <f aca="false">IF(AND(L74&lt;L_rampe,Poussee&lt;Poids*SIN(M74)),0,(-W74+Poussee)/m-Poids*SIN(M74)/m)</f>
        <v>70.3055194116779</v>
      </c>
      <c r="AH75" s="418" t="n">
        <f aca="false">IF(AND(L74&lt;L_rampe,Poussee&lt;Poids*SIN(M74)), g*SIN(M74), (-W74+Poussee)/m)</f>
        <v>79.933197552051</v>
      </c>
    </row>
    <row r="76" customFormat="false" ht="12" hidden="false" customHeight="false" outlineLevel="0" collapsed="false">
      <c r="A76" s="417" t="n">
        <f aca="false">IF(B75+0.01&lt;=T_ini+ROUNDUP(Temps_fin_propu,0), 0.01, IF(K75&gt;0, 0.1, 0.0001))</f>
        <v>0.01</v>
      </c>
      <c r="B76" s="418" t="n">
        <f aca="false">B75+pas</f>
        <v>0.72</v>
      </c>
      <c r="C76" s="402"/>
      <c r="D76" s="419" t="n">
        <f aca="false">IF(AND(L75&lt;L_rampe,Poussee&lt;Poids*SIN(M75)),0,(-W75+Poussee)/m*COS(M75)-U75/m*SIN(M75))</f>
        <v>14.4916864382222</v>
      </c>
      <c r="E76" s="420" t="n">
        <f aca="false">IF(AND(L75&lt;L_rampe,Poussee&lt;Poids*SIN(M75)),0,(-W75+Poussee)/m*SIN(M75)+U75/m*COS(M75)-Poids/m)</f>
        <v>64.2060089660087</v>
      </c>
      <c r="F76" s="418" t="n">
        <f aca="false">SQRT(acc_x^2+acc_z^2)</f>
        <v>65.8211255082055</v>
      </c>
      <c r="G76" s="419" t="n">
        <f aca="false">G75+acc_x*pas</f>
        <v>14.6862929815476</v>
      </c>
      <c r="H76" s="420" t="n">
        <f aca="false">H75+acc_z*pas</f>
        <v>74.9118581324511</v>
      </c>
      <c r="I76" s="418" t="n">
        <f aca="false">SQRT(vit_x^2+vit_z^2)</f>
        <v>76.3378915768332</v>
      </c>
      <c r="J76" s="419" t="n">
        <f aca="false">J75+0.5*(vit_x+G75)*pas*(K75&gt;=0)</f>
        <v>5.39557988836756</v>
      </c>
      <c r="K76" s="420" t="n">
        <f aca="false">K75+0.5*(vit_z+H75)*pas</f>
        <v>28.6643019319154</v>
      </c>
      <c r="L76" s="418" t="n">
        <f aca="false">SQRT(pos_x^2+pos_z^2)</f>
        <v>29.1676959593274</v>
      </c>
      <c r="M76" s="419" t="n">
        <f aca="false">IF(AND(L75&gt;L_rampe,G76&gt;0),ATAN2(G76,H76),$M$4)</f>
        <v>1.37720398565631</v>
      </c>
      <c r="N76" s="418" t="n">
        <f aca="false">DEGREES(Beta)</f>
        <v>78.9079759067023</v>
      </c>
      <c r="O76" s="402"/>
      <c r="P76" s="421" t="n">
        <f aca="false">MATCH(t-pas/2-T_ini,CdP_t)</f>
        <v>6</v>
      </c>
      <c r="Q76" s="418" t="n">
        <f aca="false">(INDEX(CdP,2,i_P+1)-INDEX(CdP,2,i_P+0))/(INDEX(CdP,1,i_P+1)-INDEX(CdP,1,i_P+0))*(t-pas/2-T_ini-INDEX(CdP,1,i_P+0))+INDEX(CdP,2,i_P+0)</f>
        <v>118.666666666666</v>
      </c>
      <c r="R76" s="419" t="n">
        <f aca="false">Poussee/(g*ISP)</f>
        <v>0.0629823083403536</v>
      </c>
      <c r="S76" s="420" t="n">
        <f aca="false">S75-Débit*pas</f>
        <v>1.49161019376579</v>
      </c>
      <c r="T76" s="418" t="n">
        <f aca="false">m*g</f>
        <v>14.6326960008424</v>
      </c>
      <c r="U76" s="422" t="n">
        <f aca="false">IF(pos_xz&lt;L_rampe,Poids*COS(Beta),0)</f>
        <v>0</v>
      </c>
      <c r="V76" s="419" t="n">
        <f aca="false">Rho_moyen*(20000-Alt_rampe-pos_z)/(20000+Alt_rampe+pos_z)</f>
        <v>1.22149364836943</v>
      </c>
      <c r="W76" s="418" t="n">
        <f aca="false">1/2*Rho*Sref*Cx*vit_xz^2</f>
        <v>6.27466118511107</v>
      </c>
      <c r="X76" s="402"/>
      <c r="Y76" s="423" t="str">
        <f aca="false">IF(AND(pos_z&lt;=0,K75&gt;0),"Impact balistique","") &amp; IF(AND(H77&lt;0,vit_z&gt;=0),"Apogée","") &amp; IF(AND(Poussee=0,Q75&gt;0),"Fin de propulsion","") &amp; IF(AND(L77&gt;L_rampe,pos_xz&lt;=L_rampe),"Sortie de rampe","")</f>
        <v/>
      </c>
      <c r="Z76" s="424" t="str">
        <f aca="false">IF(ABS(t-T_para)&lt;pas/2,"Para","")</f>
        <v/>
      </c>
      <c r="AA76" s="425" t="str">
        <f aca="false">IF(ABS(t-T_satellite)&lt;pas/2,"Satellite","")</f>
        <v/>
      </c>
      <c r="AB76" s="413"/>
      <c r="AC76" s="421" t="e">
        <f aca="false">IF(ABS(t-ROUND(t,0))&lt;0.001,t,NA())</f>
        <v>#N/A</v>
      </c>
      <c r="AD76" s="426" t="e">
        <f aca="false">IF(ABS(t-ROUND(t,0))&lt;0.001,pos_x,NA())</f>
        <v>#N/A</v>
      </c>
      <c r="AE76" s="427" t="n">
        <f aca="false">IF(t&lt;T_para, pos_z, NA())</f>
        <v>28.6643019319154</v>
      </c>
      <c r="AF76" s="413"/>
      <c r="AG76" s="419" t="n">
        <f aca="false">IF(AND(L75&lt;L_rampe,Poussee&lt;Poids*SIN(M75)),0,(-W75+Poussee)/m-Poids*SIN(M75)/m)</f>
        <v>65.7941306439724</v>
      </c>
      <c r="AH76" s="418" t="n">
        <f aca="false">IF(AND(L75&lt;L_rampe,Poussee&lt;Poids*SIN(M75)), g*SIN(M75), (-W75+Poussee)/m)</f>
        <v>75.4213402100495</v>
      </c>
    </row>
    <row r="77" customFormat="false" ht="12" hidden="false" customHeight="false" outlineLevel="0" collapsed="false">
      <c r="A77" s="417" t="n">
        <f aca="false">IF(B76+0.01&lt;=T_ini+ROUNDUP(Temps_fin_propu,0), 0.01, IF(K76&gt;0, 0.1, 0.0001))</f>
        <v>0.01</v>
      </c>
      <c r="B77" s="418" t="n">
        <f aca="false">B76+pas</f>
        <v>0.73</v>
      </c>
      <c r="C77" s="402"/>
      <c r="D77" s="419" t="n">
        <f aca="false">IF(AND(L76&lt;L_rampe,Poussee&lt;Poids*SIN(M76)),0,(-W76+Poussee)/m*COS(M76)-U76/m*SIN(M76))</f>
        <v>13.6417121223903</v>
      </c>
      <c r="E77" s="420" t="n">
        <f aca="false">IF(AND(L76&lt;L_rampe,Poussee&lt;Poids*SIN(M76)),0,(-W76+Poussee)/m*SIN(M76)+U76/m*COS(M76)-Poids/m)</f>
        <v>59.7736590268369</v>
      </c>
      <c r="F77" s="418" t="n">
        <f aca="false">SQRT(acc_x^2+acc_z^2)</f>
        <v>61.3105751325717</v>
      </c>
      <c r="G77" s="419" t="n">
        <f aca="false">G76+acc_x*pas</f>
        <v>14.8227101027715</v>
      </c>
      <c r="H77" s="420" t="n">
        <f aca="false">H76+acc_z*pas</f>
        <v>75.5095947227195</v>
      </c>
      <c r="I77" s="418" t="n">
        <f aca="false">SQRT(vit_x^2+vit_z^2)</f>
        <v>76.95070909342</v>
      </c>
      <c r="J77" s="419" t="n">
        <f aca="false">J76+0.5*(vit_x+G76)*pas*(K76&gt;=0)</f>
        <v>5.54312490378916</v>
      </c>
      <c r="K77" s="420" t="n">
        <f aca="false">K76+0.5*(vit_z+H76)*pas</f>
        <v>29.4164091961913</v>
      </c>
      <c r="L77" s="418" t="n">
        <f aca="false">SQRT(pos_x^2+pos_z^2)</f>
        <v>29.9341170522328</v>
      </c>
      <c r="M77" s="419" t="n">
        <f aca="false">IF(AND(L76&gt;L_rampe,G77&gt;0),ATAN2(G77,H77),$M$4)</f>
        <v>1.37695872470262</v>
      </c>
      <c r="N77" s="418" t="n">
        <f aca="false">DEGREES(Beta)</f>
        <v>78.8939234891765</v>
      </c>
      <c r="O77" s="402"/>
      <c r="P77" s="421" t="n">
        <f aca="false">MATCH(t-pas/2-T_ini,CdP_t)</f>
        <v>6</v>
      </c>
      <c r="Q77" s="418" t="n">
        <f aca="false">(INDEX(CdP,2,i_P+1)-INDEX(CdP,2,i_P+0))/(INDEX(CdP,1,i_P+1)-INDEX(CdP,1,i_P+0))*(t-pas/2-T_ini-INDEX(CdP,1,i_P+0))+INDEX(CdP,2,i_P+0)</f>
        <v>112</v>
      </c>
      <c r="R77" s="419" t="n">
        <f aca="false">Poussee/(g*ISP)</f>
        <v>0.0594439764111202</v>
      </c>
      <c r="S77" s="420" t="n">
        <f aca="false">S76-Débit*pas</f>
        <v>1.49101575400168</v>
      </c>
      <c r="T77" s="418" t="n">
        <f aca="false">m*g</f>
        <v>14.6268645467565</v>
      </c>
      <c r="U77" s="422" t="n">
        <f aca="false">IF(pos_xz&lt;L_rampe,Poids*COS(Beta),0)</f>
        <v>0</v>
      </c>
      <c r="V77" s="419" t="n">
        <f aca="false">Rho_moyen*(20000-Alt_rampe-pos_z)/(20000+Alt_rampe+pos_z)</f>
        <v>1.22140178220582</v>
      </c>
      <c r="W77" s="418" t="n">
        <f aca="false">1/2*Rho*Sref*Cx*vit_xz^2</f>
        <v>6.37532820315126</v>
      </c>
      <c r="X77" s="402"/>
      <c r="Y77" s="423" t="str">
        <f aca="false">IF(AND(pos_z&lt;=0,K76&gt;0),"Impact balistique","") &amp; IF(AND(H78&lt;0,vit_z&gt;=0),"Apogée","") &amp; IF(AND(Poussee=0,Q76&gt;0),"Fin de propulsion","") &amp; IF(AND(L78&gt;L_rampe,pos_xz&lt;=L_rampe),"Sortie de rampe","")</f>
        <v/>
      </c>
      <c r="Z77" s="424" t="str">
        <f aca="false">IF(ABS(t-T_para)&lt;pas/2,"Para","")</f>
        <v/>
      </c>
      <c r="AA77" s="425" t="str">
        <f aca="false">IF(ABS(t-T_satellite)&lt;pas/2,"Satellite","")</f>
        <v/>
      </c>
      <c r="AB77" s="413"/>
      <c r="AC77" s="421" t="e">
        <f aca="false">IF(ABS(t-ROUND(t,0))&lt;0.001,t,NA())</f>
        <v>#N/A</v>
      </c>
      <c r="AD77" s="426" t="e">
        <f aca="false">IF(ABS(t-ROUND(t,0))&lt;0.001,pos_x,NA())</f>
        <v>#N/A</v>
      </c>
      <c r="AE77" s="427" t="n">
        <f aca="false">IF(t&lt;T_para, pos_z, NA())</f>
        <v>29.4164091961913</v>
      </c>
      <c r="AF77" s="413"/>
      <c r="AG77" s="419" t="n">
        <f aca="false">IF(AND(L76&lt;L_rampe,Poussee&lt;Poids*SIN(M76)),0,(-W76+Poussee)/m-Poids*SIN(M76)/m)</f>
        <v>61.2815202181319</v>
      </c>
      <c r="AH77" s="418" t="n">
        <f aca="false">IF(AND(L76&lt;L_rampe,Poussee&lt;Poids*SIN(M76)), g*SIN(M76), (-W76+Poussee)/m)</f>
        <v>70.9082640683952</v>
      </c>
    </row>
    <row r="78" customFormat="false" ht="12" hidden="false" customHeight="false" outlineLevel="0" collapsed="false">
      <c r="A78" s="417" t="n">
        <f aca="false">IF(B77+0.01&lt;=T_ini+ROUNDUP(Temps_fin_propu,0), 0.01, IF(K77&gt;0, 0.1, 0.0001))</f>
        <v>0.01</v>
      </c>
      <c r="B78" s="418" t="n">
        <f aca="false">B77+pas</f>
        <v>0.74</v>
      </c>
      <c r="C78" s="402"/>
      <c r="D78" s="419" t="n">
        <f aca="false">IF(AND(L77&lt;L_rampe,Poussee&lt;Poids*SIN(M77)),0,(-W77+Poussee)/m*COS(M77)-U77/m*SIN(M77))</f>
        <v>12.7892936070361</v>
      </c>
      <c r="E78" s="420" t="n">
        <f aca="false">IF(AND(L77&lt;L_rampe,Poussee&lt;Poids*SIN(M77)),0,(-W77+Poussee)/m*SIN(M77)+U77/m*COS(M77)-Poids/m)</f>
        <v>55.3409994030441</v>
      </c>
      <c r="F78" s="418" t="n">
        <f aca="false">SQRT(acc_x^2+acc_z^2)</f>
        <v>56.7995796277992</v>
      </c>
      <c r="G78" s="419" t="n">
        <f aca="false">G77+acc_x*pas</f>
        <v>14.9506030388419</v>
      </c>
      <c r="H78" s="420" t="n">
        <f aca="false">H77+acc_z*pas</f>
        <v>76.06300471675</v>
      </c>
      <c r="I78" s="418" t="n">
        <f aca="false">SQRT(vit_x^2+vit_z^2)</f>
        <v>77.5183927707828</v>
      </c>
      <c r="J78" s="419" t="n">
        <f aca="false">J77+0.5*(vit_x+G77)*pas*(K77&gt;=0)</f>
        <v>5.69199146949723</v>
      </c>
      <c r="K78" s="420" t="n">
        <f aca="false">K77+0.5*(vit_z+H77)*pas</f>
        <v>30.1742721933886</v>
      </c>
      <c r="L78" s="418" t="n">
        <f aca="false">SQRT(pos_x^2+pos_z^2)</f>
        <v>30.7064401924016</v>
      </c>
      <c r="M78" s="419" t="n">
        <f aca="false">IF(AND(L77&gt;L_rampe,G78&gt;0),ATAN2(G78,H78),$M$4)</f>
        <v>1.37671495527323</v>
      </c>
      <c r="N78" s="418" t="n">
        <f aca="false">DEGREES(Beta)</f>
        <v>78.879956529698</v>
      </c>
      <c r="O78" s="402"/>
      <c r="P78" s="421" t="n">
        <f aca="false">MATCH(t-pas/2-T_ini,CdP_t)</f>
        <v>6</v>
      </c>
      <c r="Q78" s="418" t="n">
        <f aca="false">(INDEX(CdP,2,i_P+1)-INDEX(CdP,2,i_P+0))/(INDEX(CdP,1,i_P+1)-INDEX(CdP,1,i_P+0))*(t-pas/2-T_ini-INDEX(CdP,1,i_P+0))+INDEX(CdP,2,i_P+0)</f>
        <v>105.333333333333</v>
      </c>
      <c r="R78" s="419" t="n">
        <f aca="false">Poussee/(g*ISP)</f>
        <v>0.0559056444818868</v>
      </c>
      <c r="S78" s="420" t="n">
        <f aca="false">S77-Débit*pas</f>
        <v>1.49045669755686</v>
      </c>
      <c r="T78" s="418" t="n">
        <f aca="false">m*g</f>
        <v>14.6213802030328</v>
      </c>
      <c r="U78" s="422" t="n">
        <f aca="false">IF(pos_xz&lt;L_rampe,Poids*COS(Beta),0)</f>
        <v>0</v>
      </c>
      <c r="V78" s="419" t="n">
        <f aca="false">Rho_moyen*(20000-Alt_rampe-pos_z)/(20000+Alt_rampe+pos_z)</f>
        <v>1.22130921998635</v>
      </c>
      <c r="W78" s="418" t="n">
        <f aca="false">1/2*Rho*Sref*Cx*vit_xz^2</f>
        <v>6.46924949555287</v>
      </c>
      <c r="X78" s="402"/>
      <c r="Y78" s="423" t="str">
        <f aca="false">IF(AND(pos_z&lt;=0,K77&gt;0),"Impact balistique","") &amp; IF(AND(H79&lt;0,vit_z&gt;=0),"Apogée","") &amp; IF(AND(Poussee=0,Q77&gt;0),"Fin de propulsion","") &amp; IF(AND(L79&gt;L_rampe,pos_xz&lt;=L_rampe),"Sortie de rampe","")</f>
        <v/>
      </c>
      <c r="Z78" s="424" t="str">
        <f aca="false">IF(ABS(t-T_para)&lt;pas/2,"Para","")</f>
        <v/>
      </c>
      <c r="AA78" s="425" t="str">
        <f aca="false">IF(ABS(t-T_satellite)&lt;pas/2,"Satellite","")</f>
        <v/>
      </c>
      <c r="AB78" s="413"/>
      <c r="AC78" s="421" t="e">
        <f aca="false">IF(ABS(t-ROUND(t,0))&lt;0.001,t,NA())</f>
        <v>#N/A</v>
      </c>
      <c r="AD78" s="426" t="e">
        <f aca="false">IF(ABS(t-ROUND(t,0))&lt;0.001,pos_x,NA())</f>
        <v>#N/A</v>
      </c>
      <c r="AE78" s="427" t="n">
        <f aca="false">IF(t&lt;T_para, pos_z, NA())</f>
        <v>30.1742721933886</v>
      </c>
      <c r="AF78" s="413"/>
      <c r="AG78" s="419" t="n">
        <f aca="false">IF(AND(L77&lt;L_rampe,Poussee&lt;Poids*SIN(M77)),0,(-W77+Poussee)/m-Poids*SIN(M77)/m)</f>
        <v>56.7681374154352</v>
      </c>
      <c r="AH78" s="418" t="n">
        <f aca="false">IF(AND(L77&lt;L_rampe,Poussee&lt;Poids*SIN(M77)), g*SIN(M77), (-W77+Poussee)/m)</f>
        <v>66.394418095066</v>
      </c>
    </row>
    <row r="79" customFormat="false" ht="12" hidden="false" customHeight="false" outlineLevel="0" collapsed="false">
      <c r="A79" s="417" t="n">
        <f aca="false">IF(B78+0.01&lt;=T_ini+ROUNDUP(Temps_fin_propu,0), 0.01, IF(K78&gt;0, 0.1, 0.0001))</f>
        <v>0.01</v>
      </c>
      <c r="B79" s="418" t="n">
        <f aca="false">B78+pas</f>
        <v>0.75</v>
      </c>
      <c r="C79" s="402"/>
      <c r="D79" s="419" t="n">
        <f aca="false">IF(AND(L78&lt;L_rampe,Poussee&lt;Poids*SIN(M78)),0,(-W78+Poussee)/m*COS(M78)-U78/m*SIN(M78))</f>
        <v>11.9345475520436</v>
      </c>
      <c r="E79" s="420" t="n">
        <f aca="false">IF(AND(L78&lt;L_rampe,Poussee&lt;Poids*SIN(M78)),0,(-W78+Poussee)/m*SIN(M78)+U78/m*COS(M78)-Poids/m)</f>
        <v>50.9084569334727</v>
      </c>
      <c r="F79" s="418" t="n">
        <f aca="false">SQRT(acc_x^2+acc_z^2)</f>
        <v>52.2886642841375</v>
      </c>
      <c r="G79" s="419" t="n">
        <f aca="false">G78+acc_x*pas</f>
        <v>15.0699485143623</v>
      </c>
      <c r="H79" s="420" t="n">
        <f aca="false">H78+acc_z*pas</f>
        <v>76.5720892860847</v>
      </c>
      <c r="I79" s="418" t="n">
        <f aca="false">SQRT(vit_x^2+vit_z^2)</f>
        <v>78.0409392938197</v>
      </c>
      <c r="J79" s="419" t="n">
        <f aca="false">J78+0.5*(vit_x+G78)*pas*(K78&gt;=0)</f>
        <v>5.84209422726325</v>
      </c>
      <c r="K79" s="420" t="n">
        <f aca="false">K78+0.5*(vit_z+H78)*pas</f>
        <v>30.9374476634028</v>
      </c>
      <c r="L79" s="418" t="n">
        <f aca="false">SQRT(pos_x^2+pos_z^2)</f>
        <v>31.4842140268105</v>
      </c>
      <c r="M79" s="419" t="n">
        <f aca="false">IF(AND(L78&gt;L_rampe,G79&gt;0),ATAN2(G79,H79),$M$4)</f>
        <v>1.37647251739498</v>
      </c>
      <c r="N79" s="418" t="n">
        <f aca="false">DEGREES(Beta)</f>
        <v>78.86606586248</v>
      </c>
      <c r="O79" s="402"/>
      <c r="P79" s="421" t="n">
        <f aca="false">MATCH(t-pas/2-T_ini,CdP_t)</f>
        <v>6</v>
      </c>
      <c r="Q79" s="418" t="n">
        <f aca="false">(INDEX(CdP,2,i_P+1)-INDEX(CdP,2,i_P+0))/(INDEX(CdP,1,i_P+1)-INDEX(CdP,1,i_P+0))*(t-pas/2-T_ini-INDEX(CdP,1,i_P+0))+INDEX(CdP,2,i_P+0)</f>
        <v>98.6666666666664</v>
      </c>
      <c r="R79" s="419" t="n">
        <f aca="false">Poussee/(g*ISP)</f>
        <v>0.0523673125526535</v>
      </c>
      <c r="S79" s="420" t="n">
        <f aca="false">S78-Débit*pas</f>
        <v>1.48993302443134</v>
      </c>
      <c r="T79" s="418" t="n">
        <f aca="false">m*g</f>
        <v>14.6162429696714</v>
      </c>
      <c r="U79" s="422" t="n">
        <f aca="false">IF(pos_xz&lt;L_rampe,Poids*COS(Beta),0)</f>
        <v>0</v>
      </c>
      <c r="V79" s="419" t="n">
        <f aca="false">Rho_moyen*(20000-Alt_rampe-pos_z)/(20000+Alt_rampe+pos_z)</f>
        <v>1.22121601600158</v>
      </c>
      <c r="W79" s="418" t="n">
        <f aca="false">1/2*Rho*Sref*Cx*vit_xz^2</f>
        <v>6.55626067505827</v>
      </c>
      <c r="X79" s="402"/>
      <c r="Y79" s="423" t="str">
        <f aca="false">IF(AND(pos_z&lt;=0,K78&gt;0),"Impact balistique","") &amp; IF(AND(H80&lt;0,vit_z&gt;=0),"Apogée","") &amp; IF(AND(Poussee=0,Q78&gt;0),"Fin de propulsion","") &amp; IF(AND(L80&gt;L_rampe,pos_xz&lt;=L_rampe),"Sortie de rampe","")</f>
        <v/>
      </c>
      <c r="Z79" s="424" t="str">
        <f aca="false">IF(ABS(t-T_para)&lt;pas/2,"Para","")</f>
        <v/>
      </c>
      <c r="AA79" s="425" t="str">
        <f aca="false">IF(ABS(t-T_satellite)&lt;pas/2,"Satellite","")</f>
        <v/>
      </c>
      <c r="AB79" s="413"/>
      <c r="AC79" s="421" t="e">
        <f aca="false">IF(ABS(t-ROUND(t,0))&lt;0.001,t,NA())</f>
        <v>#N/A</v>
      </c>
      <c r="AD79" s="426" t="e">
        <f aca="false">IF(ABS(t-ROUND(t,0))&lt;0.001,pos_x,NA())</f>
        <v>#N/A</v>
      </c>
      <c r="AE79" s="427" t="n">
        <f aca="false">IF(t&lt;T_para, pos_z, NA())</f>
        <v>30.9374476634028</v>
      </c>
      <c r="AF79" s="413"/>
      <c r="AG79" s="419" t="n">
        <f aca="false">IF(AND(L78&lt;L_rampe,Poussee&lt;Poids*SIN(M78)),0,(-W78+Poussee)/m-Poids*SIN(M78)/m)</f>
        <v>52.2544229564923</v>
      </c>
      <c r="AH79" s="418" t="n">
        <f aca="false">IF(AND(L78&lt;L_rampe,Poussee&lt;Poids*SIN(M78)), g*SIN(M78), (-W78+Poussee)/m)</f>
        <v>61.8802427084281</v>
      </c>
    </row>
    <row r="80" customFormat="false" ht="12" hidden="false" customHeight="false" outlineLevel="0" collapsed="false">
      <c r="A80" s="417" t="n">
        <f aca="false">IF(B79+0.01&lt;=T_ini+ROUNDUP(Temps_fin_propu,0), 0.01, IF(K79&gt;0, 0.1, 0.0001))</f>
        <v>0.01</v>
      </c>
      <c r="B80" s="418" t="n">
        <f aca="false">B79+pas</f>
        <v>0.760000000000001</v>
      </c>
      <c r="C80" s="402"/>
      <c r="D80" s="419" t="n">
        <f aca="false">IF(AND(L79&lt;L_rampe,Poussee&lt;Poids*SIN(M79)),0,(-W79+Poussee)/m*COS(M79)-U79/m*SIN(M79))</f>
        <v>11.0775860830885</v>
      </c>
      <c r="E80" s="420" t="n">
        <f aca="false">IF(AND(L79&lt;L_rampe,Poussee&lt;Poids*SIN(M79)),0,(-W79+Poussee)/m*SIN(M79)+U79/m*COS(M79)-Poids/m)</f>
        <v>46.4764504692989</v>
      </c>
      <c r="F80" s="418" t="n">
        <f aca="false">SQRT(acc_x^2+acc_z^2)</f>
        <v>47.7783775535904</v>
      </c>
      <c r="G80" s="419" t="n">
        <f aca="false">G79+acc_x*pas</f>
        <v>15.1807243751932</v>
      </c>
      <c r="H80" s="420" t="n">
        <f aca="false">H79+acc_z*pas</f>
        <v>77.0368537907777</v>
      </c>
      <c r="I80" s="418" t="n">
        <f aca="false">SQRT(vit_x^2+vit_z^2)</f>
        <v>78.5183496676875</v>
      </c>
      <c r="J80" s="419" t="n">
        <f aca="false">J79+0.5*(vit_x+G79)*pas*(K79&gt;=0)</f>
        <v>5.99334759171102</v>
      </c>
      <c r="K80" s="420" t="n">
        <f aca="false">K79+0.5*(vit_z+H79)*pas</f>
        <v>31.7054923787871</v>
      </c>
      <c r="L80" s="418" t="n">
        <f aca="false">SQRT(pos_x^2+pos_z^2)</f>
        <v>32.2669871902599</v>
      </c>
      <c r="M80" s="419" t="n">
        <f aca="false">IF(AND(L79&gt;L_rampe,G80&gt;0),ATAN2(G80,H80),$M$4)</f>
        <v>1.37623125639173</v>
      </c>
      <c r="N80" s="418" t="n">
        <f aca="false">DEGREES(Beta)</f>
        <v>78.8522426252326</v>
      </c>
      <c r="O80" s="402"/>
      <c r="P80" s="421" t="n">
        <f aca="false">MATCH(t-pas/2-T_ini,CdP_t)</f>
        <v>6</v>
      </c>
      <c r="Q80" s="418" t="n">
        <f aca="false">(INDEX(CdP,2,i_P+1)-INDEX(CdP,2,i_P+0))/(INDEX(CdP,1,i_P+1)-INDEX(CdP,1,i_P+0))*(t-pas/2-T_ini-INDEX(CdP,1,i_P+0))+INDEX(CdP,2,i_P+0)</f>
        <v>91.9999999999997</v>
      </c>
      <c r="R80" s="419" t="n">
        <f aca="false">Poussee/(g*ISP)</f>
        <v>0.0488289806234201</v>
      </c>
      <c r="S80" s="420" t="n">
        <f aca="false">S79-Débit*pas</f>
        <v>1.4894447346251</v>
      </c>
      <c r="T80" s="418" t="n">
        <f aca="false">m*g</f>
        <v>14.6114528466723</v>
      </c>
      <c r="U80" s="422" t="n">
        <f aca="false">IF(pos_xz&lt;L_rampe,Poids*COS(Beta),0)</f>
        <v>0</v>
      </c>
      <c r="V80" s="419" t="n">
        <f aca="false">Rho_moyen*(20000-Alt_rampe-pos_z)/(20000+Alt_rampe+pos_z)</f>
        <v>1.22112222452264</v>
      </c>
      <c r="W80" s="418" t="n">
        <f aca="false">1/2*Rho*Sref*Cx*vit_xz^2</f>
        <v>6.63621131565928</v>
      </c>
      <c r="X80" s="402"/>
      <c r="Y80" s="423" t="str">
        <f aca="false">IF(AND(pos_z&lt;=0,K79&gt;0),"Impact balistique","") &amp; IF(AND(H81&lt;0,vit_z&gt;=0),"Apogée","") &amp; IF(AND(Poussee=0,Q79&gt;0),"Fin de propulsion","") &amp; IF(AND(L81&gt;L_rampe,pos_xz&lt;=L_rampe),"Sortie de rampe","")</f>
        <v/>
      </c>
      <c r="Z80" s="424" t="str">
        <f aca="false">IF(ABS(t-T_para)&lt;pas/2,"Para","")</f>
        <v/>
      </c>
      <c r="AA80" s="425" t="str">
        <f aca="false">IF(ABS(t-T_satellite)&lt;pas/2,"Satellite","")</f>
        <v/>
      </c>
      <c r="AB80" s="413"/>
      <c r="AC80" s="421" t="e">
        <f aca="false">IF(ABS(t-ROUND(t,0))&lt;0.001,t,NA())</f>
        <v>#N/A</v>
      </c>
      <c r="AD80" s="426" t="e">
        <f aca="false">IF(ABS(t-ROUND(t,0))&lt;0.001,pos_x,NA())</f>
        <v>#N/A</v>
      </c>
      <c r="AE80" s="427" t="n">
        <f aca="false">IF(t&lt;T_para, pos_z, NA())</f>
        <v>31.7054923787871</v>
      </c>
      <c r="AF80" s="413"/>
      <c r="AG80" s="419" t="n">
        <f aca="false">IF(AND(L79&lt;L_rampe,Poussee&lt;Poids*SIN(M79)),0,(-W79+Poussee)/m-Poids*SIN(M79)/m)</f>
        <v>47.7408088714029</v>
      </c>
      <c r="AH80" s="418" t="n">
        <f aca="false">IF(AND(L79&lt;L_rampe,Poussee&lt;Poids*SIN(M79)), g*SIN(M79), (-W79+Poussee)/m)</f>
        <v>57.3661696460647</v>
      </c>
    </row>
    <row r="81" customFormat="false" ht="12" hidden="false" customHeight="false" outlineLevel="0" collapsed="false">
      <c r="A81" s="417" t="n">
        <f aca="false">IF(B80+0.01&lt;=T_ini+ROUNDUP(Temps_fin_propu,0), 0.01, IF(K80&gt;0, 0.1, 0.0001))</f>
        <v>0.01</v>
      </c>
      <c r="B81" s="418" t="n">
        <f aca="false">B80+pas</f>
        <v>0.770000000000001</v>
      </c>
      <c r="C81" s="402"/>
      <c r="D81" s="419" t="n">
        <f aca="false">IF(AND(L80&lt;L_rampe,Poussee&lt;Poids*SIN(M80)),0,(-W80+Poussee)/m*COS(M80)-U80/m*SIN(M80))</f>
        <v>10.2185169209224</v>
      </c>
      <c r="E81" s="420" t="n">
        <f aca="false">IF(AND(L80&lt;L_rampe,Poussee&lt;Poids*SIN(M80)),0,(-W80+Poussee)/m*SIN(M80)+U80/m*COS(M80)-Poids/m)</f>
        <v>42.0453907270757</v>
      </c>
      <c r="F81" s="418" t="n">
        <f aca="false">SQRT(acc_x^2+acc_z^2)</f>
        <v>43.2693074760348</v>
      </c>
      <c r="G81" s="419" t="n">
        <f aca="false">G80+acc_x*pas</f>
        <v>15.2829095444024</v>
      </c>
      <c r="H81" s="420" t="n">
        <f aca="false">H80+acc_z*pas</f>
        <v>77.4573076980484</v>
      </c>
      <c r="I81" s="418" t="n">
        <f aca="false">SQRT(vit_x^2+vit_z^2)</f>
        <v>78.9506291296817</v>
      </c>
      <c r="J81" s="419" t="n">
        <f aca="false">J80+0.5*(vit_x+G80)*pas*(K80&gt;=0)</f>
        <v>6.145665761309</v>
      </c>
      <c r="K81" s="420" t="n">
        <f aca="false">K80+0.5*(vit_z+H80)*pas</f>
        <v>32.4779631862312</v>
      </c>
      <c r="L81" s="418" t="n">
        <f aca="false">SQRT(pos_x^2+pos_z^2)</f>
        <v>33.0543083481702</v>
      </c>
      <c r="M81" s="419" t="n">
        <f aca="false">IF(AND(L80&gt;L_rampe,G81&gt;0),ATAN2(G81,H81),$M$4)</f>
        <v>1.3759910222389</v>
      </c>
      <c r="N81" s="418" t="n">
        <f aca="false">DEGREES(Beta)</f>
        <v>78.838478222181</v>
      </c>
      <c r="O81" s="402"/>
      <c r="P81" s="421" t="n">
        <f aca="false">MATCH(t-pas/2-T_ini,CdP_t)</f>
        <v>6</v>
      </c>
      <c r="Q81" s="418" t="n">
        <f aca="false">(INDEX(CdP,2,i_P+1)-INDEX(CdP,2,i_P+0))/(INDEX(CdP,1,i_P+1)-INDEX(CdP,1,i_P+0))*(t-pas/2-T_ini-INDEX(CdP,1,i_P+0))+INDEX(CdP,2,i_P+0)</f>
        <v>85.3333333333331</v>
      </c>
      <c r="R81" s="419" t="n">
        <f aca="false">Poussee/(g*ISP)</f>
        <v>0.0452906486941868</v>
      </c>
      <c r="S81" s="420" t="n">
        <f aca="false">S80-Débit*pas</f>
        <v>1.48899182813816</v>
      </c>
      <c r="T81" s="418" t="n">
        <f aca="false">m*g</f>
        <v>14.6070098340354</v>
      </c>
      <c r="U81" s="422" t="n">
        <f aca="false">IF(pos_xz&lt;L_rampe,Poids*COS(Beta),0)</f>
        <v>0</v>
      </c>
      <c r="V81" s="419" t="n">
        <f aca="false">Rho_moyen*(20000-Alt_rampe-pos_z)/(20000+Alt_rampe+pos_z)</f>
        <v>1.2210278997959</v>
      </c>
      <c r="W81" s="418" t="n">
        <f aca="false">1/2*Rho*Sref*Cx*vit_xz^2</f>
        <v>6.70896495328432</v>
      </c>
      <c r="X81" s="402"/>
      <c r="Y81" s="423" t="str">
        <f aca="false">IF(AND(pos_z&lt;=0,K80&gt;0),"Impact balistique","") &amp; IF(AND(H82&lt;0,vit_z&gt;=0),"Apogée","") &amp; IF(AND(Poussee=0,Q80&gt;0),"Fin de propulsion","") &amp; IF(AND(L82&gt;L_rampe,pos_xz&lt;=L_rampe),"Sortie de rampe","")</f>
        <v/>
      </c>
      <c r="Z81" s="424" t="str">
        <f aca="false">IF(ABS(t-T_para)&lt;pas/2,"Para","")</f>
        <v/>
      </c>
      <c r="AA81" s="425" t="str">
        <f aca="false">IF(ABS(t-T_satellite)&lt;pas/2,"Satellite","")</f>
        <v/>
      </c>
      <c r="AB81" s="413"/>
      <c r="AC81" s="421" t="e">
        <f aca="false">IF(ABS(t-ROUND(t,0))&lt;0.001,t,NA())</f>
        <v>#N/A</v>
      </c>
      <c r="AD81" s="426" t="e">
        <f aca="false">IF(ABS(t-ROUND(t,0))&lt;0.001,pos_x,NA())</f>
        <v>#N/A</v>
      </c>
      <c r="AE81" s="427" t="n">
        <f aca="false">IF(t&lt;T_para, pos_z, NA())</f>
        <v>32.4779631862312</v>
      </c>
      <c r="AF81" s="413"/>
      <c r="AG81" s="419" t="n">
        <f aca="false">IF(AND(L80&lt;L_rampe,Poussee&lt;Poids*SIN(M80)),0,(-W80+Poussee)/m-Poids*SIN(M80)/m)</f>
        <v>43.2277183777134</v>
      </c>
      <c r="AH81" s="418" t="n">
        <f aca="false">IF(AND(L80&lt;L_rampe,Poussee&lt;Poids*SIN(M80)), g*SIN(M80), (-W80+Poussee)/m)</f>
        <v>52.8526218415025</v>
      </c>
    </row>
    <row r="82" customFormat="false" ht="12" hidden="false" customHeight="false" outlineLevel="0" collapsed="false">
      <c r="A82" s="417" t="n">
        <f aca="false">IF(B81+0.01&lt;=T_ini+ROUNDUP(Temps_fin_propu,0), 0.01, IF(K81&gt;0, 0.1, 0.0001))</f>
        <v>0.01</v>
      </c>
      <c r="B82" s="418" t="n">
        <f aca="false">B81+pas</f>
        <v>0.780000000000001</v>
      </c>
      <c r="C82" s="402"/>
      <c r="D82" s="419" t="n">
        <f aca="false">IF(AND(L81&lt;L_rampe,Poussee&lt;Poids*SIN(M81)),0,(-W81+Poussee)/m*COS(M81)-U81/m*SIN(M81))</f>
        <v>9.35744349243628</v>
      </c>
      <c r="E82" s="420" t="n">
        <f aca="false">IF(AND(L81&lt;L_rampe,Poussee&lt;Poids*SIN(M81)),0,(-W81+Poussee)/m*SIN(M81)+U81/m*COS(M81)-Poids/m)</f>
        <v>37.6156801530443</v>
      </c>
      <c r="F82" s="418" t="n">
        <f aca="false">SQRT(acc_x^2+acc_z^2)</f>
        <v>38.7621096186762</v>
      </c>
      <c r="G82" s="419" t="n">
        <f aca="false">G81+acc_x*pas</f>
        <v>15.3764839793268</v>
      </c>
      <c r="H82" s="420" t="n">
        <f aca="false">H81+acc_z*pas</f>
        <v>77.8334644995789</v>
      </c>
      <c r="I82" s="418" t="n">
        <f aca="false">SQRT(vit_x^2+vit_z^2)</f>
        <v>79.3377870599735</v>
      </c>
      <c r="J82" s="419" t="n">
        <f aca="false">J81+0.5*(vit_x+G81)*pas*(K81&gt;=0)</f>
        <v>6.29896272892765</v>
      </c>
      <c r="K82" s="420" t="n">
        <f aca="false">K81+0.5*(vit_z+H81)*pas</f>
        <v>33.2544170472194</v>
      </c>
      <c r="L82" s="418" t="n">
        <f aca="false">SQRT(pos_x^2+pos_z^2)</f>
        <v>33.84572623849</v>
      </c>
      <c r="M82" s="419" t="n">
        <f aca="false">IF(AND(L81&gt;L_rampe,G82&gt;0),ATAN2(G82,H82),$M$4)</f>
        <v>1.37575166896269</v>
      </c>
      <c r="N82" s="418" t="n">
        <f aca="false">DEGREES(Beta)</f>
        <v>78.8247642896414</v>
      </c>
      <c r="O82" s="402"/>
      <c r="P82" s="421" t="n">
        <f aca="false">MATCH(t-pas/2-T_ini,CdP_t)</f>
        <v>6</v>
      </c>
      <c r="Q82" s="418" t="n">
        <f aca="false">(INDEX(CdP,2,i_P+1)-INDEX(CdP,2,i_P+0))/(INDEX(CdP,1,i_P+1)-INDEX(CdP,1,i_P+0))*(t-pas/2-T_ini-INDEX(CdP,1,i_P+0))+INDEX(CdP,2,i_P+0)</f>
        <v>78.6666666666664</v>
      </c>
      <c r="R82" s="419" t="n">
        <f aca="false">Poussee/(g*ISP)</f>
        <v>0.0417523167649534</v>
      </c>
      <c r="S82" s="420" t="n">
        <f aca="false">S81-Débit*pas</f>
        <v>1.48857430497051</v>
      </c>
      <c r="T82" s="418" t="n">
        <f aca="false">m*g</f>
        <v>14.6029139317607</v>
      </c>
      <c r="U82" s="422" t="n">
        <f aca="false">IF(pos_xz&lt;L_rampe,Poids*COS(Beta),0)</f>
        <v>0</v>
      </c>
      <c r="V82" s="419" t="n">
        <f aca="false">Rho_moyen*(20000-Alt_rampe-pos_z)/(20000+Alt_rampe+pos_z)</f>
        <v>1.22093309603774</v>
      </c>
      <c r="W82" s="418" t="n">
        <f aca="false">1/2*Rho*Sref*Cx*vit_xz^2</f>
        <v>6.77439907932186</v>
      </c>
      <c r="X82" s="402"/>
      <c r="Y82" s="423" t="str">
        <f aca="false">IF(AND(pos_z&lt;=0,K81&gt;0),"Impact balistique","") &amp; IF(AND(H83&lt;0,vit_z&gt;=0),"Apogée","") &amp; IF(AND(Poussee=0,Q81&gt;0),"Fin de propulsion","") &amp; IF(AND(L83&gt;L_rampe,pos_xz&lt;=L_rampe),"Sortie de rampe","")</f>
        <v/>
      </c>
      <c r="Z82" s="424" t="str">
        <f aca="false">IF(ABS(t-T_para)&lt;pas/2,"Para","")</f>
        <v/>
      </c>
      <c r="AA82" s="425" t="str">
        <f aca="false">IF(ABS(t-T_satellite)&lt;pas/2,"Satellite","")</f>
        <v/>
      </c>
      <c r="AB82" s="413"/>
      <c r="AC82" s="421" t="e">
        <f aca="false">IF(ABS(t-ROUND(t,0))&lt;0.001,t,NA())</f>
        <v>#N/A</v>
      </c>
      <c r="AD82" s="426" t="e">
        <f aca="false">IF(ABS(t-ROUND(t,0))&lt;0.001,pos_x,NA())</f>
        <v>#N/A</v>
      </c>
      <c r="AE82" s="427" t="n">
        <f aca="false">IF(t&lt;T_para, pos_z, NA())</f>
        <v>33.2544170472194</v>
      </c>
      <c r="AF82" s="413"/>
      <c r="AG82" s="419" t="n">
        <f aca="false">IF(AND(L81&lt;L_rampe,Poussee&lt;Poids*SIN(M81)),0,(-W81+Poussee)/m-Poids*SIN(M81)/m)</f>
        <v>38.7155657661295</v>
      </c>
      <c r="AH82" s="418" t="n">
        <f aca="false">IF(AND(L81&lt;L_rampe,Poussee&lt;Poids*SIN(M81)), g*SIN(M81), (-W81+Poussee)/m)</f>
        <v>48.3400133087797</v>
      </c>
    </row>
    <row r="83" customFormat="false" ht="12" hidden="false" customHeight="false" outlineLevel="0" collapsed="false">
      <c r="A83" s="417" t="n">
        <f aca="false">IF(B82+0.01&lt;=T_ini+ROUNDUP(Temps_fin_propu,0), 0.01, IF(K82&gt;0, 0.1, 0.0001))</f>
        <v>0.01</v>
      </c>
      <c r="B83" s="418" t="n">
        <f aca="false">B82+pas</f>
        <v>0.790000000000001</v>
      </c>
      <c r="C83" s="402"/>
      <c r="D83" s="419" t="n">
        <f aca="false">IF(AND(L82&lt;L_rampe,Poussee&lt;Poids*SIN(M82)),0,(-W82+Poussee)/m*COS(M82)-U82/m*SIN(M82))</f>
        <v>8.49446502532169</v>
      </c>
      <c r="E83" s="420" t="n">
        <f aca="false">IF(AND(L82&lt;L_rampe,Poussee&lt;Poids*SIN(M82)),0,(-W82+Poussee)/m*SIN(M82)+U82/m*COS(M82)-Poids/m)</f>
        <v>33.1877127983348</v>
      </c>
      <c r="F83" s="418" t="n">
        <f aca="false">SQRT(acc_x^2+acc_z^2)</f>
        <v>34.2575570765221</v>
      </c>
      <c r="G83" s="419" t="n">
        <f aca="false">G82+acc_x*pas</f>
        <v>15.46142862958</v>
      </c>
      <c r="H83" s="420" t="n">
        <f aca="false">H82+acc_z*pas</f>
        <v>78.1653416275622</v>
      </c>
      <c r="I83" s="418" t="n">
        <f aca="false">SQRT(vit_x^2+vit_z^2)</f>
        <v>79.6798368912808</v>
      </c>
      <c r="J83" s="419" t="n">
        <f aca="false">J82+0.5*(vit_x+G82)*pas*(K82&gt;=0)</f>
        <v>6.45315229197218</v>
      </c>
      <c r="K83" s="420" t="n">
        <f aca="false">K82+0.5*(vit_z+H82)*pas</f>
        <v>34.0344110778551</v>
      </c>
      <c r="L83" s="418" t="n">
        <f aca="false">SQRT(pos_x^2+pos_z^2)</f>
        <v>34.6407897127044</v>
      </c>
      <c r="M83" s="419" t="n">
        <f aca="false">IF(AND(L82&gt;L_rampe,G83&gt;0),ATAN2(G83,H83),$M$4)</f>
        <v>1.37551305407733</v>
      </c>
      <c r="N83" s="418" t="n">
        <f aca="false">DEGREES(Beta)</f>
        <v>78.811092663781</v>
      </c>
      <c r="O83" s="402"/>
      <c r="P83" s="421" t="n">
        <f aca="false">MATCH(t-pas/2-T_ini,CdP_t)</f>
        <v>6</v>
      </c>
      <c r="Q83" s="418" t="n">
        <f aca="false">(INDEX(CdP,2,i_P+1)-INDEX(CdP,2,i_P+0))/(INDEX(CdP,1,i_P+1)-INDEX(CdP,1,i_P+0))*(t-pas/2-T_ini-INDEX(CdP,1,i_P+0))+INDEX(CdP,2,i_P+0)</f>
        <v>71.9999999999997</v>
      </c>
      <c r="R83" s="419" t="n">
        <f aca="false">Poussee/(g*ISP)</f>
        <v>0.0382139848357201</v>
      </c>
      <c r="S83" s="420" t="n">
        <f aca="false">S82-Débit*pas</f>
        <v>1.48819216512215</v>
      </c>
      <c r="T83" s="418" t="n">
        <f aca="false">m*g</f>
        <v>14.5991651398483</v>
      </c>
      <c r="U83" s="422" t="n">
        <f aca="false">IF(pos_xz&lt;L_rampe,Poids*COS(Beta),0)</f>
        <v>0</v>
      </c>
      <c r="V83" s="419" t="n">
        <f aca="false">Rho_moyen*(20000-Alt_rampe-pos_z)/(20000+Alt_rampe+pos_z)</f>
        <v>1.22083786742951</v>
      </c>
      <c r="W83" s="418" t="n">
        <f aca="false">1/2*Rho*Sref*Cx*vit_xz^2</f>
        <v>6.83240512719477</v>
      </c>
      <c r="X83" s="402"/>
      <c r="Y83" s="423" t="str">
        <f aca="false">IF(AND(pos_z&lt;=0,K82&gt;0),"Impact balistique","") &amp; IF(AND(H84&lt;0,vit_z&gt;=0),"Apogée","") &amp; IF(AND(Poussee=0,Q82&gt;0),"Fin de propulsion","") &amp; IF(AND(L84&gt;L_rampe,pos_xz&lt;=L_rampe),"Sortie de rampe","")</f>
        <v/>
      </c>
      <c r="Z83" s="424" t="str">
        <f aca="false">IF(ABS(t-T_para)&lt;pas/2,"Para","")</f>
        <v/>
      </c>
      <c r="AA83" s="425" t="str">
        <f aca="false">IF(ABS(t-T_satellite)&lt;pas/2,"Satellite","")</f>
        <v/>
      </c>
      <c r="AB83" s="413"/>
      <c r="AC83" s="421" t="e">
        <f aca="false">IF(ABS(t-ROUND(t,0))&lt;0.001,t,NA())</f>
        <v>#N/A</v>
      </c>
      <c r="AD83" s="426" t="e">
        <f aca="false">IF(ABS(t-ROUND(t,0))&lt;0.001,pos_x,NA())</f>
        <v>#N/A</v>
      </c>
      <c r="AE83" s="427" t="n">
        <f aca="false">IF(t&lt;T_para, pos_z, NA())</f>
        <v>34.0344110778551</v>
      </c>
      <c r="AF83" s="413"/>
      <c r="AG83" s="419" t="n">
        <f aca="false">IF(AND(L82&lt;L_rampe,Poussee&lt;Poids*SIN(M82)),0,(-W82+Poussee)/m-Poids*SIN(M82)/m)</f>
        <v>34.2047562939315</v>
      </c>
      <c r="AH83" s="418" t="n">
        <f aca="false">IF(AND(L82&lt;L_rampe,Poussee&lt;Poids*SIN(M82)), g*SIN(M82), (-W82+Poussee)/m)</f>
        <v>43.8287490347888</v>
      </c>
    </row>
    <row r="84" customFormat="false" ht="12" hidden="false" customHeight="false" outlineLevel="0" collapsed="false">
      <c r="A84" s="417" t="n">
        <f aca="false">IF(B83+0.01&lt;=T_ini+ROUNDUP(Temps_fin_propu,0), 0.01, IF(K83&gt;0, 0.1, 0.0001))</f>
        <v>0.01</v>
      </c>
      <c r="B84" s="418" t="n">
        <f aca="false">B83+pas</f>
        <v>0.800000000000001</v>
      </c>
      <c r="C84" s="402"/>
      <c r="D84" s="419" t="n">
        <f aca="false">IF(AND(L83&lt;L_rampe,Poussee&lt;Poids*SIN(M83)),0,(-W83+Poussee)/m*COS(M83)-U83/m*SIN(M83))</f>
        <v>7.6296766278718</v>
      </c>
      <c r="E84" s="420" t="n">
        <f aca="false">IF(AND(L83&lt;L_rampe,Poussee&lt;Poids*SIN(M83)),0,(-W83+Poussee)/m*SIN(M83)+U83/m*COS(M83)-Poids/m)</f>
        <v>28.7618742047206</v>
      </c>
      <c r="F84" s="418" t="n">
        <f aca="false">SQRT(acc_x^2+acc_z^2)</f>
        <v>29.756635784545</v>
      </c>
      <c r="G84" s="419" t="n">
        <f aca="false">G83+acc_x*pas</f>
        <v>15.5377253958587</v>
      </c>
      <c r="H84" s="420" t="n">
        <f aca="false">H83+acc_z*pas</f>
        <v>78.4529603696094</v>
      </c>
      <c r="I84" s="418" t="n">
        <f aca="false">SQRT(vit_x^2+vit_z^2)</f>
        <v>79.9767960175489</v>
      </c>
      <c r="J84" s="419" t="n">
        <f aca="false">J83+0.5*(vit_x+G83)*pas*(K83&gt;=0)</f>
        <v>6.60814806209938</v>
      </c>
      <c r="K84" s="420" t="n">
        <f aca="false">K83+0.5*(vit_z+H83)*pas</f>
        <v>34.8175025878409</v>
      </c>
      <c r="L84" s="418" t="n">
        <f aca="false">SQRT(pos_x^2+pos_z^2)</f>
        <v>35.4390477759341</v>
      </c>
      <c r="M84" s="419" t="n">
        <f aca="false">IF(AND(L83&gt;L_rampe,G84&gt;0),ATAN2(G84,H84),$M$4)</f>
        <v>1.3752750380548</v>
      </c>
      <c r="N84" s="418" t="n">
        <f aca="false">DEGREES(Beta)</f>
        <v>78.7974553502335</v>
      </c>
      <c r="O84" s="402"/>
      <c r="P84" s="421" t="n">
        <f aca="false">MATCH(t-pas/2-T_ini,CdP_t)</f>
        <v>6</v>
      </c>
      <c r="Q84" s="418" t="n">
        <f aca="false">(INDEX(CdP,2,i_P+1)-INDEX(CdP,2,i_P+0))/(INDEX(CdP,1,i_P+1)-INDEX(CdP,1,i_P+0))*(t-pas/2-T_ini-INDEX(CdP,1,i_P+0))+INDEX(CdP,2,i_P+0)</f>
        <v>65.333333333333</v>
      </c>
      <c r="R84" s="419" t="n">
        <f aca="false">Poussee/(g*ISP)</f>
        <v>0.0346756529064867</v>
      </c>
      <c r="S84" s="420" t="n">
        <f aca="false">S83-Débit*pas</f>
        <v>1.48784540859309</v>
      </c>
      <c r="T84" s="418" t="n">
        <f aca="false">m*g</f>
        <v>14.5957634582982</v>
      </c>
      <c r="U84" s="422" t="n">
        <f aca="false">IF(pos_xz&lt;L_rampe,Poids*COS(Beta),0)</f>
        <v>0</v>
      </c>
      <c r="V84" s="419" t="n">
        <f aca="false">Rho_moyen*(20000-Alt_rampe-pos_z)/(20000+Alt_rampe+pos_z)</f>
        <v>1.22074226811254</v>
      </c>
      <c r="W84" s="418" t="n">
        <f aca="false">1/2*Rho*Sref*Cx*vit_xz^2</f>
        <v>6.88288845220531</v>
      </c>
      <c r="X84" s="402"/>
      <c r="Y84" s="423" t="str">
        <f aca="false">IF(AND(pos_z&lt;=0,K83&gt;0),"Impact balistique","") &amp; IF(AND(H85&lt;0,vit_z&gt;=0),"Apogée","") &amp; IF(AND(Poussee=0,Q83&gt;0),"Fin de propulsion","") &amp; IF(AND(L85&gt;L_rampe,pos_xz&lt;=L_rampe),"Sortie de rampe","")</f>
        <v/>
      </c>
      <c r="Z84" s="424" t="str">
        <f aca="false">IF(ABS(t-T_para)&lt;pas/2,"Para","")</f>
        <v/>
      </c>
      <c r="AA84" s="425" t="str">
        <f aca="false">IF(ABS(t-T_satellite)&lt;pas/2,"Satellite","")</f>
        <v/>
      </c>
      <c r="AB84" s="413"/>
      <c r="AC84" s="421" t="e">
        <f aca="false">IF(ABS(t-ROUND(t,0))&lt;0.001,t,NA())</f>
        <v>#N/A</v>
      </c>
      <c r="AD84" s="426" t="e">
        <f aca="false">IF(ABS(t-ROUND(t,0))&lt;0.001,pos_x,NA())</f>
        <v>#N/A</v>
      </c>
      <c r="AE84" s="427" t="n">
        <f aca="false">IF(t&lt;T_para, pos_z, NA())</f>
        <v>34.8175025878409</v>
      </c>
      <c r="AF84" s="413"/>
      <c r="AG84" s="419" t="n">
        <f aca="false">IF(AND(L83&lt;L_rampe,Poussee&lt;Poids*SIN(M83)),0,(-W83+Poussee)/m-Poids*SIN(M83)/m)</f>
        <v>29.6956860860303</v>
      </c>
      <c r="AH84" s="418" t="n">
        <f aca="false">IF(AND(L83&lt;L_rampe,Poussee&lt;Poids*SIN(M83)), g*SIN(M83), (-W83+Poussee)/m)</f>
        <v>39.3192248793219</v>
      </c>
    </row>
    <row r="85" customFormat="false" ht="12" hidden="false" customHeight="false" outlineLevel="0" collapsed="false">
      <c r="A85" s="417" t="n">
        <f aca="false">IF(B84+0.01&lt;=T_ini+ROUNDUP(Temps_fin_propu,0), 0.01, IF(K84&gt;0, 0.1, 0.0001))</f>
        <v>0.01</v>
      </c>
      <c r="B85" s="418" t="n">
        <f aca="false">B84+pas</f>
        <v>0.810000000000001</v>
      </c>
      <c r="C85" s="402"/>
      <c r="D85" s="419" t="n">
        <f aca="false">IF(AND(L84&lt;L_rampe,Poussee&lt;Poids*SIN(M84)),0,(-W84+Poussee)/m*COS(M84)-U84/m*SIN(M84))</f>
        <v>6.96999842156994</v>
      </c>
      <c r="E85" s="420" t="n">
        <f aca="false">IF(AND(L84&lt;L_rampe,Poussee&lt;Poids*SIN(M84)),0,(-W84+Poussee)/m*SIN(M84)+U84/m*COS(M84)-Poids/m)</f>
        <v>25.3828609891258</v>
      </c>
      <c r="F85" s="418" t="n">
        <f aca="false">SQRT(acc_x^2+acc_z^2)</f>
        <v>26.3224335879108</v>
      </c>
      <c r="G85" s="419" t="n">
        <f aca="false">G84+acc_x*pas</f>
        <v>15.6074253800744</v>
      </c>
      <c r="H85" s="420" t="n">
        <f aca="false">H84+acc_z*pas</f>
        <v>78.7067889795007</v>
      </c>
      <c r="I85" s="418" t="n">
        <f aca="false">SQRT(vit_x^2+vit_z^2)</f>
        <v>80.2393317423459</v>
      </c>
      <c r="J85" s="419" t="n">
        <f aca="false">J84+0.5*(vit_x+G84)*pas*(K84&gt;=0)</f>
        <v>6.76387381597904</v>
      </c>
      <c r="K85" s="420" t="n">
        <f aca="false">K84+0.5*(vit_z+H84)*pas</f>
        <v>35.6033013345865</v>
      </c>
      <c r="L85" s="418" t="n">
        <f aca="false">SQRT(pos_x^2+pos_z^2)</f>
        <v>36.2401028547085</v>
      </c>
      <c r="M85" s="419" t="n">
        <f aca="false">IF(AND(L84&gt;L_rampe,G85&gt;0),ATAN2(G85,H85),$M$4)</f>
        <v>1.37503751534002</v>
      </c>
      <c r="N85" s="418" t="n">
        <f aca="false">DEGREES(Beta)</f>
        <v>78.7838463011384</v>
      </c>
      <c r="O85" s="402"/>
      <c r="P85" s="421" t="n">
        <f aca="false">MATCH(t-pas/2-T_ini,CdP_t)</f>
        <v>7</v>
      </c>
      <c r="Q85" s="418" t="n">
        <f aca="false">(INDEX(CdP,2,i_P+1)-INDEX(CdP,2,i_P+0))/(INDEX(CdP,1,i_P+1)-INDEX(CdP,1,i_P+0))*(t-pas/2-T_ini-INDEX(CdP,1,i_P+0))+INDEX(CdP,2,i_P+0)</f>
        <v>60.2499999999998</v>
      </c>
      <c r="R85" s="419" t="n">
        <f aca="false">Poussee/(g*ISP)</f>
        <v>0.0319776748104463</v>
      </c>
      <c r="S85" s="420" t="n">
        <f aca="false">S84-Débit*pas</f>
        <v>1.48752563184499</v>
      </c>
      <c r="T85" s="418" t="n">
        <f aca="false">m*g</f>
        <v>14.5926264483993</v>
      </c>
      <c r="U85" s="422" t="n">
        <f aca="false">IF(pos_xz&lt;L_rampe,Poids*COS(Beta),0)</f>
        <v>0</v>
      </c>
      <c r="V85" s="419" t="n">
        <f aca="false">Rho_moyen*(20000-Alt_rampe-pos_z)/(20000+Alt_rampe+pos_z)</f>
        <v>1.22064634580962</v>
      </c>
      <c r="W85" s="418" t="n">
        <f aca="false">1/2*Rho*Sref*Cx*vit_xz^2</f>
        <v>6.92760643673459</v>
      </c>
      <c r="X85" s="402"/>
      <c r="Y85" s="423" t="str">
        <f aca="false">IF(AND(pos_z&lt;=0,K84&gt;0),"Impact balistique","") &amp; IF(AND(H86&lt;0,vit_z&gt;=0),"Apogée","") &amp; IF(AND(Poussee=0,Q84&gt;0),"Fin de propulsion","") &amp; IF(AND(L86&gt;L_rampe,pos_xz&lt;=L_rampe),"Sortie de rampe","")</f>
        <v/>
      </c>
      <c r="Z85" s="424" t="str">
        <f aca="false">IF(ABS(t-T_para)&lt;pas/2,"Para","")</f>
        <v/>
      </c>
      <c r="AA85" s="425" t="str">
        <f aca="false">IF(ABS(t-T_satellite)&lt;pas/2,"Satellite","")</f>
        <v/>
      </c>
      <c r="AB85" s="413"/>
      <c r="AC85" s="421" t="e">
        <f aca="false">IF(ABS(t-ROUND(t,0))&lt;0.001,t,NA())</f>
        <v>#N/A</v>
      </c>
      <c r="AD85" s="426" t="e">
        <f aca="false">IF(ABS(t-ROUND(t,0))&lt;0.001,pos_x,NA())</f>
        <v>#N/A</v>
      </c>
      <c r="AE85" s="427" t="n">
        <f aca="false">IF(t&lt;T_para, pos_z, NA())</f>
        <v>35.6033013345865</v>
      </c>
      <c r="AF85" s="413"/>
      <c r="AG85" s="419" t="n">
        <f aca="false">IF(AND(L84&lt;L_rampe,Poussee&lt;Poids*SIN(M84)),0,(-W84+Poussee)/m-Poids*SIN(M84)/m)</f>
        <v>26.2533461364269</v>
      </c>
      <c r="AH85" s="418" t="n">
        <f aca="false">IF(AND(L84&lt;L_rampe,Poussee&lt;Poids*SIN(M84)), g*SIN(M84), (-W84+Poussee)/m)</f>
        <v>35.8764315755709</v>
      </c>
    </row>
    <row r="86" customFormat="false" ht="12" hidden="false" customHeight="false" outlineLevel="0" collapsed="false">
      <c r="A86" s="417" t="n">
        <f aca="false">IF(B85+0.01&lt;=T_ini+ROUNDUP(Temps_fin_propu,0), 0.01, IF(K85&gt;0, 0.1, 0.0001))</f>
        <v>0.01</v>
      </c>
      <c r="B86" s="418" t="n">
        <f aca="false">B85+pas</f>
        <v>0.820000000000001</v>
      </c>
      <c r="C86" s="402"/>
      <c r="D86" s="419" t="n">
        <f aca="false">IF(AND(L85&lt;L_rampe,Poussee&lt;Poids*SIN(M85)),0,(-W85+Poussee)/m*COS(M85)-U85/m*SIN(M85))</f>
        <v>6.51616452235029</v>
      </c>
      <c r="E86" s="420" t="n">
        <f aca="false">IF(AND(L85&lt;L_rampe,Poussee&lt;Poids*SIN(M85)),0,(-W85+Poussee)/m*SIN(M85)+U85/m*COS(M85)-Poids/m)</f>
        <v>23.0504092940976</v>
      </c>
      <c r="F86" s="418" t="n">
        <f aca="false">SQRT(acc_x^2+acc_z^2)</f>
        <v>23.9537422693774</v>
      </c>
      <c r="G86" s="419" t="n">
        <f aca="false">G85+acc_x*pas</f>
        <v>15.6725870252979</v>
      </c>
      <c r="H86" s="420" t="n">
        <f aca="false">H85+acc_z*pas</f>
        <v>78.9372930724417</v>
      </c>
      <c r="I86" s="418" t="n">
        <f aca="false">SQRT(vit_x^2+vit_z^2)</f>
        <v>80.4781102019057</v>
      </c>
      <c r="J86" s="419" t="n">
        <f aca="false">J85+0.5*(vit_x+G85)*pas*(K85&gt;=0)</f>
        <v>6.9202738780059</v>
      </c>
      <c r="K86" s="420" t="n">
        <f aca="false">K85+0.5*(vit_z+H85)*pas</f>
        <v>36.3915217448462</v>
      </c>
      <c r="L86" s="418" t="n">
        <f aca="false">SQRT(pos_x^2+pos_z^2)</f>
        <v>37.0436640392419</v>
      </c>
      <c r="M86" s="419" t="n">
        <f aca="false">IF(AND(L85&gt;L_rampe,G86&gt;0),ATAN2(G86,H86),$M$4)</f>
        <v>1.37480041334627</v>
      </c>
      <c r="N86" s="418" t="n">
        <f aca="false">DEGREES(Beta)</f>
        <v>78.770261357582</v>
      </c>
      <c r="O86" s="402"/>
      <c r="P86" s="421" t="n">
        <f aca="false">MATCH(t-pas/2-T_ini,CdP_t)</f>
        <v>7</v>
      </c>
      <c r="Q86" s="418" t="n">
        <f aca="false">(INDEX(CdP,2,i_P+1)-INDEX(CdP,2,i_P+0))/(INDEX(CdP,1,i_P+1)-INDEX(CdP,1,i_P+0))*(t-pas/2-T_ini-INDEX(CdP,1,i_P+0))+INDEX(CdP,2,i_P+0)</f>
        <v>56.7499999999998</v>
      </c>
      <c r="R86" s="419" t="n">
        <f aca="false">Poussee/(g*ISP)</f>
        <v>0.0301200505475988</v>
      </c>
      <c r="S86" s="420" t="n">
        <f aca="false">S85-Débit*pas</f>
        <v>1.48722443133951</v>
      </c>
      <c r="T86" s="418" t="n">
        <f aca="false">m*g</f>
        <v>14.5896716714406</v>
      </c>
      <c r="U86" s="422" t="n">
        <f aca="false">IF(pos_xz&lt;L_rampe,Poids*COS(Beta),0)</f>
        <v>0</v>
      </c>
      <c r="V86" s="419" t="n">
        <f aca="false">Rho_moyen*(20000-Alt_rampe-pos_z)/(20000+Alt_rampe+pos_z)</f>
        <v>1.22055013545338</v>
      </c>
      <c r="W86" s="418" t="n">
        <f aca="false">1/2*Rho*Sref*Cx*vit_xz^2</f>
        <v>6.96834923363254</v>
      </c>
      <c r="X86" s="402"/>
      <c r="Y86" s="423" t="str">
        <f aca="false">IF(AND(pos_z&lt;=0,K85&gt;0),"Impact balistique","") &amp; IF(AND(H87&lt;0,vit_z&gt;=0),"Apogée","") &amp; IF(AND(Poussee=0,Q85&gt;0),"Fin de propulsion","") &amp; IF(AND(L87&gt;L_rampe,pos_xz&lt;=L_rampe),"Sortie de rampe","")</f>
        <v/>
      </c>
      <c r="Z86" s="424" t="str">
        <f aca="false">IF(ABS(t-T_para)&lt;pas/2,"Para","")</f>
        <v/>
      </c>
      <c r="AA86" s="425" t="str">
        <f aca="false">IF(ABS(t-T_satellite)&lt;pas/2,"Satellite","")</f>
        <v/>
      </c>
      <c r="AB86" s="413"/>
      <c r="AC86" s="421" t="e">
        <f aca="false">IF(ABS(t-ROUND(t,0))&lt;0.001,t,NA())</f>
        <v>#N/A</v>
      </c>
      <c r="AD86" s="426" t="e">
        <f aca="false">IF(ABS(t-ROUND(t,0))&lt;0.001,pos_x,NA())</f>
        <v>#N/A</v>
      </c>
      <c r="AE86" s="427" t="n">
        <f aca="false">IF(t&lt;T_para, pos_z, NA())</f>
        <v>36.3915217448462</v>
      </c>
      <c r="AF86" s="413"/>
      <c r="AG86" s="419" t="n">
        <f aca="false">IF(AND(L85&lt;L_rampe,Poussee&lt;Poids*SIN(M85)),0,(-W85+Poussee)/m-Poids*SIN(M85)/m)</f>
        <v>23.8776197426556</v>
      </c>
      <c r="AH86" s="418" t="n">
        <f aca="false">IF(AND(L85&lt;L_rampe,Poussee&lt;Poids*SIN(M85)), g*SIN(M85), (-W85+Poussee)/m)</f>
        <v>33.5002522237961</v>
      </c>
    </row>
    <row r="87" customFormat="false" ht="12" hidden="false" customHeight="false" outlineLevel="0" collapsed="false">
      <c r="A87" s="417" t="n">
        <f aca="false">IF(B86+0.01&lt;=T_ini+ROUNDUP(Temps_fin_propu,0), 0.01, IF(K86&gt;0, 0.1, 0.0001))</f>
        <v>0.01</v>
      </c>
      <c r="B87" s="418" t="n">
        <f aca="false">B86+pas</f>
        <v>0.830000000000001</v>
      </c>
      <c r="C87" s="402"/>
      <c r="D87" s="419" t="n">
        <f aca="false">IF(AND(L86&lt;L_rampe,Poussee&lt;Poids*SIN(M86)),0,(-W86+Poussee)/m*COS(M86)-U86/m*SIN(M86))</f>
        <v>6.06146761185141</v>
      </c>
      <c r="E87" s="420" t="n">
        <f aca="false">IF(AND(L86&lt;L_rampe,Poussee&lt;Poids*SIN(M86)),0,(-W86+Poussee)/m*SIN(M86)+U86/m*COS(M86)-Poids/m)</f>
        <v>20.7194744609486</v>
      </c>
      <c r="F87" s="418" t="n">
        <f aca="false">SQRT(acc_x^2+acc_z^2)</f>
        <v>21.5879135524354</v>
      </c>
      <c r="G87" s="419" t="n">
        <f aca="false">G86+acc_x*pas</f>
        <v>15.7332017014165</v>
      </c>
      <c r="H87" s="420" t="n">
        <f aca="false">H86+acc_z*pas</f>
        <v>79.1444878170511</v>
      </c>
      <c r="I87" s="418" t="n">
        <f aca="false">SQRT(vit_x^2+vit_z^2)</f>
        <v>80.6931446134107</v>
      </c>
      <c r="J87" s="419" t="n">
        <f aca="false">J86+0.5*(vit_x+G86)*pas*(K86&gt;=0)</f>
        <v>7.07730282163948</v>
      </c>
      <c r="K87" s="420" t="n">
        <f aca="false">K86+0.5*(vit_z+H86)*pas</f>
        <v>37.1819306492936</v>
      </c>
      <c r="L87" s="418" t="n">
        <f aca="false">SQRT(pos_x^2+pos_z^2)</f>
        <v>37.8494938148196</v>
      </c>
      <c r="M87" s="419" t="n">
        <f aca="false">IF(AND(L86&gt;L_rampe,G87&gt;0),ATAN2(G87,H87),$M$4)</f>
        <v>1.37456366045492</v>
      </c>
      <c r="N87" s="418" t="n">
        <f aca="false">DEGREES(Beta)</f>
        <v>78.7566964161203</v>
      </c>
      <c r="O87" s="402"/>
      <c r="P87" s="421" t="n">
        <f aca="false">MATCH(t-pas/2-T_ini,CdP_t)</f>
        <v>7</v>
      </c>
      <c r="Q87" s="418" t="n">
        <f aca="false">(INDEX(CdP,2,i_P+1)-INDEX(CdP,2,i_P+0))/(INDEX(CdP,1,i_P+1)-INDEX(CdP,1,i_P+0))*(t-pas/2-T_ini-INDEX(CdP,1,i_P+0))+INDEX(CdP,2,i_P+0)</f>
        <v>53.2499999999998</v>
      </c>
      <c r="R87" s="419" t="n">
        <f aca="false">Poussee/(g*ISP)</f>
        <v>0.0282624262847513</v>
      </c>
      <c r="S87" s="420" t="n">
        <f aca="false">S86-Débit*pas</f>
        <v>1.48694180707666</v>
      </c>
      <c r="T87" s="418" t="n">
        <f aca="false">m*g</f>
        <v>14.5868991274221</v>
      </c>
      <c r="U87" s="422" t="n">
        <f aca="false">IF(pos_xz&lt;L_rampe,Poids*COS(Beta),0)</f>
        <v>0</v>
      </c>
      <c r="V87" s="419" t="n">
        <f aca="false">Rho_moyen*(20000-Alt_rampe-pos_z)/(20000+Alt_rampe+pos_z)</f>
        <v>1.22045366557004</v>
      </c>
      <c r="W87" s="418" t="n">
        <f aca="false">1/2*Rho*Sref*Cx*vit_xz^2</f>
        <v>7.0050835931593</v>
      </c>
      <c r="X87" s="402"/>
      <c r="Y87" s="423" t="str">
        <f aca="false">IF(AND(pos_z&lt;=0,K86&gt;0),"Impact balistique","") &amp; IF(AND(H88&lt;0,vit_z&gt;=0),"Apogée","") &amp; IF(AND(Poussee=0,Q86&gt;0),"Fin de propulsion","") &amp; IF(AND(L88&gt;L_rampe,pos_xz&lt;=L_rampe),"Sortie de rampe","")</f>
        <v/>
      </c>
      <c r="Z87" s="424" t="str">
        <f aca="false">IF(ABS(t-T_para)&lt;pas/2,"Para","")</f>
        <v/>
      </c>
      <c r="AA87" s="425" t="str">
        <f aca="false">IF(ABS(t-T_satellite)&lt;pas/2,"Satellite","")</f>
        <v/>
      </c>
      <c r="AB87" s="413"/>
      <c r="AC87" s="421" t="e">
        <f aca="false">IF(ABS(t-ROUND(t,0))&lt;0.001,t,NA())</f>
        <v>#N/A</v>
      </c>
      <c r="AD87" s="426" t="e">
        <f aca="false">IF(ABS(t-ROUND(t,0))&lt;0.001,pos_x,NA())</f>
        <v>#N/A</v>
      </c>
      <c r="AE87" s="427" t="n">
        <f aca="false">IF(t&lt;T_para, pos_z, NA())</f>
        <v>37.1819306492936</v>
      </c>
      <c r="AF87" s="413"/>
      <c r="AG87" s="419" t="n">
        <f aca="false">IF(AND(L86&lt;L_rampe,Poussee&lt;Poids*SIN(M86)),0,(-W86+Poussee)/m-Poids*SIN(M86)/m)</f>
        <v>21.503215000166</v>
      </c>
      <c r="AH87" s="418" t="n">
        <f aca="false">IF(AND(L86&lt;L_rampe,Poussee&lt;Poids*SIN(M86)), g*SIN(M86), (-W86+Poussee)/m)</f>
        <v>31.1253947841828</v>
      </c>
    </row>
    <row r="88" customFormat="false" ht="12" hidden="false" customHeight="false" outlineLevel="0" collapsed="false">
      <c r="A88" s="417" t="n">
        <f aca="false">IF(B87+0.01&lt;=T_ini+ROUNDUP(Temps_fin_propu,0), 0.01, IF(K87&gt;0, 0.1, 0.0001))</f>
        <v>0.01</v>
      </c>
      <c r="B88" s="418" t="n">
        <f aca="false">B87+pas</f>
        <v>0.840000000000001</v>
      </c>
      <c r="C88" s="402"/>
      <c r="D88" s="419" t="n">
        <f aca="false">IF(AND(L87&lt;L_rampe,Poussee&lt;Poids*SIN(M87)),0,(-W87+Poussee)/m*COS(M87)-U87/m*SIN(M87))</f>
        <v>5.60593551645052</v>
      </c>
      <c r="E88" s="420" t="n">
        <f aca="false">IF(AND(L87&lt;L_rampe,Poussee&lt;Poids*SIN(M87)),0,(-W87+Poussee)/m*SIN(M87)+U87/m*COS(M87)-Poids/m)</f>
        <v>18.3901657135654</v>
      </c>
      <c r="F88" s="418" t="n">
        <f aca="false">SQRT(acc_x^2+acc_z^2)</f>
        <v>19.2256263353628</v>
      </c>
      <c r="G88" s="419" t="n">
        <f aca="false">G87+acc_x*pas</f>
        <v>15.789261056581</v>
      </c>
      <c r="H88" s="420" t="n">
        <f aca="false">H87+acc_z*pas</f>
        <v>79.3283894741868</v>
      </c>
      <c r="I88" s="418" t="n">
        <f aca="false">SQRT(vit_x^2+vit_z^2)</f>
        <v>80.8844493167947</v>
      </c>
      <c r="J88" s="419" t="n">
        <f aca="false">J87+0.5*(vit_x+G87)*pas*(K87&gt;=0)</f>
        <v>7.23491513542946</v>
      </c>
      <c r="K88" s="420" t="n">
        <f aca="false">K87+0.5*(vit_z+H87)*pas</f>
        <v>37.9742950357498</v>
      </c>
      <c r="L88" s="418" t="n">
        <f aca="false">SQRT(pos_x^2+pos_z^2)</f>
        <v>38.6573548044747</v>
      </c>
      <c r="M88" s="419" t="n">
        <f aca="false">IF(AND(L87&gt;L_rampe,G88&gt;0),ATAN2(G88,H88),$M$4)</f>
        <v>1.37432718588269</v>
      </c>
      <c r="N88" s="418" t="n">
        <f aca="false">DEGREES(Beta)</f>
        <v>78.7431474211693</v>
      </c>
      <c r="O88" s="402"/>
      <c r="P88" s="421" t="n">
        <f aca="false">MATCH(t-pas/2-T_ini,CdP_t)</f>
        <v>7</v>
      </c>
      <c r="Q88" s="418" t="n">
        <f aca="false">(INDEX(CdP,2,i_P+1)-INDEX(CdP,2,i_P+0))/(INDEX(CdP,1,i_P+1)-INDEX(CdP,1,i_P+0))*(t-pas/2-T_ini-INDEX(CdP,1,i_P+0))+INDEX(CdP,2,i_P+0)</f>
        <v>49.7499999999998</v>
      </c>
      <c r="R88" s="419" t="n">
        <f aca="false">Poussee/(g*ISP)</f>
        <v>0.0264048020219038</v>
      </c>
      <c r="S88" s="420" t="n">
        <f aca="false">S87-Débit*pas</f>
        <v>1.48667775905644</v>
      </c>
      <c r="T88" s="418" t="n">
        <f aca="false">m*g</f>
        <v>14.5843088163437</v>
      </c>
      <c r="U88" s="422" t="n">
        <f aca="false">IF(pos_xz&lt;L_rampe,Poids*COS(Beta),0)</f>
        <v>0</v>
      </c>
      <c r="V88" s="419" t="n">
        <f aca="false">Rho_moyen*(20000-Alt_rampe-pos_z)/(20000+Alt_rampe+pos_z)</f>
        <v>1.22035696465782</v>
      </c>
      <c r="W88" s="418" t="n">
        <f aca="false">1/2*Rho*Sref*Cx*vit_xz^2</f>
        <v>7.03778014508709</v>
      </c>
      <c r="X88" s="402"/>
      <c r="Y88" s="423" t="str">
        <f aca="false">IF(AND(pos_z&lt;=0,K87&gt;0),"Impact balistique","") &amp; IF(AND(H89&lt;0,vit_z&gt;=0),"Apogée","") &amp; IF(AND(Poussee=0,Q87&gt;0),"Fin de propulsion","") &amp; IF(AND(L89&gt;L_rampe,pos_xz&lt;=L_rampe),"Sortie de rampe","")</f>
        <v/>
      </c>
      <c r="Z88" s="424" t="str">
        <f aca="false">IF(ABS(t-T_para)&lt;pas/2,"Para","")</f>
        <v/>
      </c>
      <c r="AA88" s="425" t="str">
        <f aca="false">IF(ABS(t-T_satellite)&lt;pas/2,"Satellite","")</f>
        <v/>
      </c>
      <c r="AB88" s="413"/>
      <c r="AC88" s="421" t="e">
        <f aca="false">IF(ABS(t-ROUND(t,0))&lt;0.001,t,NA())</f>
        <v>#N/A</v>
      </c>
      <c r="AD88" s="426" t="e">
        <f aca="false">IF(ABS(t-ROUND(t,0))&lt;0.001,pos_x,NA())</f>
        <v>#N/A</v>
      </c>
      <c r="AE88" s="427" t="n">
        <f aca="false">IF(t&lt;T_para, pos_z, NA())</f>
        <v>37.9742950357498</v>
      </c>
      <c r="AF88" s="413"/>
      <c r="AG88" s="419" t="n">
        <f aca="false">IF(AND(L87&lt;L_rampe,Poussee&lt;Poids*SIN(M87)),0,(-W87+Poussee)/m-Poids*SIN(M87)/m)</f>
        <v>19.1302441845813</v>
      </c>
      <c r="AH88" s="418" t="n">
        <f aca="false">IF(AND(L87&lt;L_rampe,Poussee&lt;Poids*SIN(M87)), g*SIN(M87), (-W87+Poussee)/m)</f>
        <v>28.7519713982737</v>
      </c>
    </row>
    <row r="89" customFormat="false" ht="12" hidden="false" customHeight="false" outlineLevel="0" collapsed="false">
      <c r="A89" s="417" t="n">
        <f aca="false">IF(B88+0.01&lt;=T_ini+ROUNDUP(Temps_fin_propu,0), 0.01, IF(K88&gt;0, 0.1, 0.0001))</f>
        <v>0.01</v>
      </c>
      <c r="B89" s="418" t="n">
        <f aca="false">B88+pas</f>
        <v>0.850000000000001</v>
      </c>
      <c r="C89" s="402"/>
      <c r="D89" s="419" t="n">
        <f aca="false">IF(AND(L88&lt;L_rampe,Poussee&lt;Poids*SIN(M88)),0,(-W88+Poussee)/m*COS(M88)-U88/m*SIN(M88))</f>
        <v>5.14959495990655</v>
      </c>
      <c r="E89" s="420" t="n">
        <f aca="false">IF(AND(L88&lt;L_rampe,Poussee&lt;Poids*SIN(M88)),0,(-W88+Poussee)/m*SIN(M88)+U88/m*COS(M88)-Poids/m)</f>
        <v>16.0625898032771</v>
      </c>
      <c r="F89" s="418" t="n">
        <f aca="false">SQRT(acc_x^2+acc_z^2)</f>
        <v>16.8678724040537</v>
      </c>
      <c r="G89" s="419" t="n">
        <f aca="false">G88+acc_x*pas</f>
        <v>15.84075700618</v>
      </c>
      <c r="H89" s="420" t="n">
        <f aca="false">H88+acc_z*pas</f>
        <v>79.4890153722196</v>
      </c>
      <c r="I89" s="418" t="n">
        <f aca="false">SQRT(vit_x^2+vit_z^2)</f>
        <v>81.0520397483851</v>
      </c>
      <c r="J89" s="419" t="n">
        <f aca="false">J88+0.5*(vit_x+G88)*pas*(K88&gt;=0)</f>
        <v>7.39306522574327</v>
      </c>
      <c r="K89" s="420" t="n">
        <f aca="false">K88+0.5*(vit_z+H88)*pas</f>
        <v>38.7683820599819</v>
      </c>
      <c r="L89" s="418" t="n">
        <f aca="false">SQRT(pos_x^2+pos_z^2)</f>
        <v>39.4670097800786</v>
      </c>
      <c r="M89" s="419" t="n">
        <f aca="false">IF(AND(L88&gt;L_rampe,G89&gt;0),ATAN2(G89,H89),$M$4)</f>
        <v>1.37409091955287</v>
      </c>
      <c r="N89" s="418" t="n">
        <f aca="false">DEGREES(Beta)</f>
        <v>78.7296103576299</v>
      </c>
      <c r="O89" s="402"/>
      <c r="P89" s="421" t="n">
        <f aca="false">MATCH(t-pas/2-T_ini,CdP_t)</f>
        <v>8</v>
      </c>
      <c r="Q89" s="418" t="n">
        <f aca="false">(INDEX(CdP,2,i_P+1)-INDEX(CdP,2,i_P+0))/(INDEX(CdP,1,i_P+1)-INDEX(CdP,1,i_P+0))*(t-pas/2-T_ini-INDEX(CdP,1,i_P+0))+INDEX(CdP,2,i_P+0)</f>
        <v>46.2499999999998</v>
      </c>
      <c r="R89" s="419" t="n">
        <f aca="false">Poussee/(g*ISP)</f>
        <v>0.0245471777590563</v>
      </c>
      <c r="S89" s="420" t="n">
        <f aca="false">S88-Débit*pas</f>
        <v>1.48643228727885</v>
      </c>
      <c r="T89" s="418" t="n">
        <f aca="false">m*g</f>
        <v>14.5819007382055</v>
      </c>
      <c r="U89" s="422" t="n">
        <f aca="false">IF(pos_xz&lt;L_rampe,Poids*COS(Beta),0)</f>
        <v>0</v>
      </c>
      <c r="V89" s="419" t="n">
        <f aca="false">Rho_moyen*(20000-Alt_rampe-pos_z)/(20000+Alt_rampe+pos_z)</f>
        <v>1.2202600611856</v>
      </c>
      <c r="W89" s="418" t="n">
        <f aca="false">1/2*Rho*Sref*Cx*vit_xz^2</f>
        <v>7.06641338696472</v>
      </c>
      <c r="X89" s="402"/>
      <c r="Y89" s="423" t="str">
        <f aca="false">IF(AND(pos_z&lt;=0,K88&gt;0),"Impact balistique","") &amp; IF(AND(H90&lt;0,vit_z&gt;=0),"Apogée","") &amp; IF(AND(Poussee=0,Q88&gt;0),"Fin de propulsion","") &amp; IF(AND(L90&gt;L_rampe,pos_xz&lt;=L_rampe),"Sortie de rampe","")</f>
        <v/>
      </c>
      <c r="Z89" s="424" t="str">
        <f aca="false">IF(ABS(t-T_para)&lt;pas/2,"Para","")</f>
        <v/>
      </c>
      <c r="AA89" s="425" t="str">
        <f aca="false">IF(ABS(t-T_satellite)&lt;pas/2,"Satellite","")</f>
        <v/>
      </c>
      <c r="AB89" s="413"/>
      <c r="AC89" s="421" t="e">
        <f aca="false">IF(ABS(t-ROUND(t,0))&lt;0.001,t,NA())</f>
        <v>#N/A</v>
      </c>
      <c r="AD89" s="426" t="e">
        <f aca="false">IF(ABS(t-ROUND(t,0))&lt;0.001,pos_x,NA())</f>
        <v>#N/A</v>
      </c>
      <c r="AE89" s="427" t="n">
        <f aca="false">IF(t&lt;T_para, pos_z, NA())</f>
        <v>38.7683820599819</v>
      </c>
      <c r="AF89" s="413"/>
      <c r="AG89" s="419" t="n">
        <f aca="false">IF(AND(L88&lt;L_rampe,Poussee&lt;Poids*SIN(M88)),0,(-W88+Poussee)/m-Poids*SIN(M88)/m)</f>
        <v>16.7588169355889</v>
      </c>
      <c r="AH89" s="418" t="n">
        <f aca="false">IF(AND(L88&lt;L_rampe,Poussee&lt;Poids*SIN(M88)), g*SIN(M88), (-W88+Poussee)/m)</f>
        <v>26.3800915726184</v>
      </c>
    </row>
    <row r="90" customFormat="false" ht="12" hidden="false" customHeight="false" outlineLevel="0" collapsed="false">
      <c r="A90" s="417" t="n">
        <f aca="false">IF(B89+0.01&lt;=T_ini+ROUNDUP(Temps_fin_propu,0), 0.01, IF(K89&gt;0, 0.1, 0.0001))</f>
        <v>0.01</v>
      </c>
      <c r="B90" s="418" t="n">
        <f aca="false">B89+pas</f>
        <v>0.860000000000001</v>
      </c>
      <c r="C90" s="402"/>
      <c r="D90" s="419" t="n">
        <f aca="false">IF(AND(L89&lt;L_rampe,Poussee&lt;Poids*SIN(M89)),0,(-W89+Poussee)/m*COS(M89)-U89/m*SIN(M89))</f>
        <v>4.69247157230962</v>
      </c>
      <c r="E90" s="420" t="n">
        <f aca="false">IF(AND(L89&lt;L_rampe,Poussee&lt;Poids*SIN(M89)),0,(-W89+Poussee)/m*SIN(M89)+U89/m*COS(M89)-Poids/m)</f>
        <v>13.7368509995768</v>
      </c>
      <c r="F90" s="418" t="n">
        <f aca="false">SQRT(acc_x^2+acc_z^2)</f>
        <v>14.5162104159972</v>
      </c>
      <c r="G90" s="419" t="n">
        <f aca="false">G89+acc_x*pas</f>
        <v>15.8876817219031</v>
      </c>
      <c r="H90" s="420" t="n">
        <f aca="false">H89+acc_z*pas</f>
        <v>79.6263838822153</v>
      </c>
      <c r="I90" s="418" t="n">
        <f aca="false">SQRT(vit_x^2+vit_z^2)</f>
        <v>81.1959324144653</v>
      </c>
      <c r="J90" s="419" t="n">
        <f aca="false">J89+0.5*(vit_x+G89)*pas*(K89&gt;=0)</f>
        <v>7.55170741938369</v>
      </c>
      <c r="K90" s="420" t="n">
        <f aca="false">K89+0.5*(vit_z+H89)*pas</f>
        <v>39.563959056254</v>
      </c>
      <c r="L90" s="418" t="n">
        <f aca="false">SQRT(pos_x^2+pos_z^2)</f>
        <v>40.2782216731688</v>
      </c>
      <c r="M90" s="419" t="n">
        <f aca="false">IF(AND(L89&gt;L_rampe,G90&gt;0),ATAN2(G90,H90),$M$4)</f>
        <v>1.37385479197008</v>
      </c>
      <c r="N90" s="418" t="n">
        <f aca="false">DEGREES(Beta)</f>
        <v>78.7160812437096</v>
      </c>
      <c r="O90" s="402"/>
      <c r="P90" s="421" t="n">
        <f aca="false">MATCH(t-pas/2-T_ini,CdP_t)</f>
        <v>8</v>
      </c>
      <c r="Q90" s="418" t="n">
        <f aca="false">(INDEX(CdP,2,i_P+1)-INDEX(CdP,2,i_P+0))/(INDEX(CdP,1,i_P+1)-INDEX(CdP,1,i_P+0))*(t-pas/2-T_ini-INDEX(CdP,1,i_P+0))+INDEX(CdP,2,i_P+0)</f>
        <v>42.7499999999998</v>
      </c>
      <c r="R90" s="419" t="n">
        <f aca="false">Poussee/(g*ISP)</f>
        <v>0.0226895534962088</v>
      </c>
      <c r="S90" s="420" t="n">
        <f aca="false">S89-Débit*pas</f>
        <v>1.48620539174389</v>
      </c>
      <c r="T90" s="418" t="n">
        <f aca="false">m*g</f>
        <v>14.5796748930076</v>
      </c>
      <c r="U90" s="422" t="n">
        <f aca="false">IF(pos_xz&lt;L_rampe,Poids*COS(Beta),0)</f>
        <v>0</v>
      </c>
      <c r="V90" s="419" t="n">
        <f aca="false">Rho_moyen*(20000-Alt_rampe-pos_z)/(20000+Alt_rampe+pos_z)</f>
        <v>1.22016298359157</v>
      </c>
      <c r="W90" s="418" t="n">
        <f aca="false">1/2*Rho*Sref*Cx*vit_xz^2</f>
        <v>7.09096167144609</v>
      </c>
      <c r="X90" s="402"/>
      <c r="Y90" s="423" t="str">
        <f aca="false">IF(AND(pos_z&lt;=0,K89&gt;0),"Impact balistique","") &amp; IF(AND(H91&lt;0,vit_z&gt;=0),"Apogée","") &amp; IF(AND(Poussee=0,Q89&gt;0),"Fin de propulsion","") &amp; IF(AND(L91&gt;L_rampe,pos_xz&lt;=L_rampe),"Sortie de rampe","")</f>
        <v/>
      </c>
      <c r="Z90" s="424" t="str">
        <f aca="false">IF(ABS(t-T_para)&lt;pas/2,"Para","")</f>
        <v/>
      </c>
      <c r="AA90" s="425" t="str">
        <f aca="false">IF(ABS(t-T_satellite)&lt;pas/2,"Satellite","")</f>
        <v/>
      </c>
      <c r="AB90" s="413"/>
      <c r="AC90" s="421" t="e">
        <f aca="false">IF(ABS(t-ROUND(t,0))&lt;0.001,t,NA())</f>
        <v>#N/A</v>
      </c>
      <c r="AD90" s="426" t="e">
        <f aca="false">IF(ABS(t-ROUND(t,0))&lt;0.001,pos_x,NA())</f>
        <v>#N/A</v>
      </c>
      <c r="AE90" s="427" t="n">
        <f aca="false">IF(t&lt;T_para, pos_z, NA())</f>
        <v>39.563959056254</v>
      </c>
      <c r="AF90" s="413"/>
      <c r="AG90" s="419" t="n">
        <f aca="false">IF(AND(L89&lt;L_rampe,Poussee&lt;Poids*SIN(M89)),0,(-W89+Poussee)/m-Poids*SIN(M89)/m)</f>
        <v>14.3890402490438</v>
      </c>
      <c r="AH90" s="418" t="n">
        <f aca="false">IF(AND(L89&lt;L_rampe,Poussee&lt;Poids*SIN(M89)), g*SIN(M89), (-W89+Poussee)/m)</f>
        <v>24.0098621706415</v>
      </c>
    </row>
    <row r="91" customFormat="false" ht="12" hidden="false" customHeight="false" outlineLevel="0" collapsed="false">
      <c r="A91" s="417" t="n">
        <f aca="false">IF(B90+0.01&lt;=T_ini+ROUNDUP(Temps_fin_propu,0), 0.01, IF(K90&gt;0, 0.1, 0.0001))</f>
        <v>0.01</v>
      </c>
      <c r="B91" s="418" t="n">
        <f aca="false">B90+pas</f>
        <v>0.870000000000001</v>
      </c>
      <c r="C91" s="402"/>
      <c r="D91" s="419" t="n">
        <f aca="false">IF(AND(L90&lt;L_rampe,Poussee&lt;Poids*SIN(M90)),0,(-W90+Poussee)/m*COS(M90)-U90/m*SIN(M90))</f>
        <v>4.23458989750786</v>
      </c>
      <c r="E91" s="420" t="n">
        <f aca="false">IF(AND(L90&lt;L_rampe,Poussee&lt;Poids*SIN(M90)),0,(-W90+Poussee)/m*SIN(M90)+U90/m*COS(M90)-Poids/m)</f>
        <v>11.4130510822646</v>
      </c>
      <c r="F91" s="418" t="n">
        <f aca="false">SQRT(acc_x^2+acc_z^2)</f>
        <v>12.1733104210177</v>
      </c>
      <c r="G91" s="419" t="n">
        <f aca="false">G90+acc_x*pas</f>
        <v>15.9300276208782</v>
      </c>
      <c r="H91" s="420" t="n">
        <f aca="false">H90+acc_z*pas</f>
        <v>79.740514393038</v>
      </c>
      <c r="I91" s="418" t="n">
        <f aca="false">SQRT(vit_x^2+vit_z^2)</f>
        <v>81.3161448647699</v>
      </c>
      <c r="J91" s="419" t="n">
        <f aca="false">J90+0.5*(vit_x+G90)*pas*(K90&gt;=0)</f>
        <v>7.71079596609759</v>
      </c>
      <c r="K91" s="420" t="n">
        <f aca="false">K90+0.5*(vit_z+H90)*pas</f>
        <v>40.3607935476303</v>
      </c>
      <c r="L91" s="418" t="n">
        <f aca="false">SQRT(pos_x^2+pos_z^2)</f>
        <v>41.0907535855115</v>
      </c>
      <c r="M91" s="419" t="n">
        <f aca="false">IF(AND(L90&gt;L_rampe,G91&gt;0),ATAN2(G91,H91),$M$4)</f>
        <v>1.37361873409788</v>
      </c>
      <c r="N91" s="418" t="n">
        <f aca="false">DEGREES(Beta)</f>
        <v>78.7025561239113</v>
      </c>
      <c r="O91" s="402"/>
      <c r="P91" s="421" t="n">
        <f aca="false">MATCH(t-pas/2-T_ini,CdP_t)</f>
        <v>8</v>
      </c>
      <c r="Q91" s="418" t="n">
        <f aca="false">(INDEX(CdP,2,i_P+1)-INDEX(CdP,2,i_P+0))/(INDEX(CdP,1,i_P+1)-INDEX(CdP,1,i_P+0))*(t-pas/2-T_ini-INDEX(CdP,1,i_P+0))+INDEX(CdP,2,i_P+0)</f>
        <v>39.2499999999998</v>
      </c>
      <c r="R91" s="419" t="n">
        <f aca="false">Poussee/(g*ISP)</f>
        <v>0.0208319292333613</v>
      </c>
      <c r="S91" s="420" t="n">
        <f aca="false">S90-Débit*pas</f>
        <v>1.48599707245156</v>
      </c>
      <c r="T91" s="418" t="n">
        <f aca="false">m*g</f>
        <v>14.5776312807498</v>
      </c>
      <c r="U91" s="422" t="n">
        <f aca="false">IF(pos_xz&lt;L_rampe,Poids*COS(Beta),0)</f>
        <v>0</v>
      </c>
      <c r="V91" s="419" t="n">
        <f aca="false">Rho_moyen*(20000-Alt_rampe-pos_z)/(20000+Alt_rampe+pos_z)</f>
        <v>1.22006576028194</v>
      </c>
      <c r="W91" s="418" t="n">
        <f aca="false">1/2*Rho*Sref*Cx*vit_xz^2</f>
        <v>7.11140719271774</v>
      </c>
      <c r="X91" s="402"/>
      <c r="Y91" s="423" t="str">
        <f aca="false">IF(AND(pos_z&lt;=0,K90&gt;0),"Impact balistique","") &amp; IF(AND(H92&lt;0,vit_z&gt;=0),"Apogée","") &amp; IF(AND(Poussee=0,Q90&gt;0),"Fin de propulsion","") &amp; IF(AND(L92&gt;L_rampe,pos_xz&lt;=L_rampe),"Sortie de rampe","")</f>
        <v/>
      </c>
      <c r="Z91" s="424" t="str">
        <f aca="false">IF(ABS(t-T_para)&lt;pas/2,"Para","")</f>
        <v/>
      </c>
      <c r="AA91" s="425" t="str">
        <f aca="false">IF(ABS(t-T_satellite)&lt;pas/2,"Satellite","")</f>
        <v/>
      </c>
      <c r="AB91" s="413"/>
      <c r="AC91" s="421" t="e">
        <f aca="false">IF(ABS(t-ROUND(t,0))&lt;0.001,t,NA())</f>
        <v>#N/A</v>
      </c>
      <c r="AD91" s="426" t="e">
        <f aca="false">IF(ABS(t-ROUND(t,0))&lt;0.001,pos_x,NA())</f>
        <v>#N/A</v>
      </c>
      <c r="AE91" s="427" t="n">
        <f aca="false">IF(t&lt;T_para, pos_z, NA())</f>
        <v>40.3607935476303</v>
      </c>
      <c r="AF91" s="413"/>
      <c r="AG91" s="419" t="n">
        <f aca="false">IF(AND(L90&lt;L_rampe,Poussee&lt;Poids*SIN(M90)),0,(-W90+Poussee)/m-Poids*SIN(M90)/m)</f>
        <v>12.0210184701843</v>
      </c>
      <c r="AH91" s="418" t="n">
        <f aca="false">IF(AND(L90&lt;L_rampe,Poussee&lt;Poids*SIN(M90)), g*SIN(M90), (-W90+Poussee)/m)</f>
        <v>21.6413874056283</v>
      </c>
    </row>
    <row r="92" customFormat="false" ht="12" hidden="false" customHeight="false" outlineLevel="0" collapsed="false">
      <c r="A92" s="417" t="n">
        <f aca="false">IF(B91+0.01&lt;=T_ini+ROUNDUP(Temps_fin_propu,0), 0.01, IF(K91&gt;0, 0.1, 0.0001))</f>
        <v>0.01</v>
      </c>
      <c r="B92" s="418" t="n">
        <f aca="false">B91+pas</f>
        <v>0.880000000000001</v>
      </c>
      <c r="C92" s="402"/>
      <c r="D92" s="419" t="n">
        <f aca="false">IF(AND(L91&lt;L_rampe,Poussee&lt;Poids*SIN(M91)),0,(-W91+Poussee)/m*COS(M91)-U91/m*SIN(M91))</f>
        <v>3.77597339907268</v>
      </c>
      <c r="E92" s="420" t="n">
        <f aca="false">IF(AND(L91&lt;L_rampe,Poussee&lt;Poids*SIN(M91)),0,(-W91+Poussee)/m*SIN(M91)+U91/m*COS(M91)-Poids/m)</f>
        <v>9.09128933498262</v>
      </c>
      <c r="F92" s="418" t="n">
        <f aca="false">SQRT(acc_x^2+acc_z^2)</f>
        <v>9.84426314575516</v>
      </c>
      <c r="G92" s="419" t="n">
        <f aca="false">G91+acc_x*pas</f>
        <v>15.9677873548689</v>
      </c>
      <c r="H92" s="420" t="n">
        <f aca="false">H91+acc_z*pas</f>
        <v>79.8314272863878</v>
      </c>
      <c r="I92" s="418" t="n">
        <f aca="false">SQRT(vit_x^2+vit_z^2)</f>
        <v>81.4126956659226</v>
      </c>
      <c r="J92" s="419" t="n">
        <f aca="false">J91+0.5*(vit_x+G91)*pas*(K91&gt;=0)</f>
        <v>7.87028504097633</v>
      </c>
      <c r="K92" s="420" t="n">
        <f aca="false">K91+0.5*(vit_z+H91)*pas</f>
        <v>41.1586532560274</v>
      </c>
      <c r="L92" s="418" t="n">
        <f aca="false">SQRT(pos_x^2+pos_z^2)</f>
        <v>41.9043687993998</v>
      </c>
      <c r="M92" s="419" t="n">
        <f aca="false">IF(AND(L91&gt;L_rampe,G92&gt;0),ATAN2(G92,H92),$M$4)</f>
        <v>1.3733826772387</v>
      </c>
      <c r="N92" s="418" t="n">
        <f aca="false">DEGREES(Beta)</f>
        <v>78.6890310621552</v>
      </c>
      <c r="O92" s="402"/>
      <c r="P92" s="421" t="n">
        <f aca="false">MATCH(t-pas/2-T_ini,CdP_t)</f>
        <v>8</v>
      </c>
      <c r="Q92" s="418" t="n">
        <f aca="false">(INDEX(CdP,2,i_P+1)-INDEX(CdP,2,i_P+0))/(INDEX(CdP,1,i_P+1)-INDEX(CdP,1,i_P+0))*(t-pas/2-T_ini-INDEX(CdP,1,i_P+0))+INDEX(CdP,2,i_P+0)</f>
        <v>35.7499999999998</v>
      </c>
      <c r="R92" s="419" t="n">
        <f aca="false">Poussee/(g*ISP)</f>
        <v>0.0189743049705138</v>
      </c>
      <c r="S92" s="420" t="n">
        <f aca="false">S91-Débit*pas</f>
        <v>1.48580732940185</v>
      </c>
      <c r="T92" s="418" t="n">
        <f aca="false">m*g</f>
        <v>14.5757699014322</v>
      </c>
      <c r="U92" s="422" t="n">
        <f aca="false">IF(pos_xz&lt;L_rampe,Poids*COS(Beta),0)</f>
        <v>0</v>
      </c>
      <c r="V92" s="419" t="n">
        <f aca="false">Rho_moyen*(20000-Alt_rampe-pos_z)/(20000+Alt_rampe+pos_z)</f>
        <v>1.21996841962973</v>
      </c>
      <c r="W92" s="418" t="n">
        <f aca="false">1/2*Rho*Sref*Cx*vit_xz^2</f>
        <v>7.12773597206078</v>
      </c>
      <c r="X92" s="402"/>
      <c r="Y92" s="423" t="str">
        <f aca="false">IF(AND(pos_z&lt;=0,K91&gt;0),"Impact balistique","") &amp; IF(AND(H93&lt;0,vit_z&gt;=0),"Apogée","") &amp; IF(AND(Poussee=0,Q91&gt;0),"Fin de propulsion","") &amp; IF(AND(L93&gt;L_rampe,pos_xz&lt;=L_rampe),"Sortie de rampe","")</f>
        <v/>
      </c>
      <c r="Z92" s="424" t="str">
        <f aca="false">IF(ABS(t-T_para)&lt;pas/2,"Para","")</f>
        <v/>
      </c>
      <c r="AA92" s="425" t="str">
        <f aca="false">IF(ABS(t-T_satellite)&lt;pas/2,"Satellite","")</f>
        <v/>
      </c>
      <c r="AB92" s="413"/>
      <c r="AC92" s="421" t="e">
        <f aca="false">IF(ABS(t-ROUND(t,0))&lt;0.001,t,NA())</f>
        <v>#N/A</v>
      </c>
      <c r="AD92" s="426" t="e">
        <f aca="false">IF(ABS(t-ROUND(t,0))&lt;0.001,pos_x,NA())</f>
        <v>#N/A</v>
      </c>
      <c r="AE92" s="427" t="n">
        <f aca="false">IF(t&lt;T_para, pos_z, NA())</f>
        <v>41.1586532560274</v>
      </c>
      <c r="AF92" s="413"/>
      <c r="AG92" s="419" t="n">
        <f aca="false">IF(AND(L91&lt;L_rampe,Poussee&lt;Poids*SIN(M91)),0,(-W91+Poussee)/m-Poids*SIN(M91)/m)</f>
        <v>9.65485328794191</v>
      </c>
      <c r="AH92" s="418" t="n">
        <f aca="false">IF(AND(L91&lt;L_rampe,Poussee&lt;Poids*SIN(M91)), g*SIN(M91), (-W91+Poussee)/m)</f>
        <v>19.2747688348066</v>
      </c>
    </row>
    <row r="93" customFormat="false" ht="12" hidden="false" customHeight="false" outlineLevel="0" collapsed="false">
      <c r="A93" s="417" t="n">
        <f aca="false">IF(B92+0.01&lt;=T_ini+ROUNDUP(Temps_fin_propu,0), 0.01, IF(K92&gt;0, 0.1, 0.0001))</f>
        <v>0.01</v>
      </c>
      <c r="B93" s="418" t="n">
        <f aca="false">B92+pas</f>
        <v>0.890000000000001</v>
      </c>
      <c r="C93" s="402"/>
      <c r="D93" s="419" t="n">
        <f aca="false">IF(AND(L92&lt;L_rampe,Poussee&lt;Poids*SIN(M92)),0,(-W92+Poussee)/m*COS(M92)-U92/m*SIN(M92))</f>
        <v>3.3826605702513</v>
      </c>
      <c r="E93" s="420" t="n">
        <f aca="false">IF(AND(L92&lt;L_rampe,Poussee&lt;Poids*SIN(M92)),0,(-W92+Poussee)/m*SIN(M92)+U92/m*COS(M92)-Poids/m)</f>
        <v>7.10171202040126</v>
      </c>
      <c r="F93" s="418" t="n">
        <f aca="false">SQRT(acc_x^2+acc_z^2)</f>
        <v>7.86617481081145</v>
      </c>
      <c r="G93" s="419" t="n">
        <f aca="false">G92+acc_x*pas</f>
        <v>16.0016139605714</v>
      </c>
      <c r="H93" s="420" t="n">
        <f aca="false">H92+acc_z*pas</f>
        <v>79.9024444065918</v>
      </c>
      <c r="I93" s="418" t="n">
        <f aca="false">SQRT(vit_x^2+vit_z^2)</f>
        <v>81.4889702443935</v>
      </c>
      <c r="J93" s="419" t="n">
        <f aca="false">J92+0.5*(vit_x+G92)*pas*(K92&gt;=0)</f>
        <v>8.03013204755353</v>
      </c>
      <c r="K93" s="420" t="n">
        <f aca="false">K92+0.5*(vit_z+H92)*pas</f>
        <v>41.9573226144923</v>
      </c>
      <c r="L93" s="418" t="n">
        <f aca="false">SQRT(pos_x^2+pos_z^2)</f>
        <v>42.7188476164531</v>
      </c>
      <c r="M93" s="419" t="n">
        <f aca="false">IF(AND(L92&gt;L_rampe,G93&gt;0),ATAN2(G93,H93),$M$4)</f>
        <v>1.37314656266867</v>
      </c>
      <c r="N93" s="418" t="n">
        <f aca="false">DEGREES(Beta)</f>
        <v>78.675502693811</v>
      </c>
      <c r="O93" s="402"/>
      <c r="P93" s="421" t="n">
        <f aca="false">MATCH(t-pas/2-T_ini,CdP_t)</f>
        <v>9</v>
      </c>
      <c r="Q93" s="418" t="n">
        <f aca="false">(INDEX(CdP,2,i_P+1)-INDEX(CdP,2,i_P+0))/(INDEX(CdP,1,i_P+1)-INDEX(CdP,1,i_P+0))*(t-pas/2-T_ini-INDEX(CdP,1,i_P+0))+INDEX(CdP,2,i_P+0)</f>
        <v>32.7499999999999</v>
      </c>
      <c r="R93" s="419" t="n">
        <f aca="false">Poussee/(g*ISP)</f>
        <v>0.0173820556023588</v>
      </c>
      <c r="S93" s="420" t="n">
        <f aca="false">S92-Débit*pas</f>
        <v>1.48563350884583</v>
      </c>
      <c r="T93" s="418" t="n">
        <f aca="false">m*g</f>
        <v>14.5740647217776</v>
      </c>
      <c r="U93" s="422" t="n">
        <f aca="false">IF(pos_xz&lt;L_rampe,Poids*COS(Beta),0)</f>
        <v>0</v>
      </c>
      <c r="V93" s="419" t="n">
        <f aca="false">Rho_moyen*(20000-Alt_rampe-pos_z)/(20000+Alt_rampe+pos_z)</f>
        <v>1.21987098796037</v>
      </c>
      <c r="W93" s="418" t="n">
        <f aca="false">1/2*Rho*Sref*Cx*vit_xz^2</f>
        <v>7.14052769194046</v>
      </c>
      <c r="X93" s="402"/>
      <c r="Y93" s="423" t="str">
        <f aca="false">IF(AND(pos_z&lt;=0,K92&gt;0),"Impact balistique","") &amp; IF(AND(H94&lt;0,vit_z&gt;=0),"Apogée","") &amp; IF(AND(Poussee=0,Q92&gt;0),"Fin de propulsion","") &amp; IF(AND(L94&gt;L_rampe,pos_xz&lt;=L_rampe),"Sortie de rampe","")</f>
        <v/>
      </c>
      <c r="Z93" s="424" t="str">
        <f aca="false">IF(ABS(t-T_para)&lt;pas/2,"Para","")</f>
        <v/>
      </c>
      <c r="AA93" s="425" t="str">
        <f aca="false">IF(ABS(t-T_satellite)&lt;pas/2,"Satellite","")</f>
        <v/>
      </c>
      <c r="AB93" s="413"/>
      <c r="AC93" s="421" t="e">
        <f aca="false">IF(ABS(t-ROUND(t,0))&lt;0.001,t,NA())</f>
        <v>#N/A</v>
      </c>
      <c r="AD93" s="426" t="e">
        <f aca="false">IF(ABS(t-ROUND(t,0))&lt;0.001,pos_x,NA())</f>
        <v>#N/A</v>
      </c>
      <c r="AE93" s="427" t="n">
        <f aca="false">IF(t&lt;T_para, pos_z, NA())</f>
        <v>41.9573226144923</v>
      </c>
      <c r="AF93" s="413"/>
      <c r="AG93" s="419" t="n">
        <f aca="false">IF(AND(L92&lt;L_rampe,Poussee&lt;Poids*SIN(M92)),0,(-W92+Poussee)/m-Poids*SIN(M92)/m)</f>
        <v>7.62723069621827</v>
      </c>
      <c r="AH93" s="418" t="n">
        <f aca="false">IF(AND(L92&lt;L_rampe,Poussee&lt;Poids*SIN(M92)), g*SIN(M92), (-W92+Poussee)/m)</f>
        <v>17.2466923203992</v>
      </c>
    </row>
    <row r="94" customFormat="false" ht="12" hidden="false" customHeight="false" outlineLevel="0" collapsed="false">
      <c r="A94" s="417" t="n">
        <f aca="false">IF(B93+0.01&lt;=T_ini+ROUNDUP(Temps_fin_propu,0), 0.01, IF(K93&gt;0, 0.1, 0.0001))</f>
        <v>0.01</v>
      </c>
      <c r="B94" s="418" t="n">
        <f aca="false">B93+pas</f>
        <v>0.900000000000001</v>
      </c>
      <c r="C94" s="402"/>
      <c r="D94" s="419" t="n">
        <f aca="false">IF(AND(L93&lt;L_rampe,Poussee&lt;Poids*SIN(M93)),0,(-W93+Poussee)/m*COS(M93)-U93/m*SIN(M93))</f>
        <v>3.05485244514273</v>
      </c>
      <c r="E94" s="420" t="n">
        <f aca="false">IF(AND(L93&lt;L_rampe,Poussee&lt;Poids*SIN(M93)),0,(-W93+Poussee)/m*SIN(M93)+U93/m*COS(M93)-Poids/m)</f>
        <v>5.44409738478914</v>
      </c>
      <c r="F94" s="418" t="n">
        <f aca="false">SQRT(acc_x^2+acc_z^2)</f>
        <v>6.24262122803093</v>
      </c>
      <c r="G94" s="419" t="n">
        <f aca="false">G93+acc_x*pas</f>
        <v>16.0321624850229</v>
      </c>
      <c r="H94" s="420" t="n">
        <f aca="false">H93+acc_z*pas</f>
        <v>79.9568853804397</v>
      </c>
      <c r="I94" s="418" t="n">
        <f aca="false">SQRT(vit_x^2+vit_z^2)</f>
        <v>81.5483522438495</v>
      </c>
      <c r="J94" s="419" t="n">
        <f aca="false">J93+0.5*(vit_x+G93)*pas*(K93&gt;=0)</f>
        <v>8.1903009297815</v>
      </c>
      <c r="K94" s="420" t="n">
        <f aca="false">K93+0.5*(vit_z+H93)*pas</f>
        <v>42.7566192634275</v>
      </c>
      <c r="L94" s="418" t="n">
        <f aca="false">SQRT(pos_x^2+pos_z^2)</f>
        <v>43.5340041824558</v>
      </c>
      <c r="M94" s="419" t="n">
        <f aca="false">IF(AND(L93&gt;L_rampe,G94&gt;0),ATAN2(G94,H94),$M$4)</f>
        <v>1.37291034151821</v>
      </c>
      <c r="N94" s="418" t="n">
        <f aca="false">DEGREES(Beta)</f>
        <v>78.6619682188576</v>
      </c>
      <c r="O94" s="402"/>
      <c r="P94" s="421" t="n">
        <f aca="false">MATCH(t-pas/2-T_ini,CdP_t)</f>
        <v>9</v>
      </c>
      <c r="Q94" s="418" t="n">
        <f aca="false">(INDEX(CdP,2,i_P+1)-INDEX(CdP,2,i_P+0))/(INDEX(CdP,1,i_P+1)-INDEX(CdP,1,i_P+0))*(t-pas/2-T_ini-INDEX(CdP,1,i_P+0))+INDEX(CdP,2,i_P+0)</f>
        <v>30.2499999999999</v>
      </c>
      <c r="R94" s="419" t="n">
        <f aca="false">Poussee/(g*ISP)</f>
        <v>0.0160551811288963</v>
      </c>
      <c r="S94" s="420" t="n">
        <f aca="false">S93-Débit*pas</f>
        <v>1.48547295703454</v>
      </c>
      <c r="T94" s="418" t="n">
        <f aca="false">m*g</f>
        <v>14.5724897085088</v>
      </c>
      <c r="U94" s="422" t="n">
        <f aca="false">IF(pos_xz&lt;L_rampe,Poids*COS(Beta),0)</f>
        <v>0</v>
      </c>
      <c r="V94" s="419" t="n">
        <f aca="false">Rho_moyen*(20000-Alt_rampe-pos_z)/(20000+Alt_rampe+pos_z)</f>
        <v>1.2197734875404</v>
      </c>
      <c r="W94" s="418" t="n">
        <f aca="false">1/2*Rho*Sref*Cx*vit_xz^2</f>
        <v>7.15036670989585</v>
      </c>
      <c r="X94" s="402"/>
      <c r="Y94" s="423" t="str">
        <f aca="false">IF(AND(pos_z&lt;=0,K93&gt;0),"Impact balistique","") &amp; IF(AND(H95&lt;0,vit_z&gt;=0),"Apogée","") &amp; IF(AND(Poussee=0,Q93&gt;0),"Fin de propulsion","") &amp; IF(AND(L95&gt;L_rampe,pos_xz&lt;=L_rampe),"Sortie de rampe","")</f>
        <v/>
      </c>
      <c r="Z94" s="424" t="str">
        <f aca="false">IF(ABS(t-T_para)&lt;pas/2,"Para","")</f>
        <v/>
      </c>
      <c r="AA94" s="425" t="str">
        <f aca="false">IF(ABS(t-T_satellite)&lt;pas/2,"Satellite","")</f>
        <v/>
      </c>
      <c r="AB94" s="413"/>
      <c r="AC94" s="421" t="e">
        <f aca="false">IF(ABS(t-ROUND(t,0))&lt;0.001,t,NA())</f>
        <v>#N/A</v>
      </c>
      <c r="AD94" s="426" t="e">
        <f aca="false">IF(ABS(t-ROUND(t,0))&lt;0.001,pos_x,NA())</f>
        <v>#N/A</v>
      </c>
      <c r="AE94" s="427" t="n">
        <f aca="false">IF(t&lt;T_para, pos_z, NA())</f>
        <v>42.7566192634275</v>
      </c>
      <c r="AF94" s="413"/>
      <c r="AG94" s="419" t="n">
        <f aca="false">IF(AND(L93&lt;L_rampe,Poussee&lt;Poids*SIN(M93)),0,(-W93+Poussee)/m-Poids*SIN(M93)/m)</f>
        <v>5.93797242393254</v>
      </c>
      <c r="AH94" s="418" t="n">
        <f aca="false">IF(AND(L93&lt;L_rampe,Poussee&lt;Poids*SIN(M93)), g*SIN(M93), (-W93+Poussee)/m)</f>
        <v>15.556979478235</v>
      </c>
    </row>
    <row r="95" customFormat="false" ht="12" hidden="false" customHeight="false" outlineLevel="0" collapsed="false">
      <c r="A95" s="417" t="n">
        <f aca="false">IF(B94+0.01&lt;=T_ini+ROUNDUP(Temps_fin_propu,0), 0.01, IF(K94&gt;0, 0.1, 0.0001))</f>
        <v>0.01</v>
      </c>
      <c r="B95" s="418" t="n">
        <f aca="false">B94+pas</f>
        <v>0.910000000000001</v>
      </c>
      <c r="C95" s="402"/>
      <c r="D95" s="419" t="n">
        <f aca="false">IF(AND(L94&lt;L_rampe,Poussee&lt;Poids*SIN(M94)),0,(-W94+Poussee)/m*COS(M94)-U94/m*SIN(M94))</f>
        <v>2.72655785156022</v>
      </c>
      <c r="E95" s="420" t="n">
        <f aca="false">IF(AND(L94&lt;L_rampe,Poussee&lt;Poids*SIN(M94)),0,(-W94+Poussee)/m*SIN(M94)+U94/m*COS(M94)-Poids/m)</f>
        <v>3.78810779263243</v>
      </c>
      <c r="F95" s="418" t="n">
        <f aca="false">SQRT(acc_x^2+acc_z^2)</f>
        <v>4.6673202554043</v>
      </c>
      <c r="G95" s="419" t="n">
        <f aca="false">G94+acc_x*pas</f>
        <v>16.0594280635385</v>
      </c>
      <c r="H95" s="420" t="n">
        <f aca="false">H94+acc_z*pas</f>
        <v>79.994766458366</v>
      </c>
      <c r="I95" s="418" t="n">
        <f aca="false">SQRT(vit_x^2+vit_z^2)</f>
        <v>81.5908566596558</v>
      </c>
      <c r="J95" s="419" t="n">
        <f aca="false">J94+0.5*(vit_x+G94)*pas*(K94&gt;=0)</f>
        <v>8.35075888252431</v>
      </c>
      <c r="K95" s="420" t="n">
        <f aca="false">K94+0.5*(vit_z+H94)*pas</f>
        <v>43.5563775226215</v>
      </c>
      <c r="L95" s="418" t="n">
        <f aca="false">SQRT(pos_x^2+pos_z^2)</f>
        <v>44.3496696358292</v>
      </c>
      <c r="M95" s="419" t="n">
        <f aca="false">IF(AND(L94&gt;L_rampe,G95&gt;0),ATAN2(G95,H95),$M$4)</f>
        <v>1.37267396494408</v>
      </c>
      <c r="N95" s="418" t="n">
        <f aca="false">DEGREES(Beta)</f>
        <v>78.6484248387842</v>
      </c>
      <c r="O95" s="402"/>
      <c r="P95" s="421" t="n">
        <f aca="false">MATCH(t-pas/2-T_ini,CdP_t)</f>
        <v>9</v>
      </c>
      <c r="Q95" s="418" t="n">
        <f aca="false">(INDEX(CdP,2,i_P+1)-INDEX(CdP,2,i_P+0))/(INDEX(CdP,1,i_P+1)-INDEX(CdP,1,i_P+0))*(t-pas/2-T_ini-INDEX(CdP,1,i_P+0))+INDEX(CdP,2,i_P+0)</f>
        <v>27.7499999999999</v>
      </c>
      <c r="R95" s="419" t="n">
        <f aca="false">Poussee/(g*ISP)</f>
        <v>0.0147283066554338</v>
      </c>
      <c r="S95" s="420" t="n">
        <f aca="false">S94-Débit*pas</f>
        <v>1.48532567396798</v>
      </c>
      <c r="T95" s="418" t="n">
        <f aca="false">m*g</f>
        <v>14.5710448616259</v>
      </c>
      <c r="U95" s="422" t="n">
        <f aca="false">IF(pos_xz&lt;L_rampe,Poids*COS(Beta),0)</f>
        <v>0</v>
      </c>
      <c r="V95" s="419" t="n">
        <f aca="false">Rho_moyen*(20000-Alt_rampe-pos_z)/(20000+Alt_rampe+pos_z)</f>
        <v>1.2196759385949</v>
      </c>
      <c r="W95" s="418" t="n">
        <f aca="false">1/2*Rho*Sref*Cx*vit_xz^2</f>
        <v>7.15725001021465</v>
      </c>
      <c r="X95" s="402"/>
      <c r="Y95" s="423" t="str">
        <f aca="false">IF(AND(pos_z&lt;=0,K94&gt;0),"Impact balistique","") &amp; IF(AND(H96&lt;0,vit_z&gt;=0),"Apogée","") &amp; IF(AND(Poussee=0,Q94&gt;0),"Fin de propulsion","") &amp; IF(AND(L96&gt;L_rampe,pos_xz&lt;=L_rampe),"Sortie de rampe","")</f>
        <v/>
      </c>
      <c r="Z95" s="424" t="str">
        <f aca="false">IF(ABS(t-T_para)&lt;pas/2,"Para","")</f>
        <v/>
      </c>
      <c r="AA95" s="425" t="str">
        <f aca="false">IF(ABS(t-T_satellite)&lt;pas/2,"Satellite","")</f>
        <v/>
      </c>
      <c r="AB95" s="413"/>
      <c r="AC95" s="421" t="e">
        <f aca="false">IF(ABS(t-ROUND(t,0))&lt;0.001,t,NA())</f>
        <v>#N/A</v>
      </c>
      <c r="AD95" s="426" t="e">
        <f aca="false">IF(ABS(t-ROUND(t,0))&lt;0.001,pos_x,NA())</f>
        <v>#N/A</v>
      </c>
      <c r="AE95" s="427" t="n">
        <f aca="false">IF(t&lt;T_para, pos_z, NA())</f>
        <v>43.5563775226215</v>
      </c>
      <c r="AF95" s="413"/>
      <c r="AG95" s="419" t="n">
        <f aca="false">IF(AND(L94&lt;L_rampe,Poussee&lt;Poids*SIN(M94)),0,(-W94+Poussee)/m-Poids*SIN(M94)/m)</f>
        <v>4.25021364072297</v>
      </c>
      <c r="AH95" s="418" t="n">
        <f aca="false">IF(AND(L94&lt;L_rampe,Poussee&lt;Poids*SIN(M94)), g*SIN(M94), (-W94+Poussee)/m)</f>
        <v>13.8687653833337</v>
      </c>
    </row>
    <row r="96" customFormat="false" ht="12" hidden="false" customHeight="false" outlineLevel="0" collapsed="false">
      <c r="A96" s="417" t="n">
        <f aca="false">IF(B95+0.01&lt;=T_ini+ROUNDUP(Temps_fin_propu,0), 0.01, IF(K95&gt;0, 0.1, 0.0001))</f>
        <v>0.01</v>
      </c>
      <c r="B96" s="418" t="n">
        <f aca="false">B95+pas</f>
        <v>0.920000000000001</v>
      </c>
      <c r="C96" s="402"/>
      <c r="D96" s="419" t="n">
        <f aca="false">IF(AND(L95&lt;L_rampe,Poussee&lt;Poids*SIN(M95)),0,(-W95+Poussee)/m*COS(M95)-U95/m*SIN(M95))</f>
        <v>2.39778733359649</v>
      </c>
      <c r="E96" s="420" t="n">
        <f aca="false">IF(AND(L95&lt;L_rampe,Poussee&lt;Poids*SIN(M95)),0,(-W95+Poussee)/m*SIN(M95)+U95/m*COS(M95)-Poids/m)</f>
        <v>2.13379009071739</v>
      </c>
      <c r="F96" s="418" t="n">
        <f aca="false">SQRT(acc_x^2+acc_z^2)</f>
        <v>3.20974208440483</v>
      </c>
      <c r="G96" s="419" t="n">
        <f aca="false">G95+acc_x*pas</f>
        <v>16.0834059368744</v>
      </c>
      <c r="H96" s="420" t="n">
        <f aca="false">H95+acc_z*pas</f>
        <v>80.0161043592732</v>
      </c>
      <c r="I96" s="418" t="n">
        <f aca="false">SQRT(vit_x^2+vit_z^2)</f>
        <v>81.6164989653709</v>
      </c>
      <c r="J96" s="419" t="n">
        <f aca="false">J95+0.5*(vit_x+G95)*pas*(K95&gt;=0)</f>
        <v>8.51147305252637</v>
      </c>
      <c r="K96" s="420" t="n">
        <f aca="false">K95+0.5*(vit_z+H95)*pas</f>
        <v>44.3564318767097</v>
      </c>
      <c r="L96" s="418" t="n">
        <f aca="false">SQRT(pos_x^2+pos_z^2)</f>
        <v>45.1656752673651</v>
      </c>
      <c r="M96" s="419" t="n">
        <f aca="false">IF(AND(L95&gt;L_rampe,G96&gt;0),ATAN2(G96,H96),$M$4)</f>
        <v>1.37243738407027</v>
      </c>
      <c r="N96" s="418" t="n">
        <f aca="false">DEGREES(Beta)</f>
        <v>78.6348697532017</v>
      </c>
      <c r="O96" s="402"/>
      <c r="P96" s="421" t="n">
        <f aca="false">MATCH(t-pas/2-T_ini,CdP_t)</f>
        <v>9</v>
      </c>
      <c r="Q96" s="418" t="n">
        <f aca="false">(INDEX(CdP,2,i_P+1)-INDEX(CdP,2,i_P+0))/(INDEX(CdP,1,i_P+1)-INDEX(CdP,1,i_P+0))*(t-pas/2-T_ini-INDEX(CdP,1,i_P+0))+INDEX(CdP,2,i_P+0)</f>
        <v>25.2499999999999</v>
      </c>
      <c r="R96" s="419" t="n">
        <f aca="false">Poussee/(g*ISP)</f>
        <v>0.0134014321819713</v>
      </c>
      <c r="S96" s="420" t="n">
        <f aca="false">S95-Débit*pas</f>
        <v>1.48519165964617</v>
      </c>
      <c r="T96" s="418" t="n">
        <f aca="false">m*g</f>
        <v>14.5697301811289</v>
      </c>
      <c r="U96" s="422" t="n">
        <f aca="false">IF(pos_xz&lt;L_rampe,Poids*COS(Beta),0)</f>
        <v>0</v>
      </c>
      <c r="V96" s="419" t="n">
        <f aca="false">Rho_moyen*(20000-Alt_rampe-pos_z)/(20000+Alt_rampe+pos_z)</f>
        <v>1.21957836132244</v>
      </c>
      <c r="W96" s="418" t="n">
        <f aca="false">1/2*Rho*Sref*Cx*vit_xz^2</f>
        <v>7.1611765074251</v>
      </c>
      <c r="X96" s="402"/>
      <c r="Y96" s="423" t="str">
        <f aca="false">IF(AND(pos_z&lt;=0,K95&gt;0),"Impact balistique","") &amp; IF(AND(H97&lt;0,vit_z&gt;=0),"Apogée","") &amp; IF(AND(Poussee=0,Q95&gt;0),"Fin de propulsion","") &amp; IF(AND(L97&gt;L_rampe,pos_xz&lt;=L_rampe),"Sortie de rampe","")</f>
        <v/>
      </c>
      <c r="Z96" s="424" t="str">
        <f aca="false">IF(ABS(t-T_para)&lt;pas/2,"Para","")</f>
        <v/>
      </c>
      <c r="AA96" s="425" t="str">
        <f aca="false">IF(ABS(t-T_satellite)&lt;pas/2,"Satellite","")</f>
        <v/>
      </c>
      <c r="AB96" s="413"/>
      <c r="AC96" s="421" t="e">
        <f aca="false">IF(ABS(t-ROUND(t,0))&lt;0.001,t,NA())</f>
        <v>#N/A</v>
      </c>
      <c r="AD96" s="426" t="e">
        <f aca="false">IF(ABS(t-ROUND(t,0))&lt;0.001,pos_x,NA())</f>
        <v>#N/A</v>
      </c>
      <c r="AE96" s="427" t="n">
        <f aca="false">IF(t&lt;T_para, pos_z, NA())</f>
        <v>44.3564318767097</v>
      </c>
      <c r="AF96" s="413"/>
      <c r="AG96" s="419" t="n">
        <f aca="false">IF(AND(L95&lt;L_rampe,Poussee&lt;Poids*SIN(M95)),0,(-W95+Poussee)/m-Poids*SIN(M95)/m)</f>
        <v>2.56400216566316</v>
      </c>
      <c r="AH96" s="418" t="n">
        <f aca="false">IF(AND(L95&lt;L_rampe,Poussee&lt;Poids*SIN(M95)), g*SIN(M95), (-W95+Poussee)/m)</f>
        <v>12.1820977597569</v>
      </c>
    </row>
    <row r="97" customFormat="false" ht="12" hidden="false" customHeight="false" outlineLevel="0" collapsed="false">
      <c r="A97" s="417" t="n">
        <f aca="false">IF(B96+0.01&lt;=T_ini+ROUNDUP(Temps_fin_propu,0), 0.01, IF(K96&gt;0, 0.1, 0.0001))</f>
        <v>0.01</v>
      </c>
      <c r="B97" s="418" t="n">
        <f aca="false">B96+pas</f>
        <v>0.930000000000001</v>
      </c>
      <c r="C97" s="402"/>
      <c r="D97" s="419" t="n">
        <f aca="false">IF(AND(L96&lt;L_rampe,Poussee&lt;Poids*SIN(M96)),0,(-W96+Poussee)/m*COS(M96)-U96/m*SIN(M96))</f>
        <v>2.08513863118785</v>
      </c>
      <c r="E97" s="420" t="n">
        <f aca="false">IF(AND(L96&lt;L_rampe,Poussee&lt;Poids*SIN(M96)),0,(-W96+Poussee)/m*SIN(M96)+U96/m*COS(M96)-Poids/m)</f>
        <v>0.563715055848586</v>
      </c>
      <c r="F97" s="418" t="n">
        <f aca="false">SQRT(acc_x^2+acc_z^2)</f>
        <v>2.15999485542496</v>
      </c>
      <c r="G97" s="419" t="n">
        <f aca="false">G96+acc_x*pas</f>
        <v>16.1042573231863</v>
      </c>
      <c r="H97" s="420" t="n">
        <f aca="false">H96+acc_z*pas</f>
        <v>80.0217415098317</v>
      </c>
      <c r="I97" s="418" t="n">
        <f aca="false">SQRT(vit_x^2+vit_z^2)</f>
        <v>81.6261368570002</v>
      </c>
      <c r="J97" s="419" t="n">
        <f aca="false">J96+0.5*(vit_x+G96)*pas*(K96&gt;=0)</f>
        <v>8.67241136882667</v>
      </c>
      <c r="K97" s="420" t="n">
        <f aca="false">K96+0.5*(vit_z+H96)*pas</f>
        <v>45.1566211060552</v>
      </c>
      <c r="L97" s="418" t="n">
        <f aca="false">SQRT(pos_x^2+pos_z^2)</f>
        <v>45.9818567335638</v>
      </c>
      <c r="M97" s="419" t="n">
        <f aca="false">IF(AND(L96&gt;L_rampe,G97&gt;0),ATAN2(G97,H97),$M$4)</f>
        <v>1.37220055237124</v>
      </c>
      <c r="N97" s="418" t="n">
        <f aca="false">DEGREES(Beta)</f>
        <v>78.6213002963926</v>
      </c>
      <c r="O97" s="402"/>
      <c r="P97" s="421" t="n">
        <f aca="false">MATCH(t-pas/2-T_ini,CdP_t)</f>
        <v>10</v>
      </c>
      <c r="Q97" s="418" t="n">
        <f aca="false">(INDEX(CdP,2,i_P+1)-INDEX(CdP,2,i_P+0))/(INDEX(CdP,1,i_P+1)-INDEX(CdP,1,i_P+0))*(t-pas/2-T_ini-INDEX(CdP,1,i_P+0))+INDEX(CdP,2,i_P+0)</f>
        <v>22.8749999999999</v>
      </c>
      <c r="R97" s="419" t="n">
        <f aca="false">Poussee/(g*ISP)</f>
        <v>0.0121409014321819</v>
      </c>
      <c r="S97" s="420" t="n">
        <f aca="false">S96-Débit*pas</f>
        <v>1.48507025063184</v>
      </c>
      <c r="T97" s="418" t="n">
        <f aca="false">m*g</f>
        <v>14.5685391586984</v>
      </c>
      <c r="U97" s="422" t="n">
        <f aca="false">IF(pos_xz&lt;L_rampe,Poids*COS(Beta),0)</f>
        <v>0</v>
      </c>
      <c r="V97" s="419" t="n">
        <f aca="false">Rho_moyen*(20000-Alt_rampe-pos_z)/(20000+Alt_rampe+pos_z)</f>
        <v>1.21948077539123</v>
      </c>
      <c r="W97" s="418" t="n">
        <f aca="false">1/2*Rho*Sref*Cx*vit_xz^2</f>
        <v>7.16229475381424</v>
      </c>
      <c r="X97" s="402"/>
      <c r="Y97" s="423" t="str">
        <f aca="false">IF(AND(pos_z&lt;=0,K96&gt;0),"Impact balistique","") &amp; IF(AND(H98&lt;0,vit_z&gt;=0),"Apogée","") &amp; IF(AND(Poussee=0,Q96&gt;0),"Fin de propulsion","") &amp; IF(AND(L98&gt;L_rampe,pos_xz&lt;=L_rampe),"Sortie de rampe","")</f>
        <v/>
      </c>
      <c r="Z97" s="424" t="str">
        <f aca="false">IF(ABS(t-T_para)&lt;pas/2,"Para","")</f>
        <v/>
      </c>
      <c r="AA97" s="425" t="str">
        <f aca="false">IF(ABS(t-T_satellite)&lt;pas/2,"Satellite","")</f>
        <v/>
      </c>
      <c r="AB97" s="413"/>
      <c r="AC97" s="421" t="e">
        <f aca="false">IF(ABS(t-ROUND(t,0))&lt;0.001,t,NA())</f>
        <v>#N/A</v>
      </c>
      <c r="AD97" s="426" t="e">
        <f aca="false">IF(ABS(t-ROUND(t,0))&lt;0.001,pos_x,NA())</f>
        <v>#N/A</v>
      </c>
      <c r="AE97" s="427" t="n">
        <f aca="false">IF(t&lt;T_para, pos_z, NA())</f>
        <v>45.1566211060552</v>
      </c>
      <c r="AF97" s="413"/>
      <c r="AG97" s="419" t="n">
        <f aca="false">IF(AND(L96&lt;L_rampe,Poussee&lt;Poids*SIN(M96)),0,(-W96+Poussee)/m-Poids*SIN(M96)/m)</f>
        <v>0.96356024547309</v>
      </c>
      <c r="AH97" s="418" t="n">
        <f aca="false">IF(AND(L96&lt;L_rampe,Poussee&lt;Poids*SIN(M96)), g*SIN(M96), (-W96+Poussee)/m)</f>
        <v>10.5811987587046</v>
      </c>
    </row>
    <row r="98" customFormat="false" ht="12" hidden="false" customHeight="false" outlineLevel="0" collapsed="false">
      <c r="A98" s="417" t="n">
        <f aca="false">IF(B97+0.01&lt;=T_ini+ROUNDUP(Temps_fin_propu,0), 0.01, IF(K97&gt;0, 0.1, 0.0001))</f>
        <v>0.01</v>
      </c>
      <c r="B98" s="418" t="n">
        <f aca="false">B97+pas</f>
        <v>0.940000000000001</v>
      </c>
      <c r="C98" s="402"/>
      <c r="D98" s="419" t="n">
        <f aca="false">IF(AND(L97&lt;L_rampe,Poussee&lt;Poids*SIN(M97)),0,(-W97+Poussee)/m*COS(M97)-U97/m*SIN(M97))</f>
        <v>1.78866418590258</v>
      </c>
      <c r="E98" s="420" t="n">
        <f aca="false">IF(AND(L97&lt;L_rampe,Poussee&lt;Poids*SIN(M97)),0,(-W97+Poussee)/m*SIN(M97)+U97/m*COS(M97)-Poids/m)</f>
        <v>-0.922162438803435</v>
      </c>
      <c r="F98" s="418" t="n">
        <f aca="false">SQRT(acc_x^2+acc_z^2)</f>
        <v>2.0123874213159</v>
      </c>
      <c r="G98" s="419" t="n">
        <f aca="false">G97+acc_x*pas</f>
        <v>16.1221439650453</v>
      </c>
      <c r="H98" s="420" t="n">
        <f aca="false">H97+acc_z*pas</f>
        <v>80.0125198854437</v>
      </c>
      <c r="I98" s="418" t="n">
        <f aca="false">SQRT(vit_x^2+vit_z^2)</f>
        <v>81.6206276896237</v>
      </c>
      <c r="J98" s="419" t="n">
        <f aca="false">J97+0.5*(vit_x+G97)*pas*(K97&gt;=0)</f>
        <v>8.83354337526783</v>
      </c>
      <c r="K98" s="420" t="n">
        <f aca="false">K97+0.5*(vit_z+H97)*pas</f>
        <v>45.9567924130316</v>
      </c>
      <c r="L98" s="418" t="n">
        <f aca="false">SQRT(pos_x^2+pos_z^2)</f>
        <v>46.7980582658855</v>
      </c>
      <c r="M98" s="419" t="n">
        <f aca="false">IF(AND(L97&gt;L_rampe,G98&gt;0),ATAN2(G98,H98),$M$4)</f>
        <v>1.37196342562645</v>
      </c>
      <c r="N98" s="418" t="n">
        <f aca="false">DEGREES(Beta)</f>
        <v>78.6077139347064</v>
      </c>
      <c r="O98" s="402"/>
      <c r="P98" s="421" t="n">
        <f aca="false">MATCH(t-pas/2-T_ini,CdP_t)</f>
        <v>10</v>
      </c>
      <c r="Q98" s="418" t="n">
        <f aca="false">(INDEX(CdP,2,i_P+1)-INDEX(CdP,2,i_P+0))/(INDEX(CdP,1,i_P+1)-INDEX(CdP,1,i_P+0))*(t-pas/2-T_ini-INDEX(CdP,1,i_P+0))+INDEX(CdP,2,i_P+0)</f>
        <v>20.6249999999999</v>
      </c>
      <c r="R98" s="419" t="n">
        <f aca="false">Poussee/(g*ISP)</f>
        <v>0.0109467144060656</v>
      </c>
      <c r="S98" s="420" t="n">
        <f aca="false">S97-Débit*pas</f>
        <v>1.48496078348778</v>
      </c>
      <c r="T98" s="418" t="n">
        <f aca="false">m*g</f>
        <v>14.5674652860151</v>
      </c>
      <c r="U98" s="422" t="n">
        <f aca="false">IF(pos_xz&lt;L_rampe,Poids*COS(Beta),0)</f>
        <v>0</v>
      </c>
      <c r="V98" s="419" t="n">
        <f aca="false">Rho_moyen*(20000-Alt_rampe-pos_z)/(20000+Alt_rampe+pos_z)</f>
        <v>1.21938319943628</v>
      </c>
      <c r="W98" s="418" t="n">
        <f aca="false">1/2*Rho*Sref*Cx*vit_xz^2</f>
        <v>7.16075497242732</v>
      </c>
      <c r="X98" s="402"/>
      <c r="Y98" s="423" t="str">
        <f aca="false">IF(AND(pos_z&lt;=0,K97&gt;0),"Impact balistique","") &amp; IF(AND(H99&lt;0,vit_z&gt;=0),"Apogée","") &amp; IF(AND(Poussee=0,Q97&gt;0),"Fin de propulsion","") &amp; IF(AND(L99&gt;L_rampe,pos_xz&lt;=L_rampe),"Sortie de rampe","")</f>
        <v/>
      </c>
      <c r="Z98" s="424" t="str">
        <f aca="false">IF(ABS(t-T_para)&lt;pas/2,"Para","")</f>
        <v/>
      </c>
      <c r="AA98" s="425" t="str">
        <f aca="false">IF(ABS(t-T_satellite)&lt;pas/2,"Satellite","")</f>
        <v/>
      </c>
      <c r="AB98" s="413"/>
      <c r="AC98" s="421" t="e">
        <f aca="false">IF(ABS(t-ROUND(t,0))&lt;0.001,t,NA())</f>
        <v>#N/A</v>
      </c>
      <c r="AD98" s="426" t="e">
        <f aca="false">IF(ABS(t-ROUND(t,0))&lt;0.001,pos_x,NA())</f>
        <v>#N/A</v>
      </c>
      <c r="AE98" s="427" t="n">
        <f aca="false">IF(t&lt;T_para, pos_z, NA())</f>
        <v>45.9567924130316</v>
      </c>
      <c r="AF98" s="413"/>
      <c r="AG98" s="419" t="n">
        <f aca="false">IF(AND(L97&lt;L_rampe,Poussee&lt;Poids*SIN(M97)),0,(-W97+Poussee)/m-Poids*SIN(M97)/m)</f>
        <v>-0.55114621034039</v>
      </c>
      <c r="AH98" s="418" t="n">
        <f aca="false">IF(AND(L97&lt;L_rampe,Poussee&lt;Poids*SIN(M97)), g*SIN(M97), (-W97+Poussee)/m)</f>
        <v>9.06603419826702</v>
      </c>
    </row>
    <row r="99" customFormat="false" ht="12" hidden="false" customHeight="false" outlineLevel="0" collapsed="false">
      <c r="A99" s="417" t="n">
        <f aca="false">IF(B98+0.01&lt;=T_ini+ROUNDUP(Temps_fin_propu,0), 0.01, IF(K98&gt;0, 0.1, 0.0001))</f>
        <v>0.01</v>
      </c>
      <c r="B99" s="418" t="n">
        <f aca="false">B98+pas</f>
        <v>0.950000000000001</v>
      </c>
      <c r="C99" s="402"/>
      <c r="D99" s="419" t="n">
        <f aca="false">IF(AND(L98&lt;L_rampe,Poussee&lt;Poids*SIN(M98)),0,(-W98+Poussee)/m*COS(M98)-U98/m*SIN(M98))</f>
        <v>1.49178571649906</v>
      </c>
      <c r="E99" s="420" t="n">
        <f aca="false">IF(AND(L98&lt;L_rampe,Poussee&lt;Poids*SIN(M98)),0,(-W98+Poussee)/m*SIN(M98)+U98/m*COS(M98)-Poids/m)</f>
        <v>-2.4064229965325</v>
      </c>
      <c r="F99" s="418" t="n">
        <f aca="false">SQRT(acc_x^2+acc_z^2)</f>
        <v>2.83130645854366</v>
      </c>
      <c r="G99" s="419" t="n">
        <f aca="false">G98+acc_x*pas</f>
        <v>16.1370618222103</v>
      </c>
      <c r="H99" s="420" t="n">
        <f aca="false">H98+acc_z*pas</f>
        <v>79.9884556554784</v>
      </c>
      <c r="I99" s="418" t="n">
        <f aca="false">SQRT(vit_x^2+vit_z^2)</f>
        <v>81.5999865343265</v>
      </c>
      <c r="J99" s="419" t="n">
        <f aca="false">J98+0.5*(vit_x+G98)*pas*(K98&gt;=0)</f>
        <v>8.99483940420411</v>
      </c>
      <c r="K99" s="420" t="n">
        <f aca="false">K98+0.5*(vit_z+H98)*pas</f>
        <v>46.7567972907362</v>
      </c>
      <c r="L99" s="418" t="n">
        <f aca="false">SQRT(pos_x^2+pos_z^2)</f>
        <v>47.6141284577847</v>
      </c>
      <c r="M99" s="419" t="n">
        <f aca="false">IF(AND(L98&gt;L_rampe,G99&gt;0),ATAN2(G99,H99),$M$4)</f>
        <v>1.3717259594339</v>
      </c>
      <c r="N99" s="418" t="n">
        <f aca="false">DEGREES(Beta)</f>
        <v>78.5941081240959</v>
      </c>
      <c r="O99" s="402"/>
      <c r="P99" s="421" t="n">
        <f aca="false">MATCH(t-pas/2-T_ini,CdP_t)</f>
        <v>10</v>
      </c>
      <c r="Q99" s="418" t="n">
        <f aca="false">(INDEX(CdP,2,i_P+1)-INDEX(CdP,2,i_P+0))/(INDEX(CdP,1,i_P+1)-INDEX(CdP,1,i_P+0))*(t-pas/2-T_ini-INDEX(CdP,1,i_P+0))+INDEX(CdP,2,i_P+0)</f>
        <v>18.3749999999999</v>
      </c>
      <c r="R99" s="419" t="n">
        <f aca="false">Poussee/(g*ISP)</f>
        <v>0.00975252737994935</v>
      </c>
      <c r="S99" s="420" t="n">
        <f aca="false">S98-Débit*pas</f>
        <v>1.48486325821398</v>
      </c>
      <c r="T99" s="418" t="n">
        <f aca="false">m*g</f>
        <v>14.5665085630792</v>
      </c>
      <c r="U99" s="422" t="n">
        <f aca="false">IF(pos_xz&lt;L_rampe,Poids*COS(Beta),0)</f>
        <v>0</v>
      </c>
      <c r="V99" s="419" t="n">
        <f aca="false">Rho_moyen*(20000-Alt_rampe-pos_z)/(20000+Alt_rampe+pos_z)</f>
        <v>1.21928565156346</v>
      </c>
      <c r="W99" s="418" t="n">
        <f aca="false">1/2*Rho*Sref*Cx*vit_xz^2</f>
        <v>7.15656108924435</v>
      </c>
      <c r="X99" s="402"/>
      <c r="Y99" s="423" t="str">
        <f aca="false">IF(AND(pos_z&lt;=0,K98&gt;0),"Impact balistique","") &amp; IF(AND(H100&lt;0,vit_z&gt;=0),"Apogée","") &amp; IF(AND(Poussee=0,Q98&gt;0),"Fin de propulsion","") &amp; IF(AND(L100&gt;L_rampe,pos_xz&lt;=L_rampe),"Sortie de rampe","")</f>
        <v/>
      </c>
      <c r="Z99" s="424" t="str">
        <f aca="false">IF(ABS(t-T_para)&lt;pas/2,"Para","")</f>
        <v/>
      </c>
      <c r="AA99" s="425" t="str">
        <f aca="false">IF(ABS(t-T_satellite)&lt;pas/2,"Satellite","")</f>
        <v/>
      </c>
      <c r="AB99" s="413"/>
      <c r="AC99" s="421" t="e">
        <f aca="false">IF(ABS(t-ROUND(t,0))&lt;0.001,t,NA())</f>
        <v>#N/A</v>
      </c>
      <c r="AD99" s="426" t="e">
        <f aca="false">IF(ABS(t-ROUND(t,0))&lt;0.001,pos_x,NA())</f>
        <v>#N/A</v>
      </c>
      <c r="AE99" s="427" t="n">
        <f aca="false">IF(t&lt;T_para, pos_z, NA())</f>
        <v>46.7567972907362</v>
      </c>
      <c r="AF99" s="413"/>
      <c r="AG99" s="419" t="n">
        <f aca="false">IF(AND(L98&lt;L_rampe,Poussee&lt;Poids*SIN(M98)),0,(-W98+Poussee)/m-Poids*SIN(M98)/m)</f>
        <v>-2.06434560166791</v>
      </c>
      <c r="AH99" s="418" t="n">
        <f aca="false">IF(AND(L98&lt;L_rampe,Poussee&lt;Poids*SIN(M98)), g*SIN(M98), (-W98+Poussee)/m)</f>
        <v>7.55237559117815</v>
      </c>
    </row>
    <row r="100" customFormat="false" ht="12" hidden="false" customHeight="false" outlineLevel="0" collapsed="false">
      <c r="A100" s="417" t="n">
        <f aca="false">IF(B99+0.01&lt;=T_ini+ROUNDUP(Temps_fin_propu,0), 0.01, IF(K99&gt;0, 0.1, 0.0001))</f>
        <v>0.01</v>
      </c>
      <c r="B100" s="418" t="n">
        <f aca="false">B99+pas</f>
        <v>0.960000000000001</v>
      </c>
      <c r="C100" s="402"/>
      <c r="D100" s="419" t="n">
        <f aca="false">IF(AND(L99&lt;L_rampe,Poussee&lt;Poids*SIN(M99)),0,(-W99+Poussee)/m*COS(M99)-U99/m*SIN(M99))</f>
        <v>1.19451003102139</v>
      </c>
      <c r="E100" s="420" t="n">
        <f aca="false">IF(AND(L99&lt;L_rampe,Poussee&lt;Poids*SIN(M99)),0,(-W99+Poussee)/m*SIN(M99)+U99/m*COS(M99)-Poids/m)</f>
        <v>-3.88903286861849</v>
      </c>
      <c r="F100" s="418" t="n">
        <f aca="false">SQRT(acc_x^2+acc_z^2)</f>
        <v>4.06834497890797</v>
      </c>
      <c r="G100" s="419" t="n">
        <f aca="false">G99+acc_x*pas</f>
        <v>16.1490069225206</v>
      </c>
      <c r="H100" s="420" t="n">
        <f aca="false">H99+acc_z*pas</f>
        <v>79.9495653267922</v>
      </c>
      <c r="I100" s="418" t="n">
        <f aca="false">SQRT(vit_x^2+vit_z^2)</f>
        <v>81.5642288048298</v>
      </c>
      <c r="J100" s="419" t="n">
        <f aca="false">J99+0.5*(vit_x+G99)*pas*(K99&gt;=0)</f>
        <v>9.15626974792777</v>
      </c>
      <c r="K100" s="420" t="n">
        <f aca="false">K99+0.5*(vit_z+H99)*pas</f>
        <v>47.5564873956476</v>
      </c>
      <c r="L100" s="418" t="n">
        <f aca="false">SQRT(pos_x^2+pos_z^2)</f>
        <v>48.4299160551534</v>
      </c>
      <c r="M100" s="419" t="n">
        <f aca="false">IF(AND(L99&gt;L_rampe,G100&gt;0),ATAN2(G100,H100),$M$4)</f>
        <v>1.3714881091616</v>
      </c>
      <c r="N100" s="418" t="n">
        <f aca="false">DEGREES(Beta)</f>
        <v>78.5804803073373</v>
      </c>
      <c r="O100" s="402"/>
      <c r="P100" s="421" t="n">
        <f aca="false">MATCH(t-pas/2-T_ini,CdP_t)</f>
        <v>10</v>
      </c>
      <c r="Q100" s="418" t="n">
        <f aca="false">(INDEX(CdP,2,i_P+1)-INDEX(CdP,2,i_P+0))/(INDEX(CdP,1,i_P+1)-INDEX(CdP,1,i_P+0))*(t-pas/2-T_ini-INDEX(CdP,1,i_P+0))+INDEX(CdP,2,i_P+0)</f>
        <v>16.1249999999999</v>
      </c>
      <c r="R100" s="419" t="n">
        <f aca="false">Poussee/(g*ISP)</f>
        <v>0.0085583403538331</v>
      </c>
      <c r="S100" s="420" t="n">
        <f aca="false">S99-Débit*pas</f>
        <v>1.48477767481044</v>
      </c>
      <c r="T100" s="418" t="n">
        <f aca="false">m*g</f>
        <v>14.5656689898905</v>
      </c>
      <c r="U100" s="422" t="n">
        <f aca="false">IF(pos_xz&lt;L_rampe,Poids*COS(Beta),0)</f>
        <v>0</v>
      </c>
      <c r="V100" s="419" t="n">
        <f aca="false">Rho_moyen*(20000-Alt_rampe-pos_z)/(20000+Alt_rampe+pos_z)</f>
        <v>1.21918814985295</v>
      </c>
      <c r="W100" s="418" t="n">
        <f aca="false">1/2*Rho*Sref*Cx*vit_xz^2</f>
        <v>7.14971856344636</v>
      </c>
      <c r="X100" s="402"/>
      <c r="Y100" s="423" t="str">
        <f aca="false">IF(AND(pos_z&lt;=0,K99&gt;0),"Impact balistique","") &amp; IF(AND(H101&lt;0,vit_z&gt;=0),"Apogée","") &amp; IF(AND(Poussee=0,Q99&gt;0),"Fin de propulsion","") &amp; IF(AND(L101&gt;L_rampe,pos_xz&lt;=L_rampe),"Sortie de rampe","")</f>
        <v/>
      </c>
      <c r="Z100" s="424" t="str">
        <f aca="false">IF(ABS(t-T_para)&lt;pas/2,"Para","")</f>
        <v/>
      </c>
      <c r="AA100" s="425" t="str">
        <f aca="false">IF(ABS(t-T_satellite)&lt;pas/2,"Satellite","")</f>
        <v/>
      </c>
      <c r="AB100" s="413"/>
      <c r="AC100" s="421" t="e">
        <f aca="false">IF(ABS(t-ROUND(t,0))&lt;0.001,t,NA())</f>
        <v>#N/A</v>
      </c>
      <c r="AD100" s="426" t="e">
        <f aca="false">IF(ABS(t-ROUND(t,0))&lt;0.001,pos_x,NA())</f>
        <v>#N/A</v>
      </c>
      <c r="AE100" s="427" t="n">
        <f aca="false">IF(t&lt;T_para, pos_z, NA())</f>
        <v>47.5564873956476</v>
      </c>
      <c r="AF100" s="413"/>
      <c r="AG100" s="419" t="n">
        <f aca="false">IF(AND(L99&lt;L_rampe,Poussee&lt;Poids*SIN(M99)),0,(-W99+Poussee)/m-Poids*SIN(M99)/m)</f>
        <v>-3.57600366531425</v>
      </c>
      <c r="AH100" s="418" t="n">
        <f aca="false">IF(AND(L99&lt;L_rampe,Poussee&lt;Poids*SIN(M99)), g*SIN(M99), (-W99+Poussee)/m)</f>
        <v>6.04025711250034</v>
      </c>
    </row>
    <row r="101" customFormat="false" ht="12" hidden="false" customHeight="false" outlineLevel="0" collapsed="false">
      <c r="A101" s="417" t="n">
        <f aca="false">IF(B100+0.01&lt;=T_ini+ROUNDUP(Temps_fin_propu,0), 0.01, IF(K100&gt;0, 0.1, 0.0001))</f>
        <v>0.01</v>
      </c>
      <c r="B101" s="418" t="n">
        <f aca="false">B100+pas</f>
        <v>0.970000000000001</v>
      </c>
      <c r="C101" s="402"/>
      <c r="D101" s="419" t="n">
        <f aca="false">IF(AND(L100&lt;L_rampe,Poussee&lt;Poids*SIN(M100)),0,(-W100+Poussee)/m*COS(M100)-U100/m*SIN(M100))</f>
        <v>0.963522238089971</v>
      </c>
      <c r="E101" s="420" t="n">
        <f aca="false">IF(AND(L100&lt;L_rampe,Poussee&lt;Poids*SIN(M100)),0,(-W100+Poussee)/m*SIN(M100)+U100/m*COS(M100)-Poids/m)</f>
        <v>-5.03985007761903</v>
      </c>
      <c r="F101" s="418" t="n">
        <f aca="false">SQRT(acc_x^2+acc_z^2)</f>
        <v>5.13112696278025</v>
      </c>
      <c r="G101" s="419" t="n">
        <f aca="false">G100+acc_x*pas</f>
        <v>16.1586421449015</v>
      </c>
      <c r="H101" s="420" t="n">
        <f aca="false">H100+acc_z*pas</f>
        <v>79.899166826016</v>
      </c>
      <c r="I101" s="418" t="n">
        <f aca="false">SQRT(vit_x^2+vit_z^2)</f>
        <v>81.5167380079608</v>
      </c>
      <c r="J101" s="419" t="n">
        <f aca="false">J100+0.5*(vit_x+G100)*pas*(K100&gt;=0)</f>
        <v>9.31780799326488</v>
      </c>
      <c r="K101" s="420" t="n">
        <f aca="false">K100+0.5*(vit_z+H100)*pas</f>
        <v>48.3557310564116</v>
      </c>
      <c r="L101" s="418" t="n">
        <f aca="false">SQRT(pos_x^2+pos_z^2)</f>
        <v>49.2452867978181</v>
      </c>
      <c r="M101" s="419" t="n">
        <f aca="false">IF(AND(L100&gt;L_rampe,G101&gt;0),ATAN2(G101,H101),$M$4)</f>
        <v>1.37124983974283</v>
      </c>
      <c r="N101" s="418" t="n">
        <f aca="false">DEGREES(Beta)</f>
        <v>78.5668284752547</v>
      </c>
      <c r="O101" s="402"/>
      <c r="P101" s="421" t="n">
        <f aca="false">MATCH(t-pas/2-T_ini,CdP_t)</f>
        <v>11</v>
      </c>
      <c r="Q101" s="418" t="n">
        <f aca="false">(INDEX(CdP,2,i_P+1)-INDEX(CdP,2,i_P+0))/(INDEX(CdP,1,i_P+1)-INDEX(CdP,1,i_P+0))*(t-pas/2-T_ini-INDEX(CdP,1,i_P+0))+INDEX(CdP,2,i_P+0)</f>
        <v>14.3749999999999</v>
      </c>
      <c r="R101" s="419" t="n">
        <f aca="false">Poussee/(g*ISP)</f>
        <v>0.00762952822240937</v>
      </c>
      <c r="S101" s="420" t="n">
        <f aca="false">S100-Débit*pas</f>
        <v>1.48470137952822</v>
      </c>
      <c r="T101" s="418" t="n">
        <f aca="false">m*g</f>
        <v>14.5649205331718</v>
      </c>
      <c r="U101" s="422" t="n">
        <f aca="false">IF(pos_xz&lt;L_rampe,Poids*COS(Beta),0)</f>
        <v>0</v>
      </c>
      <c r="V101" s="419" t="n">
        <f aca="false">Rho_moyen*(20000-Alt_rampe-pos_z)/(20000+Alt_rampe+pos_z)</f>
        <v>1.21909071034665</v>
      </c>
      <c r="W101" s="418" t="n">
        <f aca="false">1/2*Rho*Sref*Cx*vit_xz^2</f>
        <v>7.14082438377105</v>
      </c>
      <c r="X101" s="402"/>
      <c r="Y101" s="423" t="str">
        <f aca="false">IF(AND(pos_z&lt;=0,K100&gt;0),"Impact balistique","") &amp; IF(AND(H102&lt;0,vit_z&gt;=0),"Apogée","") &amp; IF(AND(Poussee=0,Q100&gt;0),"Fin de propulsion","") &amp; IF(AND(L102&gt;L_rampe,pos_xz&lt;=L_rampe),"Sortie de rampe","")</f>
        <v/>
      </c>
      <c r="Z101" s="424" t="str">
        <f aca="false">IF(ABS(t-T_para)&lt;pas/2,"Para","")</f>
        <v/>
      </c>
      <c r="AA101" s="425" t="str">
        <f aca="false">IF(ABS(t-T_satellite)&lt;pas/2,"Satellite","")</f>
        <v/>
      </c>
      <c r="AB101" s="413"/>
      <c r="AC101" s="421" t="e">
        <f aca="false">IF(ABS(t-ROUND(t,0))&lt;0.001,t,NA())</f>
        <v>#N/A</v>
      </c>
      <c r="AD101" s="426" t="e">
        <f aca="false">IF(ABS(t-ROUND(t,0))&lt;0.001,pos_x,NA())</f>
        <v>#N/A</v>
      </c>
      <c r="AE101" s="427" t="n">
        <f aca="false">IF(t&lt;T_para, pos_z, NA())</f>
        <v>48.3557310564116</v>
      </c>
      <c r="AF101" s="413"/>
      <c r="AG101" s="419" t="n">
        <f aca="false">IF(AND(L100&lt;L_rampe,Poussee&lt;Poids*SIN(M100)),0,(-W100+Poussee)/m-Poids*SIN(M100)/m)</f>
        <v>-4.74931108159985</v>
      </c>
      <c r="AH101" s="418" t="n">
        <f aca="false">IF(AND(L100&lt;L_rampe,Poussee&lt;Poids*SIN(M100)), g*SIN(M100), (-W100+Poussee)/m)</f>
        <v>4.86648799292519</v>
      </c>
    </row>
    <row r="102" customFormat="false" ht="12" hidden="false" customHeight="false" outlineLevel="0" collapsed="false">
      <c r="A102" s="417" t="n">
        <f aca="false">IF(B101+0.01&lt;=T_ini+ROUNDUP(Temps_fin_propu,0), 0.01, IF(K101&gt;0, 0.1, 0.0001))</f>
        <v>0.01</v>
      </c>
      <c r="B102" s="418" t="n">
        <f aca="false">B101+pas</f>
        <v>0.980000000000001</v>
      </c>
      <c r="C102" s="402"/>
      <c r="D102" s="419" t="n">
        <f aca="false">IF(AND(L101&lt;L_rampe,Poussee&lt;Poids*SIN(M101)),0,(-W101+Poussee)/m*COS(M101)-U101/m*SIN(M101))</f>
        <v>0.798994271915131</v>
      </c>
      <c r="E102" s="420" t="n">
        <f aca="false">IF(AND(L101&lt;L_rampe,Poussee&lt;Poids*SIN(M101)),0,(-W101+Poussee)/m*SIN(M101)+U101/m*COS(M101)-Poids/m)</f>
        <v>-5.85923631253747</v>
      </c>
      <c r="F102" s="418" t="n">
        <f aca="false">SQRT(acc_x^2+acc_z^2)</f>
        <v>5.91346277680945</v>
      </c>
      <c r="G102" s="419" t="n">
        <f aca="false">G101+acc_x*pas</f>
        <v>16.1666320876206</v>
      </c>
      <c r="H102" s="420" t="n">
        <f aca="false">H101+acc_z*pas</f>
        <v>79.8405744628906</v>
      </c>
      <c r="I102" s="418" t="n">
        <f aca="false">SQRT(vit_x^2+vit_z^2)</f>
        <v>81.4608944440267</v>
      </c>
      <c r="J102" s="419" t="n">
        <f aca="false">J101+0.5*(vit_x+G101)*pas*(K101&gt;=0)</f>
        <v>9.47943436442749</v>
      </c>
      <c r="K102" s="420" t="n">
        <f aca="false">K101+0.5*(vit_z+H101)*pas</f>
        <v>49.1544297628562</v>
      </c>
      <c r="L102" s="418" t="n">
        <f aca="false">SQRT(pos_x^2+pos_z^2)</f>
        <v>50.0601402433218</v>
      </c>
      <c r="M102" s="419" t="n">
        <f aca="false">IF(AND(L101&gt;L_rampe,G102&gt;0),ATAN2(G102,H102),$M$4)</f>
        <v>1.37101112573317</v>
      </c>
      <c r="N102" s="418" t="n">
        <f aca="false">DEGREES(Beta)</f>
        <v>78.5531511699906</v>
      </c>
      <c r="O102" s="402"/>
      <c r="P102" s="421" t="n">
        <f aca="false">MATCH(t-pas/2-T_ini,CdP_t)</f>
        <v>11</v>
      </c>
      <c r="Q102" s="418" t="n">
        <f aca="false">(INDEX(CdP,2,i_P+1)-INDEX(CdP,2,i_P+0))/(INDEX(CdP,1,i_P+1)-INDEX(CdP,1,i_P+0))*(t-pas/2-T_ini-INDEX(CdP,1,i_P+0))+INDEX(CdP,2,i_P+0)</f>
        <v>13.1249999999999</v>
      </c>
      <c r="R102" s="419" t="n">
        <f aca="false">Poussee/(g*ISP)</f>
        <v>0.00696609098567812</v>
      </c>
      <c r="S102" s="420" t="n">
        <f aca="false">S101-Débit*pas</f>
        <v>1.48463171861836</v>
      </c>
      <c r="T102" s="418" t="n">
        <f aca="false">m*g</f>
        <v>14.5642371596461</v>
      </c>
      <c r="U102" s="422" t="n">
        <f aca="false">IF(pos_xz&lt;L_rampe,Poids*COS(Beta),0)</f>
        <v>0</v>
      </c>
      <c r="V102" s="419" t="n">
        <f aca="false">Rho_moyen*(20000-Alt_rampe-pos_z)/(20000+Alt_rampe+pos_z)</f>
        <v>1.21899334503902</v>
      </c>
      <c r="W102" s="418" t="n">
        <f aca="false">1/2*Rho*Sref*Cx*vit_xz^2</f>
        <v>7.130474463734</v>
      </c>
      <c r="X102" s="402"/>
      <c r="Y102" s="423" t="str">
        <f aca="false">IF(AND(pos_z&lt;=0,K101&gt;0),"Impact balistique","") &amp; IF(AND(H103&lt;0,vit_z&gt;=0),"Apogée","") &amp; IF(AND(Poussee=0,Q101&gt;0),"Fin de propulsion","") &amp; IF(AND(L103&gt;L_rampe,pos_xz&lt;=L_rampe),"Sortie de rampe","")</f>
        <v/>
      </c>
      <c r="Z102" s="424" t="str">
        <f aca="false">IF(ABS(t-T_para)&lt;pas/2,"Para","")</f>
        <v/>
      </c>
      <c r="AA102" s="425" t="str">
        <f aca="false">IF(ABS(t-T_satellite)&lt;pas/2,"Satellite","")</f>
        <v/>
      </c>
      <c r="AB102" s="413"/>
      <c r="AC102" s="421" t="e">
        <f aca="false">IF(ABS(t-ROUND(t,0))&lt;0.001,t,NA())</f>
        <v>#N/A</v>
      </c>
      <c r="AD102" s="426" t="e">
        <f aca="false">IF(ABS(t-ROUND(t,0))&lt;0.001,pos_x,NA())</f>
        <v>#N/A</v>
      </c>
      <c r="AE102" s="427" t="n">
        <f aca="false">IF(t&lt;T_para, pos_z, NA())</f>
        <v>49.1544297628562</v>
      </c>
      <c r="AF102" s="413"/>
      <c r="AG102" s="419" t="n">
        <f aca="false">IF(AND(L101&lt;L_rampe,Poussee&lt;Poids*SIN(M101)),0,(-W101+Poussee)/m-Poids*SIN(M101)/m)</f>
        <v>-5.58458849332663</v>
      </c>
      <c r="AH102" s="418" t="n">
        <f aca="false">IF(AND(L101&lt;L_rampe,Poussee&lt;Poids*SIN(M101)), g*SIN(M101), (-W101+Poussee)/m)</f>
        <v>4.03074751885127</v>
      </c>
    </row>
    <row r="103" customFormat="false" ht="12" hidden="false" customHeight="false" outlineLevel="0" collapsed="false">
      <c r="A103" s="417" t="n">
        <f aca="false">IF(B102+0.01&lt;=T_ini+ROUNDUP(Temps_fin_propu,0), 0.01, IF(K102&gt;0, 0.1, 0.0001))</f>
        <v>0.01</v>
      </c>
      <c r="B103" s="418" t="n">
        <f aca="false">B102+pas</f>
        <v>0.990000000000001</v>
      </c>
      <c r="C103" s="402"/>
      <c r="D103" s="419" t="n">
        <f aca="false">IF(AND(L102&lt;L_rampe,Poussee&lt;Poids*SIN(M102)),0,(-W102+Poussee)/m*COS(M102)-U102/m*SIN(M102))</f>
        <v>0.634253498674677</v>
      </c>
      <c r="E103" s="420" t="n">
        <f aca="false">IF(AND(L102&lt;L_rampe,Poussee&lt;Poids*SIN(M102)),0,(-W102+Poussee)/m*SIN(M102)+U102/m*COS(M102)-Poids/m)</f>
        <v>-6.67767389677528</v>
      </c>
      <c r="F103" s="418" t="n">
        <f aca="false">SQRT(acc_x^2+acc_z^2)</f>
        <v>6.7077273477874</v>
      </c>
      <c r="G103" s="419" t="n">
        <f aca="false">G102+acc_x*pas</f>
        <v>16.1729746226074</v>
      </c>
      <c r="H103" s="420" t="n">
        <f aca="false">H102+acc_z*pas</f>
        <v>79.7737977239229</v>
      </c>
      <c r="I103" s="418" t="n">
        <f aca="false">SQRT(vit_x^2+vit_z^2)</f>
        <v>81.3967070061244</v>
      </c>
      <c r="J103" s="419" t="n">
        <f aca="false">J102+0.5*(vit_x+G102)*pas*(K102&gt;=0)</f>
        <v>9.64113239797863</v>
      </c>
      <c r="K103" s="420" t="n">
        <f aca="false">K102+0.5*(vit_z+H102)*pas</f>
        <v>49.9525016237902</v>
      </c>
      <c r="L103" s="418" t="n">
        <f aca="false">SQRT(pos_x^2+pos_z^2)</f>
        <v>50.8743928945606</v>
      </c>
      <c r="M103" s="419" t="n">
        <f aca="false">IF(AND(L102&gt;L_rampe,G103&gt;0),ATAN2(G103,H103),$M$4)</f>
        <v>1.37077194149514</v>
      </c>
      <c r="N103" s="418" t="n">
        <f aca="false">DEGREES(Beta)</f>
        <v>78.5394469226251</v>
      </c>
      <c r="O103" s="402"/>
      <c r="P103" s="421" t="n">
        <f aca="false">MATCH(t-pas/2-T_ini,CdP_t)</f>
        <v>11</v>
      </c>
      <c r="Q103" s="418" t="n">
        <f aca="false">(INDEX(CdP,2,i_P+1)-INDEX(CdP,2,i_P+0))/(INDEX(CdP,1,i_P+1)-INDEX(CdP,1,i_P+0))*(t-pas/2-T_ini-INDEX(CdP,1,i_P+0))+INDEX(CdP,2,i_P+0)</f>
        <v>11.8749999999999</v>
      </c>
      <c r="R103" s="419" t="n">
        <f aca="false">Poussee/(g*ISP)</f>
        <v>0.00630265374894687</v>
      </c>
      <c r="S103" s="420" t="n">
        <f aca="false">S102-Débit*pas</f>
        <v>1.48456869208087</v>
      </c>
      <c r="T103" s="418" t="n">
        <f aca="false">m*g</f>
        <v>14.5636188693134</v>
      </c>
      <c r="U103" s="422" t="n">
        <f aca="false">IF(pos_xz&lt;L_rampe,Poids*COS(Beta),0)</f>
        <v>0</v>
      </c>
      <c r="V103" s="419" t="n">
        <f aca="false">Rho_moyen*(20000-Alt_rampe-pos_z)/(20000+Alt_rampe+pos_z)</f>
        <v>1.218896063895</v>
      </c>
      <c r="W103" s="418" t="n">
        <f aca="false">1/2*Rho*Sref*Cx*vit_xz^2</f>
        <v>7.11867377156087</v>
      </c>
      <c r="X103" s="402"/>
      <c r="Y103" s="423" t="str">
        <f aca="false">IF(AND(pos_z&lt;=0,K102&gt;0),"Impact balistique","") &amp; IF(AND(H104&lt;0,vit_z&gt;=0),"Apogée","") &amp; IF(AND(Poussee=0,Q102&gt;0),"Fin de propulsion","") &amp; IF(AND(L104&gt;L_rampe,pos_xz&lt;=L_rampe),"Sortie de rampe","")</f>
        <v/>
      </c>
      <c r="Z103" s="424" t="str">
        <f aca="false">IF(ABS(t-T_para)&lt;pas/2,"Para","")</f>
        <v/>
      </c>
      <c r="AA103" s="425" t="str">
        <f aca="false">IF(ABS(t-T_satellite)&lt;pas/2,"Satellite","")</f>
        <v/>
      </c>
      <c r="AB103" s="413"/>
      <c r="AC103" s="421" t="e">
        <f aca="false">IF(ABS(t-ROUND(t,0))&lt;0.001,t,NA())</f>
        <v>#N/A</v>
      </c>
      <c r="AD103" s="426" t="e">
        <f aca="false">IF(ABS(t-ROUND(t,0))&lt;0.001,pos_x,NA())</f>
        <v>#N/A</v>
      </c>
      <c r="AE103" s="427" t="n">
        <f aca="false">IF(t&lt;T_para, pos_z, NA())</f>
        <v>49.9525016237902</v>
      </c>
      <c r="AF103" s="413"/>
      <c r="AG103" s="419" t="n">
        <f aca="false">IF(AND(L102&lt;L_rampe,Poussee&lt;Poids*SIN(M102)),0,(-W102+Poussee)/m-Poids*SIN(M102)/m)</f>
        <v>-6.41897662184791</v>
      </c>
      <c r="AH103" s="418" t="n">
        <f aca="false">IF(AND(L102&lt;L_rampe,Poussee&lt;Poids*SIN(M102)), g*SIN(M102), (-W102+Poussee)/m)</f>
        <v>3.19589491653341</v>
      </c>
    </row>
    <row r="104" customFormat="false" ht="12" hidden="false" customHeight="false" outlineLevel="0" collapsed="false">
      <c r="A104" s="417" t="n">
        <f aca="false">IF(B103+0.01&lt;=T_ini+ROUNDUP(Temps_fin_propu,0), 0.01, IF(K103&gt;0, 0.1, 0.0001))</f>
        <v>0.01</v>
      </c>
      <c r="B104" s="418" t="n">
        <f aca="false">B103+pas</f>
        <v>1</v>
      </c>
      <c r="C104" s="402"/>
      <c r="D104" s="419" t="n">
        <f aca="false">IF(AND(L103&lt;L_rampe,Poussee&lt;Poids*SIN(M103)),0,(-W103+Poussee)/m*COS(M103)-U103/m*SIN(M103))</f>
        <v>0.469301119053027</v>
      </c>
      <c r="E104" s="420" t="n">
        <f aca="false">IF(AND(L103&lt;L_rampe,Poussee&lt;Poids*SIN(M103)),0,(-W103+Poussee)/m*SIN(M103)+U103/m*COS(M103)-Poids/m)</f>
        <v>-7.49515480815667</v>
      </c>
      <c r="F104" s="418" t="n">
        <f aca="false">SQRT(acc_x^2+acc_z^2)</f>
        <v>7.5098328302685</v>
      </c>
      <c r="G104" s="419" t="n">
        <f aca="false">G103+acc_x*pas</f>
        <v>16.1776676337979</v>
      </c>
      <c r="H104" s="420" t="n">
        <f aca="false">H103+acc_z*pas</f>
        <v>79.6988461758413</v>
      </c>
      <c r="I104" s="418" t="n">
        <f aca="false">SQRT(vit_x^2+vit_z^2)</f>
        <v>81.3241846674779</v>
      </c>
      <c r="J104" s="419" t="n">
        <f aca="false">J103+0.5*(vit_x+G103)*pas*(K103&gt;=0)</f>
        <v>9.80288560926065</v>
      </c>
      <c r="K104" s="420" t="n">
        <f aca="false">K103+0.5*(vit_z+H103)*pas</f>
        <v>50.749864843289</v>
      </c>
      <c r="L104" s="418" t="n">
        <f aca="false">SQRT(pos_x^2+pos_z^2)</f>
        <v>51.6879613438212</v>
      </c>
      <c r="M104" s="419" t="n">
        <f aca="false">IF(AND(L103&gt;L_rampe,G104&gt;0),ATAN2(G104,H104),$M$4)</f>
        <v>1.37053226118202</v>
      </c>
      <c r="N104" s="418" t="n">
        <f aca="false">DEGREES(Beta)</f>
        <v>78.5257142522511</v>
      </c>
      <c r="O104" s="402"/>
      <c r="P104" s="421" t="n">
        <f aca="false">MATCH(t-pas/2-T_ini,CdP_t)</f>
        <v>11</v>
      </c>
      <c r="Q104" s="418" t="n">
        <f aca="false">(INDEX(CdP,2,i_P+1)-INDEX(CdP,2,i_P+0))/(INDEX(CdP,1,i_P+1)-INDEX(CdP,1,i_P+0))*(t-pas/2-T_ini-INDEX(CdP,1,i_P+0))+INDEX(CdP,2,i_P+0)</f>
        <v>10.6249999999999</v>
      </c>
      <c r="R104" s="419" t="n">
        <f aca="false">Poussee/(g*ISP)</f>
        <v>0.00563921651221561</v>
      </c>
      <c r="S104" s="420" t="n">
        <f aca="false">S103-Débit*pas</f>
        <v>1.48451229991575</v>
      </c>
      <c r="T104" s="418" t="n">
        <f aca="false">m*g</f>
        <v>14.5630656621735</v>
      </c>
      <c r="U104" s="422" t="n">
        <f aca="false">IF(pos_xz&lt;L_rampe,Poids*COS(Beta),0)</f>
        <v>0</v>
      </c>
      <c r="V104" s="419" t="n">
        <f aca="false">Rho_moyen*(20000-Alt_rampe-pos_z)/(20000+Alt_rampe+pos_z)</f>
        <v>1.21879887686475</v>
      </c>
      <c r="W104" s="418" t="n">
        <f aca="false">1/2*Rho*Sref*Cx*vit_xz^2</f>
        <v>7.10542773118732</v>
      </c>
      <c r="X104" s="402"/>
      <c r="Y104" s="423" t="str">
        <f aca="false">IF(AND(pos_z&lt;=0,K103&gt;0),"Impact balistique","") &amp; IF(AND(H105&lt;0,vit_z&gt;=0),"Apogée","") &amp; IF(AND(Poussee=0,Q103&gt;0),"Fin de propulsion","") &amp; IF(AND(L105&gt;L_rampe,pos_xz&lt;=L_rampe),"Sortie de rampe","")</f>
        <v/>
      </c>
      <c r="Z104" s="424" t="str">
        <f aca="false">IF(ABS(t-T_para)&lt;pas/2,"Para","")</f>
        <v/>
      </c>
      <c r="AA104" s="425" t="str">
        <f aca="false">IF(ABS(t-T_satellite)&lt;pas/2,"Satellite","")</f>
        <v/>
      </c>
      <c r="AB104" s="413"/>
      <c r="AC104" s="421" t="n">
        <f aca="false">IF(ABS(t-ROUND(t,0))&lt;0.001,t,NA())</f>
        <v>1</v>
      </c>
      <c r="AD104" s="426" t="n">
        <f aca="false">IF(ABS(t-ROUND(t,0))&lt;0.001,pos_x,NA())</f>
        <v>9.80288560926065</v>
      </c>
      <c r="AE104" s="427" t="n">
        <f aca="false">IF(t&lt;T_para, pos_z, NA())</f>
        <v>50.749864843289</v>
      </c>
      <c r="AF104" s="413"/>
      <c r="AG104" s="419" t="n">
        <f aca="false">IF(AND(L103&lt;L_rampe,Poussee&lt;Poids*SIN(M103)),0,(-W103+Poussee)/m-Poids*SIN(M103)/m)</f>
        <v>-7.25246745476025</v>
      </c>
      <c r="AH104" s="418" t="n">
        <f aca="false">IF(AND(L103&lt;L_rampe,Poussee&lt;Poids*SIN(M103)), g*SIN(M103), (-W103+Poussee)/m)</f>
        <v>2.36193814536803</v>
      </c>
    </row>
    <row r="105" customFormat="false" ht="12" hidden="false" customHeight="false" outlineLevel="0" collapsed="false">
      <c r="A105" s="417" t="n">
        <f aca="false">IF(B104+0.01&lt;=T_ini+ROUNDUP(Temps_fin_propu,0), 0.01, IF(K104&gt;0, 0.1, 0.0001))</f>
        <v>0.01</v>
      </c>
      <c r="B105" s="418" t="n">
        <f aca="false">B104+pas</f>
        <v>1.01</v>
      </c>
      <c r="C105" s="402"/>
      <c r="D105" s="419" t="n">
        <f aca="false">IF(AND(L104&lt;L_rampe,Poussee&lt;Poids*SIN(M104)),0,(-W104+Poussee)/m*COS(M104)-U104/m*SIN(M104))</f>
        <v>0.304138194714156</v>
      </c>
      <c r="E105" s="420" t="n">
        <f aca="false">IF(AND(L104&lt;L_rampe,Poussee&lt;Poids*SIN(M104)),0,(-W104+Poussee)/m*SIN(M104)+U104/m*COS(M104)-Poids/m)</f>
        <v>-8.31167133202309</v>
      </c>
      <c r="F105" s="418" t="n">
        <f aca="false">SQRT(acc_x^2+acc_z^2)</f>
        <v>8.31723393761763</v>
      </c>
      <c r="G105" s="419" t="n">
        <f aca="false">G104+acc_x*pas</f>
        <v>16.180709015745</v>
      </c>
      <c r="H105" s="420" t="n">
        <f aca="false">H104+acc_z*pas</f>
        <v>79.6157294625211</v>
      </c>
      <c r="I105" s="418" t="n">
        <f aca="false">SQRT(vit_x^2+vit_z^2)</f>
        <v>81.2433364781479</v>
      </c>
      <c r="J105" s="419" t="n">
        <f aca="false">J104+0.5*(vit_x+G104)*pas*(K104&gt;=0)</f>
        <v>9.96467749250837</v>
      </c>
      <c r="K105" s="420" t="n">
        <f aca="false">K104+0.5*(vit_z+H104)*pas</f>
        <v>51.5464377214809</v>
      </c>
      <c r="L105" s="418" t="n">
        <f aca="false">SQRT(pos_x^2+pos_z^2)</f>
        <v>52.5007622735538</v>
      </c>
      <c r="M105" s="419" t="n">
        <f aca="false">IF(AND(L104&gt;L_rampe,G105&gt;0),ATAN2(G105,H105),$M$4)</f>
        <v>1.37029205872149</v>
      </c>
      <c r="N105" s="418" t="n">
        <f aca="false">DEGREES(Beta)</f>
        <v>78.5119516650343</v>
      </c>
      <c r="O105" s="402"/>
      <c r="P105" s="421" t="n">
        <f aca="false">MATCH(t-pas/2-T_ini,CdP_t)</f>
        <v>12</v>
      </c>
      <c r="Q105" s="418" t="n">
        <f aca="false">(INDEX(CdP,2,i_P+1)-INDEX(CdP,2,i_P+0))/(INDEX(CdP,1,i_P+1)-INDEX(CdP,1,i_P+0))*(t-pas/2-T_ini-INDEX(CdP,1,i_P+0))+INDEX(CdP,2,i_P+0)</f>
        <v>9.3749999999999</v>
      </c>
      <c r="R105" s="419" t="n">
        <f aca="false">Poussee/(g*ISP)</f>
        <v>0.00497577927548435</v>
      </c>
      <c r="S105" s="420" t="n">
        <f aca="false">S104-Débit*pas</f>
        <v>1.484462542123</v>
      </c>
      <c r="T105" s="418" t="n">
        <f aca="false">m*g</f>
        <v>14.5625775382266</v>
      </c>
      <c r="U105" s="422" t="n">
        <f aca="false">IF(pos_xz&lt;L_rampe,Poids*COS(Beta),0)</f>
        <v>0</v>
      </c>
      <c r="V105" s="419" t="n">
        <f aca="false">Rho_moyen*(20000-Alt_rampe-pos_z)/(20000+Alt_rampe+pos_z)</f>
        <v>1.21870179388359</v>
      </c>
      <c r="W105" s="418" t="n">
        <f aca="false">1/2*Rho*Sref*Cx*vit_xz^2</f>
        <v>7.09074221972429</v>
      </c>
      <c r="X105" s="402"/>
      <c r="Y105" s="423" t="str">
        <f aca="false">IF(AND(pos_z&lt;=0,K104&gt;0),"Impact balistique","") &amp; IF(AND(H106&lt;0,vit_z&gt;=0),"Apogée","") &amp; IF(AND(Poussee=0,Q104&gt;0),"Fin de propulsion","") &amp; IF(AND(L106&gt;L_rampe,pos_xz&lt;=L_rampe),"Sortie de rampe","")</f>
        <v/>
      </c>
      <c r="Z105" s="424" t="str">
        <f aca="false">IF(ABS(t-T_para)&lt;pas/2,"Para","")</f>
        <v/>
      </c>
      <c r="AA105" s="425" t="str">
        <f aca="false">IF(ABS(t-T_satellite)&lt;pas/2,"Satellite","")</f>
        <v/>
      </c>
      <c r="AB105" s="413"/>
      <c r="AC105" s="421" t="e">
        <f aca="false">IF(ABS(t-ROUND(t,0))&lt;0.001,t,NA())</f>
        <v>#N/A</v>
      </c>
      <c r="AD105" s="426" t="e">
        <f aca="false">IF(ABS(t-ROUND(t,0))&lt;0.001,pos_x,NA())</f>
        <v>#N/A</v>
      </c>
      <c r="AE105" s="427" t="n">
        <f aca="false">IF(t&lt;T_para, pos_z, NA())</f>
        <v>51.5464377214809</v>
      </c>
      <c r="AF105" s="413"/>
      <c r="AG105" s="419" t="n">
        <f aca="false">IF(AND(L104&lt;L_rampe,Poussee&lt;Poids*SIN(M104)),0,(-W104+Poussee)/m-Poids*SIN(M104)/m)</f>
        <v>-8.08505330873821</v>
      </c>
      <c r="AH105" s="418" t="n">
        <f aca="false">IF(AND(L104&lt;L_rampe,Poussee&lt;Poids*SIN(M104)), g*SIN(M104), (-W104+Poussee)/m)</f>
        <v>1.5288848350237</v>
      </c>
    </row>
    <row r="106" customFormat="false" ht="12" hidden="false" customHeight="false" outlineLevel="0" collapsed="false">
      <c r="A106" s="417" t="n">
        <f aca="false">IF(B105+0.01&lt;=T_ini+ROUNDUP(Temps_fin_propu,0), 0.01, IF(K105&gt;0, 0.1, 0.0001))</f>
        <v>0.01</v>
      </c>
      <c r="B106" s="418" t="n">
        <f aca="false">B105+pas</f>
        <v>1.02</v>
      </c>
      <c r="C106" s="402"/>
      <c r="D106" s="419" t="n">
        <f aca="false">IF(AND(L105&lt;L_rampe,Poussee&lt;Poids*SIN(M105)),0,(-W105+Poussee)/m*COS(M105)-U105/m*SIN(M105))</f>
        <v>0.138765647614912</v>
      </c>
      <c r="E106" s="420" t="n">
        <f aca="false">IF(AND(L105&lt;L_rampe,Poussee&lt;Poids*SIN(M105)),0,(-W105+Poussee)/m*SIN(M105)+U105/m*COS(M105)-Poids/m)</f>
        <v>-9.12721605966402</v>
      </c>
      <c r="F106" s="418" t="n">
        <f aca="false">SQRT(acc_x^2+acc_z^2)</f>
        <v>9.12827086061466</v>
      </c>
      <c r="G106" s="419" t="n">
        <f aca="false">G105+acc_x*pas</f>
        <v>16.1820966722212</v>
      </c>
      <c r="H106" s="420" t="n">
        <f aca="false">H105+acc_z*pas</f>
        <v>79.5244573019244</v>
      </c>
      <c r="I106" s="418" t="n">
        <f aca="false">SQRT(vit_x^2+vit_z^2)</f>
        <v>81.1541715617547</v>
      </c>
      <c r="J106" s="419" t="n">
        <f aca="false">J105+0.5*(vit_x+G105)*pas*(K105&gt;=0)</f>
        <v>10.1264915209482</v>
      </c>
      <c r="K106" s="420" t="n">
        <f aca="false">K105+0.5*(vit_z+H105)*pas</f>
        <v>52.3421386553031</v>
      </c>
      <c r="L106" s="418" t="n">
        <f aca="false">SQRT(pos_x^2+pos_z^2)</f>
        <v>53.312712457113</v>
      </c>
      <c r="M106" s="419" t="n">
        <f aca="false">IF(AND(L105&gt;L_rampe,G106&gt;0),ATAN2(G106,H106),$M$4)</f>
        <v>1.37005130779888</v>
      </c>
      <c r="N106" s="418" t="n">
        <f aca="false">DEGREES(Beta)</f>
        <v>78.4981576532548</v>
      </c>
      <c r="O106" s="402"/>
      <c r="P106" s="421" t="n">
        <f aca="false">MATCH(t-pas/2-T_ini,CdP_t)</f>
        <v>12</v>
      </c>
      <c r="Q106" s="418" t="n">
        <f aca="false">(INDEX(CdP,2,i_P+1)-INDEX(CdP,2,i_P+0))/(INDEX(CdP,1,i_P+1)-INDEX(CdP,1,i_P+0))*(t-pas/2-T_ini-INDEX(CdP,1,i_P+0))+INDEX(CdP,2,i_P+0)</f>
        <v>8.1249999999999</v>
      </c>
      <c r="R106" s="419" t="n">
        <f aca="false">Poussee/(g*ISP)</f>
        <v>0.0043123420387531</v>
      </c>
      <c r="S106" s="420" t="n">
        <f aca="false">S105-Débit*pas</f>
        <v>1.48441941870261</v>
      </c>
      <c r="T106" s="418" t="n">
        <f aca="false">m*g</f>
        <v>14.5621544974726</v>
      </c>
      <c r="U106" s="422" t="n">
        <f aca="false">IF(pos_xz&lt;L_rampe,Poids*COS(Beta),0)</f>
        <v>0</v>
      </c>
      <c r="V106" s="419" t="n">
        <f aca="false">Rho_moyen*(20000-Alt_rampe-pos_z)/(20000+Alt_rampe+pos_z)</f>
        <v>1.21860482487189</v>
      </c>
      <c r="W106" s="418" t="n">
        <f aca="false">1/2*Rho*Sref*Cx*vit_xz^2</f>
        <v>7.07462356491226</v>
      </c>
      <c r="X106" s="402"/>
      <c r="Y106" s="423" t="str">
        <f aca="false">IF(AND(pos_z&lt;=0,K105&gt;0),"Impact balistique","") &amp; IF(AND(H107&lt;0,vit_z&gt;=0),"Apogée","") &amp; IF(AND(Poussee=0,Q105&gt;0),"Fin de propulsion","") &amp; IF(AND(L107&gt;L_rampe,pos_xz&lt;=L_rampe),"Sortie de rampe","")</f>
        <v/>
      </c>
      <c r="Z106" s="424" t="str">
        <f aca="false">IF(ABS(t-T_para)&lt;pas/2,"Para","")</f>
        <v/>
      </c>
      <c r="AA106" s="425" t="str">
        <f aca="false">IF(ABS(t-T_satellite)&lt;pas/2,"Satellite","")</f>
        <v/>
      </c>
      <c r="AB106" s="413"/>
      <c r="AC106" s="421" t="e">
        <f aca="false">IF(ABS(t-ROUND(t,0))&lt;0.001,t,NA())</f>
        <v>#N/A</v>
      </c>
      <c r="AD106" s="426" t="e">
        <f aca="false">IF(ABS(t-ROUND(t,0))&lt;0.001,pos_x,NA())</f>
        <v>#N/A</v>
      </c>
      <c r="AE106" s="427" t="n">
        <f aca="false">IF(t&lt;T_para, pos_z, NA())</f>
        <v>52.3421386553031</v>
      </c>
      <c r="AF106" s="413"/>
      <c r="AG106" s="419" t="n">
        <f aca="false">IF(AND(L105&lt;L_rampe,Poussee&lt;Poids*SIN(M105)),0,(-W105+Poussee)/m-Poids*SIN(M105)/m)</f>
        <v>-8.91672682819469</v>
      </c>
      <c r="AH106" s="418" t="n">
        <f aca="false">IF(AND(L105&lt;L_rampe,Poussee&lt;Poids*SIN(M105)), g*SIN(M105), (-W105+Poussee)/m)</f>
        <v>0.69674228674505</v>
      </c>
    </row>
    <row r="107" customFormat="false" ht="12" hidden="false" customHeight="false" outlineLevel="0" collapsed="false">
      <c r="A107" s="417" t="n">
        <f aca="false">IF(B106+0.01&lt;=T_ini+ROUNDUP(Temps_fin_propu,0), 0.01, IF(K106&gt;0, 0.1, 0.0001))</f>
        <v>0.01</v>
      </c>
      <c r="B107" s="418" t="n">
        <f aca="false">B106+pas</f>
        <v>1.03</v>
      </c>
      <c r="C107" s="402"/>
      <c r="D107" s="419" t="n">
        <f aca="false">IF(AND(L106&lt;L_rampe,Poussee&lt;Poids*SIN(M106)),0,(-W106+Poussee)/m*COS(M106)-U106/m*SIN(M106))</f>
        <v>-0.0268157407496071</v>
      </c>
      <c r="E107" s="420" t="n">
        <f aca="false">IF(AND(L106&lt;L_rampe,Poussee&lt;Poids*SIN(M106)),0,(-W106+Poussee)/m*SIN(M106)+U106/m*COS(M106)-Poids/m)</f>
        <v>-9.94178188670213</v>
      </c>
      <c r="F107" s="418" t="n">
        <f aca="false">SQRT(acc_x^2+acc_z^2)</f>
        <v>9.94181805137826</v>
      </c>
      <c r="G107" s="419" t="n">
        <f aca="false">G106+acc_x*pas</f>
        <v>16.1818285148137</v>
      </c>
      <c r="H107" s="420" t="n">
        <f aca="false">H106+acc_z*pas</f>
        <v>79.4250394830574</v>
      </c>
      <c r="I107" s="418" t="n">
        <f aca="false">SQRT(vit_x^2+vit_z^2)</f>
        <v>81.0566991122144</v>
      </c>
      <c r="J107" s="419" t="n">
        <f aca="false">J106+0.5*(vit_x+G106)*pas*(K106&gt;=0)</f>
        <v>10.2883111468834</v>
      </c>
      <c r="K107" s="420" t="n">
        <f aca="false">K106+0.5*(vit_z+H106)*pas</f>
        <v>53.136886139228</v>
      </c>
      <c r="L107" s="418" t="n">
        <f aca="false">SQRT(pos_x^2+pos_z^2)</f>
        <v>54.1237287594671</v>
      </c>
      <c r="M107" s="419" t="n">
        <f aca="false">IF(AND(L106&gt;L_rampe,G107&gt;0),ATAN2(G107,H107),$M$4)</f>
        <v>1.36980998184012</v>
      </c>
      <c r="N107" s="418" t="n">
        <f aca="false">DEGREES(Beta)</f>
        <v>78.4843306943306</v>
      </c>
      <c r="O107" s="402"/>
      <c r="P107" s="421" t="n">
        <f aca="false">MATCH(t-pas/2-T_ini,CdP_t)</f>
        <v>12</v>
      </c>
      <c r="Q107" s="418" t="n">
        <f aca="false">(INDEX(CdP,2,i_P+1)-INDEX(CdP,2,i_P+0))/(INDEX(CdP,1,i_P+1)-INDEX(CdP,1,i_P+0))*(t-pas/2-T_ini-INDEX(CdP,1,i_P+0))+INDEX(CdP,2,i_P+0)</f>
        <v>6.8749999999999</v>
      </c>
      <c r="R107" s="419" t="n">
        <f aca="false">Poussee/(g*ISP)</f>
        <v>0.00364890480202184</v>
      </c>
      <c r="S107" s="420" t="n">
        <f aca="false">S106-Débit*pas</f>
        <v>1.48438292965459</v>
      </c>
      <c r="T107" s="418" t="n">
        <f aca="false">m*g</f>
        <v>14.5617965399115</v>
      </c>
      <c r="U107" s="422" t="n">
        <f aca="false">IF(pos_xz&lt;L_rampe,Poids*COS(Beta),0)</f>
        <v>0</v>
      </c>
      <c r="V107" s="419" t="n">
        <f aca="false">Rho_moyen*(20000-Alt_rampe-pos_z)/(20000+Alt_rampe+pos_z)</f>
        <v>1.21850797973503</v>
      </c>
      <c r="W107" s="418" t="n">
        <f aca="false">1/2*Rho*Sref*Cx*vit_xz^2</f>
        <v>7.05707854256608</v>
      </c>
      <c r="X107" s="402"/>
      <c r="Y107" s="423" t="str">
        <f aca="false">IF(AND(pos_z&lt;=0,K106&gt;0),"Impact balistique","") &amp; IF(AND(H108&lt;0,vit_z&gt;=0),"Apogée","") &amp; IF(AND(Poussee=0,Q106&gt;0),"Fin de propulsion","") &amp; IF(AND(L108&gt;L_rampe,pos_xz&lt;=L_rampe),"Sortie de rampe","")</f>
        <v/>
      </c>
      <c r="Z107" s="424" t="str">
        <f aca="false">IF(ABS(t-T_para)&lt;pas/2,"Para","")</f>
        <v/>
      </c>
      <c r="AA107" s="425" t="str">
        <f aca="false">IF(ABS(t-T_satellite)&lt;pas/2,"Satellite","")</f>
        <v/>
      </c>
      <c r="AB107" s="413"/>
      <c r="AC107" s="421" t="e">
        <f aca="false">IF(ABS(t-ROUND(t,0))&lt;0.001,t,NA())</f>
        <v>#N/A</v>
      </c>
      <c r="AD107" s="426" t="e">
        <f aca="false">IF(ABS(t-ROUND(t,0))&lt;0.001,pos_x,NA())</f>
        <v>#N/A</v>
      </c>
      <c r="AE107" s="427" t="n">
        <f aca="false">IF(t&lt;T_para, pos_z, NA())</f>
        <v>53.136886139228</v>
      </c>
      <c r="AF107" s="413"/>
      <c r="AG107" s="419" t="n">
        <f aca="false">IF(AND(L106&lt;L_rampe,Poussee&lt;Poids*SIN(M106)),0,(-W106+Poussee)/m-Poids*SIN(M106)/m)</f>
        <v>-9.74748098391078</v>
      </c>
      <c r="AH107" s="418" t="n">
        <f aca="false">IF(AND(L106&lt;L_rampe,Poussee&lt;Poids*SIN(M106)), g*SIN(M106), (-W106+Poussee)/m)</f>
        <v>-0.134482525313603</v>
      </c>
    </row>
    <row r="108" customFormat="false" ht="12" hidden="false" customHeight="false" outlineLevel="0" collapsed="false">
      <c r="A108" s="417" t="n">
        <f aca="false">IF(B107+0.01&lt;=T_ini+ROUNDUP(Temps_fin_propu,0), 0.01, IF(K107&gt;0, 0.1, 0.0001))</f>
        <v>0.01</v>
      </c>
      <c r="B108" s="418" t="n">
        <f aca="false">B107+pas</f>
        <v>1.04</v>
      </c>
      <c r="C108" s="402"/>
      <c r="D108" s="419" t="n">
        <f aca="false">IF(AND(L107&lt;L_rampe,Poussee&lt;Poids*SIN(M107)),0,(-W107+Poussee)/m*COS(M107)-U107/m*SIN(M107))</f>
        <v>-0.192605330170373</v>
      </c>
      <c r="E108" s="420" t="n">
        <f aca="false">IF(AND(L107&lt;L_rampe,Poussee&lt;Poids*SIN(M107)),0,(-W107+Poussee)/m*SIN(M107)+U107/m*COS(M107)-Poids/m)</f>
        <v>-10.7553620114331</v>
      </c>
      <c r="F108" s="418" t="n">
        <f aca="false">SQRT(acc_x^2+acc_z^2)</f>
        <v>10.7570864461613</v>
      </c>
      <c r="G108" s="419" t="n">
        <f aca="false">G107+acc_x*pas</f>
        <v>16.179902461512</v>
      </c>
      <c r="H108" s="420" t="n">
        <f aca="false">H107+acc_z*pas</f>
        <v>79.317485862943</v>
      </c>
      <c r="I108" s="418" t="n">
        <f aca="false">SQRT(vit_x^2+vit_z^2)</f>
        <v>80.9509283904898</v>
      </c>
      <c r="J108" s="419" t="n">
        <f aca="false">J107+0.5*(vit_x+G107)*pas*(K107&gt;=0)</f>
        <v>10.450119801765</v>
      </c>
      <c r="K108" s="420" t="n">
        <f aca="false">K107+0.5*(vit_z+H107)*pas</f>
        <v>53.930598765958</v>
      </c>
      <c r="L108" s="418" t="n">
        <f aca="false">SQRT(pos_x^2+pos_z^2)</f>
        <v>54.9337281378753</v>
      </c>
      <c r="M108" s="419" t="n">
        <f aca="false">IF(AND(L107&gt;L_rampe,G108&gt;0),ATAN2(G108,H108),$M$4)</f>
        <v>1.36956805399433</v>
      </c>
      <c r="N108" s="418" t="n">
        <f aca="false">DEGREES(Beta)</f>
        <v>78.4704692498206</v>
      </c>
      <c r="O108" s="402"/>
      <c r="P108" s="421" t="n">
        <f aca="false">MATCH(t-pas/2-T_ini,CdP_t)</f>
        <v>12</v>
      </c>
      <c r="Q108" s="418" t="n">
        <f aca="false">(INDEX(CdP,2,i_P+1)-INDEX(CdP,2,i_P+0))/(INDEX(CdP,1,i_P+1)-INDEX(CdP,1,i_P+0))*(t-pas/2-T_ini-INDEX(CdP,1,i_P+0))+INDEX(CdP,2,i_P+0)</f>
        <v>5.6249999999999</v>
      </c>
      <c r="R108" s="419" t="n">
        <f aca="false">Poussee/(g*ISP)</f>
        <v>0.00298546756529059</v>
      </c>
      <c r="S108" s="420" t="n">
        <f aca="false">S107-Débit*pas</f>
        <v>1.48435307497894</v>
      </c>
      <c r="T108" s="418" t="n">
        <f aca="false">m*g</f>
        <v>14.5615036655434</v>
      </c>
      <c r="U108" s="422" t="n">
        <f aca="false">IF(pos_xz&lt;L_rampe,Poids*COS(Beta),0)</f>
        <v>0</v>
      </c>
      <c r="V108" s="419" t="n">
        <f aca="false">Rho_moyen*(20000-Alt_rampe-pos_z)/(20000+Alt_rampe+pos_z)</f>
        <v>1.21841126836328</v>
      </c>
      <c r="W108" s="418" t="n">
        <f aca="false">1/2*Rho*Sref*Cx*vit_xz^2</f>
        <v>7.03811437401188</v>
      </c>
      <c r="X108" s="402"/>
      <c r="Y108" s="423" t="str">
        <f aca="false">IF(AND(pos_z&lt;=0,K107&gt;0),"Impact balistique","") &amp; IF(AND(H109&lt;0,vit_z&gt;=0),"Apogée","") &amp; IF(AND(Poussee=0,Q107&gt;0),"Fin de propulsion","") &amp; IF(AND(L109&gt;L_rampe,pos_xz&lt;=L_rampe),"Sortie de rampe","")</f>
        <v/>
      </c>
      <c r="Z108" s="424" t="str">
        <f aca="false">IF(ABS(t-T_para)&lt;pas/2,"Para","")</f>
        <v/>
      </c>
      <c r="AA108" s="425" t="str">
        <f aca="false">IF(ABS(t-T_satellite)&lt;pas/2,"Satellite","")</f>
        <v/>
      </c>
      <c r="AB108" s="413"/>
      <c r="AC108" s="421" t="e">
        <f aca="false">IF(ABS(t-ROUND(t,0))&lt;0.001,t,NA())</f>
        <v>#N/A</v>
      </c>
      <c r="AD108" s="426" t="e">
        <f aca="false">IF(ABS(t-ROUND(t,0))&lt;0.001,pos_x,NA())</f>
        <v>#N/A</v>
      </c>
      <c r="AE108" s="427" t="n">
        <f aca="false">IF(t&lt;T_para, pos_z, NA())</f>
        <v>53.930598765958</v>
      </c>
      <c r="AF108" s="413"/>
      <c r="AG108" s="419" t="n">
        <f aca="false">IF(AND(L107&lt;L_rampe,Poussee&lt;Poids*SIN(M107)),0,(-W107+Poussee)/m-Poids*SIN(M107)/m)</f>
        <v>-10.5773090716361</v>
      </c>
      <c r="AH108" s="418" t="n">
        <f aca="false">IF(AND(L107&lt;L_rampe,Poussee&lt;Poids*SIN(M107)), g*SIN(M107), (-W107+Poussee)/m)</f>
        <v>-0.964782952726057</v>
      </c>
    </row>
    <row r="109" customFormat="false" ht="12" hidden="false" customHeight="false" outlineLevel="0" collapsed="false">
      <c r="A109" s="417" t="n">
        <f aca="false">IF(B108+0.01&lt;=T_ini+ROUNDUP(Temps_fin_propu,0), 0.01, IF(K108&gt;0, 0.1, 0.0001))</f>
        <v>0.01</v>
      </c>
      <c r="B109" s="418" t="n">
        <f aca="false">B108+pas</f>
        <v>1.05</v>
      </c>
      <c r="C109" s="402"/>
      <c r="D109" s="419" t="n">
        <f aca="false">IF(AND(L108&lt;L_rampe,Poussee&lt;Poids*SIN(M108)),0,(-W108+Poussee)/m*COS(M108)-U108/m*SIN(M108))</f>
        <v>-0.358602622620429</v>
      </c>
      <c r="E109" s="420" t="n">
        <f aca="false">IF(AND(L108&lt;L_rampe,Poussee&lt;Poids*SIN(M108)),0,(-W108+Poussee)/m*SIN(M108)+U108/m*COS(M108)-Poids/m)</f>
        <v>-11.5679499331204</v>
      </c>
      <c r="F109" s="418" t="n">
        <f aca="false">SQRT(acc_x^2+acc_z^2)</f>
        <v>11.5735068797721</v>
      </c>
      <c r="G109" s="419" t="n">
        <f aca="false">G108+acc_x*pas</f>
        <v>16.1763164352858</v>
      </c>
      <c r="H109" s="420" t="n">
        <f aca="false">H108+acc_z*pas</f>
        <v>79.2018063636118</v>
      </c>
      <c r="I109" s="418" t="n">
        <f aca="false">SQRT(vit_x^2+vit_z^2)</f>
        <v>80.8368687213549</v>
      </c>
      <c r="J109" s="419" t="n">
        <f aca="false">J108+0.5*(vit_x+G108)*pas*(K108&gt;=0)</f>
        <v>10.611900896249</v>
      </c>
      <c r="K109" s="420" t="n">
        <f aca="false">K108+0.5*(vit_z+H108)*pas</f>
        <v>54.7231952270908</v>
      </c>
      <c r="L109" s="418" t="n">
        <f aca="false">SQRT(pos_x^2+pos_z^2)</f>
        <v>55.7426276425331</v>
      </c>
      <c r="M109" s="419" t="n">
        <f aca="false">IF(AND(L108&gt;L_rampe,G109&gt;0),ATAN2(G109,H109),$M$4)</f>
        <v>1.36932549711608</v>
      </c>
      <c r="N109" s="418" t="n">
        <f aca="false">DEGREES(Beta)</f>
        <v>78.4565717644048</v>
      </c>
      <c r="O109" s="402"/>
      <c r="P109" s="421" t="n">
        <f aca="false">MATCH(t-pas/2-T_ini,CdP_t)</f>
        <v>12</v>
      </c>
      <c r="Q109" s="418" t="n">
        <f aca="false">(INDEX(CdP,2,i_P+1)-INDEX(CdP,2,i_P+0))/(INDEX(CdP,1,i_P+1)-INDEX(CdP,1,i_P+0))*(t-pas/2-T_ini-INDEX(CdP,1,i_P+0))+INDEX(CdP,2,i_P+0)</f>
        <v>4.3749999999999</v>
      </c>
      <c r="R109" s="419" t="n">
        <f aca="false">Poussee/(g*ISP)</f>
        <v>0.00232203032855934</v>
      </c>
      <c r="S109" s="420" t="n">
        <f aca="false">S108-Débit*pas</f>
        <v>1.48432985467565</v>
      </c>
      <c r="T109" s="418" t="n">
        <f aca="false">m*g</f>
        <v>14.5612758743681</v>
      </c>
      <c r="U109" s="422" t="n">
        <f aca="false">IF(pos_xz&lt;L_rampe,Poids*COS(Beta),0)</f>
        <v>0</v>
      </c>
      <c r="V109" s="419" t="n">
        <f aca="false">Rho_moyen*(20000-Alt_rampe-pos_z)/(20000+Alt_rampe+pos_z)</f>
        <v>1.21831470063181</v>
      </c>
      <c r="W109" s="418" t="n">
        <f aca="false">1/2*Rho*Sref*Cx*vit_xz^2</f>
        <v>7.01773872351721</v>
      </c>
      <c r="X109" s="402"/>
      <c r="Y109" s="423" t="str">
        <f aca="false">IF(AND(pos_z&lt;=0,K108&gt;0),"Impact balistique","") &amp; IF(AND(H110&lt;0,vit_z&gt;=0),"Apogée","") &amp; IF(AND(Poussee=0,Q108&gt;0),"Fin de propulsion","") &amp; IF(AND(L110&gt;L_rampe,pos_xz&lt;=L_rampe),"Sortie de rampe","")</f>
        <v/>
      </c>
      <c r="Z109" s="424" t="str">
        <f aca="false">IF(ABS(t-T_para)&lt;pas/2,"Para","")</f>
        <v/>
      </c>
      <c r="AA109" s="425" t="str">
        <f aca="false">IF(ABS(t-T_satellite)&lt;pas/2,"Satellite","")</f>
        <v/>
      </c>
      <c r="AB109" s="413"/>
      <c r="AC109" s="421" t="e">
        <f aca="false">IF(ABS(t-ROUND(t,0))&lt;0.001,t,NA())</f>
        <v>#N/A</v>
      </c>
      <c r="AD109" s="426" t="e">
        <f aca="false">IF(ABS(t-ROUND(t,0))&lt;0.001,pos_x,NA())</f>
        <v>#N/A</v>
      </c>
      <c r="AE109" s="427" t="n">
        <f aca="false">IF(t&lt;T_para, pos_z, NA())</f>
        <v>54.7231952270908</v>
      </c>
      <c r="AF109" s="413"/>
      <c r="AG109" s="419" t="n">
        <f aca="false">IF(AND(L108&lt;L_rampe,Poussee&lt;Poids*SIN(M108)),0,(-W108+Poussee)/m-Poids*SIN(M108)/m)</f>
        <v>-11.4062047106606</v>
      </c>
      <c r="AH109" s="418" t="n">
        <f aca="false">IF(AND(L108&lt;L_rampe,Poussee&lt;Poids*SIN(M108)), g*SIN(M108), (-W108+Poussee)/m)</f>
        <v>-1.79415267140464</v>
      </c>
    </row>
    <row r="110" customFormat="false" ht="12" hidden="false" customHeight="false" outlineLevel="0" collapsed="false">
      <c r="A110" s="417" t="n">
        <f aca="false">IF(B109+0.01&lt;=T_ini+ROUNDUP(Temps_fin_propu,0), 0.01, IF(K109&gt;0, 0.1, 0.0001))</f>
        <v>0.01</v>
      </c>
      <c r="B110" s="418" t="n">
        <f aca="false">B109+pas</f>
        <v>1.06</v>
      </c>
      <c r="C110" s="402"/>
      <c r="D110" s="419" t="n">
        <f aca="false">IF(AND(L109&lt;L_rampe,Poussee&lt;Poids*SIN(M109)),0,(-W109+Poussee)/m*COS(M109)-U109/m*SIN(M109))</f>
        <v>-0.524807263224697</v>
      </c>
      <c r="E110" s="420" t="n">
        <f aca="false">IF(AND(L109&lt;L_rampe,Poussee&lt;Poids*SIN(M109)),0,(-W109+Poussee)/m*SIN(M109)+U109/m*COS(M109)-Poids/m)</f>
        <v>-12.3795394502466</v>
      </c>
      <c r="F110" s="418" t="n">
        <f aca="false">SQRT(acc_x^2+acc_z^2)</f>
        <v>12.3906585645698</v>
      </c>
      <c r="G110" s="419" t="n">
        <f aca="false">G109+acc_x*pas</f>
        <v>16.1710683626535</v>
      </c>
      <c r="H110" s="420" t="n">
        <f aca="false">H109+acc_z*pas</f>
        <v>79.0780109691094</v>
      </c>
      <c r="I110" s="418" t="n">
        <f aca="false">SQRT(vit_x^2+vit_z^2)</f>
        <v>80.7145294901742</v>
      </c>
      <c r="J110" s="419" t="n">
        <f aca="false">J109+0.5*(vit_x+G109)*pas*(K109&gt;=0)</f>
        <v>10.7736378202387</v>
      </c>
      <c r="K110" s="420" t="n">
        <f aca="false">K109+0.5*(vit_z+H109)*pas</f>
        <v>55.5145943137544</v>
      </c>
      <c r="L110" s="418" t="n">
        <f aca="false">SQRT(pos_x^2+pos_z^2)</f>
        <v>56.5503444171864</v>
      </c>
      <c r="M110" s="419" t="n">
        <f aca="false">IF(AND(L109&gt;L_rampe,G110&gt;0),ATAN2(G110,H110),$M$4)</f>
        <v>1.36908228374711</v>
      </c>
      <c r="N110" s="418" t="n">
        <f aca="false">DEGREES(Beta)</f>
        <v>78.4426366648414</v>
      </c>
      <c r="O110" s="402"/>
      <c r="P110" s="421" t="n">
        <f aca="false">MATCH(t-pas/2-T_ini,CdP_t)</f>
        <v>12</v>
      </c>
      <c r="Q110" s="418" t="n">
        <f aca="false">(INDEX(CdP,2,i_P+1)-INDEX(CdP,2,i_P+0))/(INDEX(CdP,1,i_P+1)-INDEX(CdP,1,i_P+0))*(t-pas/2-T_ini-INDEX(CdP,1,i_P+0))+INDEX(CdP,2,i_P+0)</f>
        <v>3.1249999999999</v>
      </c>
      <c r="R110" s="419" t="n">
        <f aca="false">Poussee/(g*ISP)</f>
        <v>0.00165859309182808</v>
      </c>
      <c r="S110" s="420" t="n">
        <f aca="false">S109-Débit*pas</f>
        <v>1.48431326874473</v>
      </c>
      <c r="T110" s="418" t="n">
        <f aca="false">m*g</f>
        <v>14.5611131663858</v>
      </c>
      <c r="U110" s="422" t="n">
        <f aca="false">IF(pos_xz&lt;L_rampe,Poids*COS(Beta),0)</f>
        <v>0</v>
      </c>
      <c r="V110" s="419" t="n">
        <f aca="false">Rho_moyen*(20000-Alt_rampe-pos_z)/(20000+Alt_rampe+pos_z)</f>
        <v>1.21821828640053</v>
      </c>
      <c r="W110" s="418" t="n">
        <f aca="false">1/2*Rho*Sref*Cx*vit_xz^2</f>
        <v>6.99595969571616</v>
      </c>
      <c r="X110" s="402"/>
      <c r="Y110" s="423" t="str">
        <f aca="false">IF(AND(pos_z&lt;=0,K109&gt;0),"Impact balistique","") &amp; IF(AND(H111&lt;0,vit_z&gt;=0),"Apogée","") &amp; IF(AND(Poussee=0,Q109&gt;0),"Fin de propulsion","") &amp; IF(AND(L111&gt;L_rampe,pos_xz&lt;=L_rampe),"Sortie de rampe","")</f>
        <v/>
      </c>
      <c r="Z110" s="424" t="str">
        <f aca="false">IF(ABS(t-T_para)&lt;pas/2,"Para","")</f>
        <v/>
      </c>
      <c r="AA110" s="425" t="str">
        <f aca="false">IF(ABS(t-T_satellite)&lt;pas/2,"Satellite","")</f>
        <v/>
      </c>
      <c r="AB110" s="413"/>
      <c r="AC110" s="421" t="e">
        <f aca="false">IF(ABS(t-ROUND(t,0))&lt;0.001,t,NA())</f>
        <v>#N/A</v>
      </c>
      <c r="AD110" s="426" t="e">
        <f aca="false">IF(ABS(t-ROUND(t,0))&lt;0.001,pos_x,NA())</f>
        <v>#N/A</v>
      </c>
      <c r="AE110" s="427" t="n">
        <f aca="false">IF(t&lt;T_para, pos_z, NA())</f>
        <v>55.5145943137544</v>
      </c>
      <c r="AF110" s="413"/>
      <c r="AG110" s="419" t="n">
        <f aca="false">IF(AND(L109&lt;L_rampe,Poussee&lt;Poids*SIN(M109)),0,(-W109+Poussee)/m-Poids*SIN(M109)/m)</f>
        <v>-12.234161842359</v>
      </c>
      <c r="AH110" s="418" t="n">
        <f aca="false">IF(AND(L109&lt;L_rampe,Poussee&lt;Poids*SIN(M109)), g*SIN(M109), (-W109+Poussee)/m)</f>
        <v>-2.62258568018418</v>
      </c>
    </row>
    <row r="111" customFormat="false" ht="12" hidden="false" customHeight="false" outlineLevel="0" collapsed="false">
      <c r="A111" s="417" t="n">
        <f aca="false">IF(B110+0.01&lt;=T_ini+ROUNDUP(Temps_fin_propu,0), 0.01, IF(K110&gt;0, 0.1, 0.0001))</f>
        <v>0.01</v>
      </c>
      <c r="B111" s="418" t="n">
        <f aca="false">B110+pas</f>
        <v>1.07</v>
      </c>
      <c r="C111" s="402"/>
      <c r="D111" s="419" t="n">
        <f aca="false">IF(AND(L110&lt;L_rampe,Poussee&lt;Poids*SIN(M110)),0,(-W110+Poussee)/m*COS(M110)-U110/m*SIN(M110))</f>
        <v>-0.69121904130592</v>
      </c>
      <c r="E111" s="420" t="n">
        <f aca="false">IF(AND(L110&lt;L_rampe,Poussee&lt;Poids*SIN(M110)),0,(-W110+Poussee)/m*SIN(M110)+U110/m*COS(M110)-Poids/m)</f>
        <v>-13.1901246587197</v>
      </c>
      <c r="F111" s="418" t="n">
        <f aca="false">SQRT(acc_x^2+acc_z^2)</f>
        <v>13.2082236608724</v>
      </c>
      <c r="G111" s="419" t="n">
        <f aca="false">G110+acc_x*pas</f>
        <v>16.1641561722405</v>
      </c>
      <c r="H111" s="420" t="n">
        <f aca="false">H110+acc_z*pas</f>
        <v>78.9461097225222</v>
      </c>
      <c r="I111" s="418" t="n">
        <f aca="false">SQRT(vit_x^2+vit_z^2)</f>
        <v>80.5839201396972</v>
      </c>
      <c r="J111" s="419" t="n">
        <f aca="false">J110+0.5*(vit_x+G110)*pas*(K110&gt;=0)</f>
        <v>10.9353139429132</v>
      </c>
      <c r="K111" s="420" t="n">
        <f aca="false">K110+0.5*(vit_z+H110)*pas</f>
        <v>56.3047149172125</v>
      </c>
      <c r="L111" s="418" t="n">
        <f aca="false">SQRT(pos_x^2+pos_z^2)</f>
        <v>57.3567956997133</v>
      </c>
      <c r="M111" s="419" t="n">
        <f aca="false">IF(AND(L110&gt;L_rampe,G111&gt;0),ATAN2(G111,H111),$M$4)</f>
        <v>1.36883838609771</v>
      </c>
      <c r="N111" s="418" t="n">
        <f aca="false">DEGREES(Beta)</f>
        <v>78.4286623588979</v>
      </c>
      <c r="O111" s="402"/>
      <c r="P111" s="421" t="n">
        <f aca="false">MATCH(t-pas/2-T_ini,CdP_t)</f>
        <v>12</v>
      </c>
      <c r="Q111" s="418" t="n">
        <f aca="false">(INDEX(CdP,2,i_P+1)-INDEX(CdP,2,i_P+0))/(INDEX(CdP,1,i_P+1)-INDEX(CdP,1,i_P+0))*(t-pas/2-T_ini-INDEX(CdP,1,i_P+0))+INDEX(CdP,2,i_P+0)</f>
        <v>1.8749999999999</v>
      </c>
      <c r="R111" s="419" t="n">
        <f aca="false">Poussee/(g*ISP)</f>
        <v>0.000995155855096829</v>
      </c>
      <c r="S111" s="420" t="n">
        <f aca="false">S110-Débit*pas</f>
        <v>1.48430331718618</v>
      </c>
      <c r="T111" s="418" t="n">
        <f aca="false">m*g</f>
        <v>14.5610155415964</v>
      </c>
      <c r="U111" s="422" t="n">
        <f aca="false">IF(pos_xz&lt;L_rampe,Poids*COS(Beta),0)</f>
        <v>0</v>
      </c>
      <c r="V111" s="419" t="n">
        <f aca="false">Rho_moyen*(20000-Alt_rampe-pos_z)/(20000+Alt_rampe+pos_z)</f>
        <v>1.21812203551412</v>
      </c>
      <c r="W111" s="418" t="n">
        <f aca="false">1/2*Rho*Sref*Cx*vit_xz^2</f>
        <v>6.97278583303065</v>
      </c>
      <c r="X111" s="402"/>
      <c r="Y111" s="423" t="str">
        <f aca="false">IF(AND(pos_z&lt;=0,K110&gt;0),"Impact balistique","") &amp; IF(AND(H112&lt;0,vit_z&gt;=0),"Apogée","") &amp; IF(AND(Poussee=0,Q110&gt;0),"Fin de propulsion","") &amp; IF(AND(L112&gt;L_rampe,pos_xz&lt;=L_rampe),"Sortie de rampe","")</f>
        <v/>
      </c>
      <c r="Z111" s="424" t="str">
        <f aca="false">IF(ABS(t-T_para)&lt;pas/2,"Para","")</f>
        <v/>
      </c>
      <c r="AA111" s="425" t="str">
        <f aca="false">IF(ABS(t-T_satellite)&lt;pas/2,"Satellite","")</f>
        <v/>
      </c>
      <c r="AB111" s="413"/>
      <c r="AC111" s="421" t="e">
        <f aca="false">IF(ABS(t-ROUND(t,0))&lt;0.001,t,NA())</f>
        <v>#N/A</v>
      </c>
      <c r="AD111" s="426" t="e">
        <f aca="false">IF(ABS(t-ROUND(t,0))&lt;0.001,pos_x,NA())</f>
        <v>#N/A</v>
      </c>
      <c r="AE111" s="427" t="n">
        <f aca="false">IF(t&lt;T_para, pos_z, NA())</f>
        <v>56.3047149172125</v>
      </c>
      <c r="AF111" s="413"/>
      <c r="AG111" s="419" t="n">
        <f aca="false">IF(AND(L110&lt;L_rampe,Poussee&lt;Poids*SIN(M110)),0,(-W110+Poussee)/m-Poids*SIN(M110)/m)</f>
        <v>-13.0611747287088</v>
      </c>
      <c r="AH111" s="418" t="n">
        <f aca="false">IF(AND(L110&lt;L_rampe,Poussee&lt;Poids*SIN(M110)), g*SIN(M110), (-W110+Poussee)/m)</f>
        <v>-3.45007629938074</v>
      </c>
    </row>
    <row r="112" customFormat="false" ht="12" hidden="false" customHeight="false" outlineLevel="0" collapsed="false">
      <c r="A112" s="417" t="n">
        <f aca="false">IF(B111+0.01&lt;=T_ini+ROUNDUP(Temps_fin_propu,0), 0.01, IF(K111&gt;0, 0.1, 0.0001))</f>
        <v>0.01</v>
      </c>
      <c r="B112" s="418" t="n">
        <f aca="false">B111+pas</f>
        <v>1.08</v>
      </c>
      <c r="C112" s="402"/>
      <c r="D112" s="419" t="n">
        <f aca="false">IF(AND(L111&lt;L_rampe,Poussee&lt;Poids*SIN(M111)),0,(-W111+Poussee)/m*COS(M111)-U111/m*SIN(M111))</f>
        <v>-0.857837891509212</v>
      </c>
      <c r="E112" s="420" t="n">
        <f aca="false">IF(AND(L111&lt;L_rampe,Poussee&lt;Poids*SIN(M111)),0,(-W111+Poussee)/m*SIN(M111)+U111/m*COS(M111)-Poids/m)</f>
        <v>-13.9996999500368</v>
      </c>
      <c r="F112" s="418" t="n">
        <f aca="false">SQRT(acc_x^2+acc_z^2)</f>
        <v>14.0259575266422</v>
      </c>
      <c r="G112" s="419" t="n">
        <f aca="false">G111+acc_x*pas</f>
        <v>16.1555777933254</v>
      </c>
      <c r="H112" s="420" t="n">
        <f aca="false">H111+acc_z*pas</f>
        <v>78.8061127230218</v>
      </c>
      <c r="I112" s="418" t="n">
        <f aca="false">SQRT(vit_x^2+vit_z^2)</f>
        <v>80.4450501668674</v>
      </c>
      <c r="J112" s="419" t="n">
        <f aca="false">J111+0.5*(vit_x+G111)*pas*(K111&gt;=0)</f>
        <v>11.096912612741</v>
      </c>
      <c r="K112" s="420" t="n">
        <f aca="false">K111+0.5*(vit_z+H111)*pas</f>
        <v>57.0934760294402</v>
      </c>
      <c r="L112" s="418" t="n">
        <f aca="false">SQRT(pos_x^2+pos_z^2)</f>
        <v>58.1618988226749</v>
      </c>
      <c r="M112" s="419" t="n">
        <f aca="false">IF(AND(L111&gt;L_rampe,G112&gt;0),ATAN2(G112,H112),$M$4)</f>
        <v>1.36859377602761</v>
      </c>
      <c r="N112" s="418" t="n">
        <f aca="false">DEGREES(Beta)</f>
        <v>78.4146472342545</v>
      </c>
      <c r="O112" s="402"/>
      <c r="P112" s="421" t="n">
        <f aca="false">MATCH(t-pas/2-T_ini,CdP_t)</f>
        <v>12</v>
      </c>
      <c r="Q112" s="418" t="n">
        <f aca="false">(INDEX(CdP,2,i_P+1)-INDEX(CdP,2,i_P+0))/(INDEX(CdP,1,i_P+1)-INDEX(CdP,1,i_P+0))*(t-pas/2-T_ini-INDEX(CdP,1,i_P+0))+INDEX(CdP,2,i_P+0)</f>
        <v>0.624999999999902</v>
      </c>
      <c r="R112" s="419" t="n">
        <f aca="false">Poussee/(g*ISP)</f>
        <v>0.000331718618365575</v>
      </c>
      <c r="S112" s="420" t="n">
        <f aca="false">S111-Débit*pas</f>
        <v>1.4843</v>
      </c>
      <c r="T112" s="418" t="n">
        <f aca="false">m*g</f>
        <v>14.560983</v>
      </c>
      <c r="U112" s="422" t="n">
        <f aca="false">IF(pos_xz&lt;L_rampe,Poids*COS(Beta),0)</f>
        <v>0</v>
      </c>
      <c r="V112" s="419" t="n">
        <f aca="false">Rho_moyen*(20000-Alt_rampe-pos_z)/(20000+Alt_rampe+pos_z)</f>
        <v>1.21802595780195</v>
      </c>
      <c r="W112" s="418" t="n">
        <f aca="false">1/2*Rho*Sref*Cx*vit_xz^2</f>
        <v>6.94822611308926</v>
      </c>
      <c r="X112" s="402"/>
      <c r="Y112" s="423" t="str">
        <f aca="false">IF(AND(pos_z&lt;=0,K111&gt;0),"Impact balistique","") &amp; IF(AND(H113&lt;0,vit_z&gt;=0),"Apogée","") &amp; IF(AND(Poussee=0,Q111&gt;0),"Fin de propulsion","") &amp; IF(AND(L113&gt;L_rampe,pos_xz&lt;=L_rampe),"Sortie de rampe","")</f>
        <v/>
      </c>
      <c r="Z112" s="424" t="str">
        <f aca="false">IF(ABS(t-T_para)&lt;pas/2,"Para","")</f>
        <v/>
      </c>
      <c r="AA112" s="425" t="str">
        <f aca="false">IF(ABS(t-T_satellite)&lt;pas/2,"Satellite","")</f>
        <v/>
      </c>
      <c r="AB112" s="413"/>
      <c r="AC112" s="421" t="e">
        <f aca="false">IF(ABS(t-ROUND(t,0))&lt;0.001,t,NA())</f>
        <v>#N/A</v>
      </c>
      <c r="AD112" s="426" t="e">
        <f aca="false">IF(ABS(t-ROUND(t,0))&lt;0.001,pos_x,NA())</f>
        <v>#N/A</v>
      </c>
      <c r="AE112" s="427" t="n">
        <f aca="false">IF(t&lt;T_para, pos_z, NA())</f>
        <v>57.0934760294402</v>
      </c>
      <c r="AF112" s="413"/>
      <c r="AG112" s="419" t="n">
        <f aca="false">IF(AND(L111&lt;L_rampe,Poussee&lt;Poids*SIN(M111)),0,(-W111+Poussee)/m-Poids*SIN(M111)/m)</f>
        <v>-13.8872379507823</v>
      </c>
      <c r="AH112" s="418" t="n">
        <f aca="false">IF(AND(L111&lt;L_rampe,Poussee&lt;Poids*SIN(M111)), g*SIN(M111), (-W111+Poussee)/m)</f>
        <v>-4.27661916932612</v>
      </c>
    </row>
    <row r="113" customFormat="false" ht="12" hidden="false" customHeight="false" outlineLevel="0" collapsed="false">
      <c r="A113" s="417" t="n">
        <f aca="false">IF(B112+0.01&lt;=T_ini+ROUNDUP(Temps_fin_propu,0), 0.01, IF(K112&gt;0, 0.1, 0.0001))</f>
        <v>0.01</v>
      </c>
      <c r="B113" s="418" t="n">
        <f aca="false">B112+pas</f>
        <v>1.09</v>
      </c>
      <c r="C113" s="402"/>
      <c r="D113" s="419" t="n">
        <f aca="false">IF(AND(L112&lt;L_rampe,Poussee&lt;Poids*SIN(M112)),0,(-W112+Poussee)/m*COS(M112)-U112/m*SIN(M112))</f>
        <v>-0.940102967657423</v>
      </c>
      <c r="E113" s="420" t="n">
        <f aca="false">IF(AND(L112&lt;L_rampe,Poussee&lt;Poids*SIN(M112)),0,(-W112+Poussee)/m*SIN(M112)+U112/m*COS(M112)-Poids/m)</f>
        <v>-14.3957759708889</v>
      </c>
      <c r="F113" s="418" t="n">
        <f aca="false">SQRT(acc_x^2+acc_z^2)</f>
        <v>14.4264395951954</v>
      </c>
      <c r="G113" s="419" t="n">
        <f aca="false">G112+acc_x*pas</f>
        <v>16.1461767636488</v>
      </c>
      <c r="H113" s="420" t="n">
        <f aca="false">H112+acc_z*pas</f>
        <v>78.6621549633129</v>
      </c>
      <c r="I113" s="418" t="n">
        <f aca="false">SQRT(vit_x^2+vit_z^2)</f>
        <v>80.3021397445625</v>
      </c>
      <c r="J113" s="419" t="n">
        <f aca="false">J112+0.5*(vit_x+G112)*pas*(K112&gt;=0)</f>
        <v>11.2584213855259</v>
      </c>
      <c r="K113" s="420" t="n">
        <f aca="false">K112+0.5*(vit_z+H112)*pas</f>
        <v>57.8808173678719</v>
      </c>
      <c r="L113" s="418" t="n">
        <f aca="false">SQRT(pos_x^2+pos_z^2)</f>
        <v>58.9655922658885</v>
      </c>
      <c r="M113" s="419" t="n">
        <f aca="false">IF(AND(L112&gt;L_rampe,G113&gt;0),ATAN2(G113,H113),$M$4)</f>
        <v>1.3683484378912</v>
      </c>
      <c r="N113" s="418" t="n">
        <f aca="false">DEGREES(Beta)</f>
        <v>78.4005903944846</v>
      </c>
      <c r="O113" s="402"/>
      <c r="P113" s="421" t="n">
        <f aca="false">MATCH(t-pas/2-T_ini,CdP_t)</f>
        <v>13</v>
      </c>
      <c r="Q113" s="418" t="n">
        <f aca="false">(INDEX(CdP,2,i_P+1)-INDEX(CdP,2,i_P+0))/(INDEX(CdP,1,i_P+1)-INDEX(CdP,1,i_P+0))*(t-pas/2-T_ini-INDEX(CdP,1,i_P+0))+INDEX(CdP,2,i_P+0)</f>
        <v>0</v>
      </c>
      <c r="R113" s="419" t="n">
        <f aca="false">Poussee/(g*ISP)</f>
        <v>0</v>
      </c>
      <c r="S113" s="420" t="n">
        <f aca="false">S112-Débit*pas</f>
        <v>1.4843</v>
      </c>
      <c r="T113" s="418" t="n">
        <f aca="false">m*g</f>
        <v>14.560983</v>
      </c>
      <c r="U113" s="422" t="n">
        <f aca="false">IF(pos_xz&lt;L_rampe,Poids*COS(Beta),0)</f>
        <v>0</v>
      </c>
      <c r="V113" s="419" t="n">
        <f aca="false">Rho_moyen*(20000-Alt_rampe-pos_z)/(20000+Alt_rampe+pos_z)</f>
        <v>1.21793006056609</v>
      </c>
      <c r="W113" s="418" t="n">
        <f aca="false">1/2*Rho*Sref*Cx*vit_xz^2</f>
        <v>6.9230159264483</v>
      </c>
      <c r="X113" s="402"/>
      <c r="Y113" s="423" t="str">
        <f aca="false">IF(AND(pos_z&lt;=0,K112&gt;0),"Impact balistique","") &amp; IF(AND(H114&lt;0,vit_z&gt;=0),"Apogée","") &amp; IF(AND(Poussee=0,Q112&gt;0),"Fin de propulsion","") &amp; IF(AND(L114&gt;L_rampe,pos_xz&lt;=L_rampe),"Sortie de rampe","")</f>
        <v>Fin de propulsion</v>
      </c>
      <c r="Z113" s="424" t="str">
        <f aca="false">IF(ABS(t-T_para)&lt;pas/2,"Para","")</f>
        <v/>
      </c>
      <c r="AA113" s="425" t="str">
        <f aca="false">IF(ABS(t-T_satellite)&lt;pas/2,"Satellite","")</f>
        <v/>
      </c>
      <c r="AB113" s="413"/>
      <c r="AC113" s="421" t="e">
        <f aca="false">IF(ABS(t-ROUND(t,0))&lt;0.001,t,NA())</f>
        <v>#N/A</v>
      </c>
      <c r="AD113" s="426" t="e">
        <f aca="false">IF(ABS(t-ROUND(t,0))&lt;0.001,pos_x,NA())</f>
        <v>#N/A</v>
      </c>
      <c r="AE113" s="427" t="n">
        <f aca="false">IF(t&lt;T_para, pos_z, NA())</f>
        <v>57.8808173678719</v>
      </c>
      <c r="AF113" s="413"/>
      <c r="AG113" s="419" t="n">
        <f aca="false">IF(AND(L112&lt;L_rampe,Poussee&lt;Poids*SIN(M112)),0,(-W112+Poussee)/m-Poids*SIN(M112)/m)</f>
        <v>-14.2912839029899</v>
      </c>
      <c r="AH113" s="418" t="n">
        <f aca="false">IF(AND(L112&lt;L_rampe,Poussee&lt;Poids*SIN(M112)), g*SIN(M112), (-W112+Poussee)/m)</f>
        <v>-4.68114674465356</v>
      </c>
    </row>
    <row r="114" customFormat="false" ht="12" hidden="false" customHeight="false" outlineLevel="0" collapsed="false">
      <c r="A114" s="417" t="n">
        <f aca="false">IF(B113+0.01&lt;=T_ini+ROUNDUP(Temps_fin_propu,0), 0.01, IF(K113&gt;0, 0.1, 0.0001))</f>
        <v>0.01</v>
      </c>
      <c r="B114" s="418" t="n">
        <f aca="false">B113+pas</f>
        <v>1.1</v>
      </c>
      <c r="C114" s="402"/>
      <c r="D114" s="419" t="n">
        <f aca="false">IF(AND(L113&lt;L_rampe,Poussee&lt;Poids*SIN(M113)),0,(-W113+Poussee)/m*COS(M113)-U113/m*SIN(M113))</f>
        <v>-0.937812955934289</v>
      </c>
      <c r="E114" s="420" t="n">
        <f aca="false">IF(AND(L113&lt;L_rampe,Poussee&lt;Poids*SIN(M113)),0,(-W113+Poussee)/m*SIN(M113)+U113/m*COS(M113)-Poids/m)</f>
        <v>-14.3789074971848</v>
      </c>
      <c r="F114" s="418" t="n">
        <f aca="false">SQRT(acc_x^2+acc_z^2)</f>
        <v>14.4094577952439</v>
      </c>
      <c r="G114" s="419" t="n">
        <f aca="false">G113+acc_x*pas</f>
        <v>16.1367986340894</v>
      </c>
      <c r="H114" s="420" t="n">
        <f aca="false">H113+acc_z*pas</f>
        <v>78.5183658883411</v>
      </c>
      <c r="I114" s="418" t="n">
        <f aca="false">SQRT(vit_x^2+vit_z^2)</f>
        <v>80.1594040143298</v>
      </c>
      <c r="J114" s="419" t="n">
        <f aca="false">J113+0.5*(vit_x+G113)*pas*(K113&gt;=0)</f>
        <v>11.4198362625145</v>
      </c>
      <c r="K114" s="420" t="n">
        <f aca="false">K113+0.5*(vit_z+H113)*pas</f>
        <v>58.6667199721302</v>
      </c>
      <c r="L114" s="418" t="n">
        <f aca="false">SQRT(pos_x^2+pos_z^2)</f>
        <v>59.7678566835969</v>
      </c>
      <c r="M114" s="419" t="n">
        <f aca="false">IF(AND(L113&gt;L_rampe,G114&gt;0),ATAN2(G114,H114),$M$4)</f>
        <v>1.36810236877059</v>
      </c>
      <c r="N114" s="418" t="n">
        <f aca="false">DEGREES(Beta)</f>
        <v>78.3864916724053</v>
      </c>
      <c r="O114" s="402"/>
      <c r="P114" s="421" t="n">
        <f aca="false">MATCH(t-pas/2-T_ini,CdP_t)</f>
        <v>13</v>
      </c>
      <c r="Q114" s="418" t="n">
        <f aca="false">(INDEX(CdP,2,i_P+1)-INDEX(CdP,2,i_P+0))/(INDEX(CdP,1,i_P+1)-INDEX(CdP,1,i_P+0))*(t-pas/2-T_ini-INDEX(CdP,1,i_P+0))+INDEX(CdP,2,i_P+0)</f>
        <v>0</v>
      </c>
      <c r="R114" s="419" t="n">
        <f aca="false">Poussee/(g*ISP)</f>
        <v>0</v>
      </c>
      <c r="S114" s="420" t="n">
        <f aca="false">S113-Débit*pas</f>
        <v>1.4843</v>
      </c>
      <c r="T114" s="418" t="n">
        <f aca="false">m*g</f>
        <v>14.560983</v>
      </c>
      <c r="U114" s="422" t="n">
        <f aca="false">IF(pos_xz&lt;L_rampe,Poids*COS(Beta),0)</f>
        <v>0</v>
      </c>
      <c r="V114" s="419" t="n">
        <f aca="false">Rho_moyen*(20000-Alt_rampe-pos_z)/(20000+Alt_rampe+pos_z)</f>
        <v>1.21783434607403</v>
      </c>
      <c r="W114" s="418" t="n">
        <f aca="false">1/2*Rho*Sref*Cx*vit_xz^2</f>
        <v>6.89788457343125</v>
      </c>
      <c r="X114" s="402"/>
      <c r="Y114" s="423" t="str">
        <f aca="false">IF(AND(pos_z&lt;=0,K113&gt;0),"Impact balistique","") &amp; IF(AND(H115&lt;0,vit_z&gt;=0),"Apogée","") &amp; IF(AND(Poussee=0,Q113&gt;0),"Fin de propulsion","") &amp; IF(AND(L115&gt;L_rampe,pos_xz&lt;=L_rampe),"Sortie de rampe","")</f>
        <v/>
      </c>
      <c r="Z114" s="424" t="str">
        <f aca="false">IF(ABS(t-T_para)&lt;pas/2,"Para","")</f>
        <v/>
      </c>
      <c r="AA114" s="425" t="str">
        <f aca="false">IF(ABS(t-T_satellite)&lt;pas/2,"Satellite","")</f>
        <v/>
      </c>
      <c r="AB114" s="413"/>
      <c r="AC114" s="421" t="e">
        <f aca="false">IF(ABS(t-ROUND(t,0))&lt;0.001,t,NA())</f>
        <v>#N/A</v>
      </c>
      <c r="AD114" s="426" t="e">
        <f aca="false">IF(ABS(t-ROUND(t,0))&lt;0.001,pos_x,NA())</f>
        <v>#N/A</v>
      </c>
      <c r="AE114" s="427" t="n">
        <f aca="false">IF(t&lt;T_para, pos_z, NA())</f>
        <v>58.6667199721302</v>
      </c>
      <c r="AF114" s="413"/>
      <c r="AG114" s="419" t="n">
        <f aca="false">IF(AND(L113&lt;L_rampe,Poussee&lt;Poids*SIN(M113)),0,(-W113+Poussee)/m-Poids*SIN(M113)/m)</f>
        <v>-14.2738157059141</v>
      </c>
      <c r="AH114" s="418" t="n">
        <f aca="false">IF(AND(L113&lt;L_rampe,Poussee&lt;Poids*SIN(M113)), g*SIN(M113), (-W113+Poussee)/m)</f>
        <v>-4.66416218180173</v>
      </c>
    </row>
    <row r="115" customFormat="false" ht="12" hidden="false" customHeight="false" outlineLevel="0" collapsed="false">
      <c r="A115" s="417" t="n">
        <f aca="false">IF(B114+0.01&lt;=T_ini+ROUNDUP(Temps_fin_propu,0), 0.01, IF(K114&gt;0, 0.1, 0.0001))</f>
        <v>0.01</v>
      </c>
      <c r="B115" s="418" t="n">
        <f aca="false">B114+pas</f>
        <v>1.11</v>
      </c>
      <c r="C115" s="402"/>
      <c r="D115" s="419" t="n">
        <f aca="false">IF(AND(L114&lt;L_rampe,Poussee&lt;Poids*SIN(M114)),0,(-W114+Poussee)/m*COS(M114)-U114/m*SIN(M114))</f>
        <v>-0.935528743358132</v>
      </c>
      <c r="E115" s="420" t="n">
        <f aca="false">IF(AND(L114&lt;L_rampe,Poussee&lt;Poids*SIN(M114)),0,(-W114+Poussee)/m*SIN(M114)+U114/m*COS(M114)-Poids/m)</f>
        <v>-14.36209176465</v>
      </c>
      <c r="F115" s="418" t="n">
        <f aca="false">SQRT(acc_x^2+acc_z^2)</f>
        <v>14.3925290997057</v>
      </c>
      <c r="G115" s="419" t="n">
        <f aca="false">G114+acc_x*pas</f>
        <v>16.1274433466559</v>
      </c>
      <c r="H115" s="420" t="n">
        <f aca="false">H114+acc_z*pas</f>
        <v>78.3747449706946</v>
      </c>
      <c r="I115" s="418" t="n">
        <f aca="false">SQRT(vit_x^2+vit_z^2)</f>
        <v>80.0168424653273</v>
      </c>
      <c r="J115" s="419" t="n">
        <f aca="false">J114+0.5*(vit_x+G114)*pas*(K114&gt;=0)</f>
        <v>11.5811574724183</v>
      </c>
      <c r="K115" s="420" t="n">
        <f aca="false">K114+0.5*(vit_z+H114)*pas</f>
        <v>59.4511855264254</v>
      </c>
      <c r="L115" s="418" t="n">
        <f aca="false">SQRT(pos_x^2+pos_z^2)</f>
        <v>60.5686938021483</v>
      </c>
      <c r="M115" s="419" t="n">
        <f aca="false">IF(AND(L114&gt;L_rampe,G115&gt;0),ATAN2(G115,H115),$M$4)</f>
        <v>1.36785556573213</v>
      </c>
      <c r="N115" s="418" t="n">
        <f aca="false">DEGREES(Beta)</f>
        <v>78.3723508999306</v>
      </c>
      <c r="O115" s="402"/>
      <c r="P115" s="421" t="n">
        <f aca="false">MATCH(t-pas/2-T_ini,CdP_t)</f>
        <v>13</v>
      </c>
      <c r="Q115" s="418" t="n">
        <f aca="false">(INDEX(CdP,2,i_P+1)-INDEX(CdP,2,i_P+0))/(INDEX(CdP,1,i_P+1)-INDEX(CdP,1,i_P+0))*(t-pas/2-T_ini-INDEX(CdP,1,i_P+0))+INDEX(CdP,2,i_P+0)</f>
        <v>0</v>
      </c>
      <c r="R115" s="419" t="n">
        <f aca="false">Poussee/(g*ISP)</f>
        <v>0</v>
      </c>
      <c r="S115" s="420" t="n">
        <f aca="false">S114-Débit*pas</f>
        <v>1.4843</v>
      </c>
      <c r="T115" s="418" t="n">
        <f aca="false">m*g</f>
        <v>14.560983</v>
      </c>
      <c r="U115" s="422" t="n">
        <f aca="false">IF(pos_xz&lt;L_rampe,Poids*COS(Beta),0)</f>
        <v>0</v>
      </c>
      <c r="V115" s="419" t="n">
        <f aca="false">Rho_moyen*(20000-Alt_rampe-pos_z)/(20000+Alt_rampe+pos_z)</f>
        <v>1.21773881407858</v>
      </c>
      <c r="W115" s="418" t="n">
        <f aca="false">1/2*Rho*Sref*Cx*vit_xz^2</f>
        <v>6.87283177579786</v>
      </c>
      <c r="X115" s="402"/>
      <c r="Y115" s="423" t="str">
        <f aca="false">IF(AND(pos_z&lt;=0,K114&gt;0),"Impact balistique","") &amp; IF(AND(H116&lt;0,vit_z&gt;=0),"Apogée","") &amp; IF(AND(Poussee=0,Q114&gt;0),"Fin de propulsion","") &amp; IF(AND(L116&gt;L_rampe,pos_xz&lt;=L_rampe),"Sortie de rampe","")</f>
        <v/>
      </c>
      <c r="Z115" s="424" t="str">
        <f aca="false">IF(ABS(t-T_para)&lt;pas/2,"Para","")</f>
        <v/>
      </c>
      <c r="AA115" s="425" t="str">
        <f aca="false">IF(ABS(t-T_satellite)&lt;pas/2,"Satellite","")</f>
        <v/>
      </c>
      <c r="AB115" s="413"/>
      <c r="AC115" s="421" t="e">
        <f aca="false">IF(ABS(t-ROUND(t,0))&lt;0.001,t,NA())</f>
        <v>#N/A</v>
      </c>
      <c r="AD115" s="426" t="e">
        <f aca="false">IF(ABS(t-ROUND(t,0))&lt;0.001,pos_x,NA())</f>
        <v>#N/A</v>
      </c>
      <c r="AE115" s="427" t="n">
        <f aca="false">IF(t&lt;T_para, pos_z, NA())</f>
        <v>59.4511855264254</v>
      </c>
      <c r="AF115" s="413"/>
      <c r="AG115" s="419" t="n">
        <f aca="false">IF(AND(L114&lt;L_rampe,Poussee&lt;Poids*SIN(M114)),0,(-W114+Poussee)/m-Poids*SIN(M114)/m)</f>
        <v>-14.2563985985025</v>
      </c>
      <c r="AH115" s="418" t="n">
        <f aca="false">IF(AND(L114&lt;L_rampe,Poussee&lt;Poids*SIN(M114)), g*SIN(M114), (-W114+Poussee)/m)</f>
        <v>-4.64723073060113</v>
      </c>
    </row>
    <row r="116" customFormat="false" ht="12" hidden="false" customHeight="false" outlineLevel="0" collapsed="false">
      <c r="A116" s="417" t="n">
        <f aca="false">IF(B115+0.01&lt;=T_ini+ROUNDUP(Temps_fin_propu,0), 0.01, IF(K115&gt;0, 0.1, 0.0001))</f>
        <v>0.01</v>
      </c>
      <c r="B116" s="418" t="n">
        <f aca="false">B115+pas</f>
        <v>1.12</v>
      </c>
      <c r="C116" s="402"/>
      <c r="D116" s="419" t="n">
        <f aca="false">IF(AND(L115&lt;L_rampe,Poussee&lt;Poids*SIN(M115)),0,(-W115+Poussee)/m*COS(M115)-U115/m*SIN(M115))</f>
        <v>-0.933250307532685</v>
      </c>
      <c r="E116" s="420" t="n">
        <f aca="false">IF(AND(L115&lt;L_rampe,Poussee&lt;Poids*SIN(M115)),0,(-W115+Poussee)/m*SIN(M115)+U115/m*COS(M115)-Poids/m)</f>
        <v>-14.3453285870859</v>
      </c>
      <c r="F116" s="418" t="n">
        <f aca="false">SQRT(acc_x^2+acc_z^2)</f>
        <v>14.3756533210833</v>
      </c>
      <c r="G116" s="419" t="n">
        <f aca="false">G115+acc_x*pas</f>
        <v>16.1181108435805</v>
      </c>
      <c r="H116" s="420" t="n">
        <f aca="false">H115+acc_z*pas</f>
        <v>78.2312916848237</v>
      </c>
      <c r="I116" s="418" t="n">
        <f aca="false">SQRT(vit_x^2+vit_z^2)</f>
        <v>79.8744545886976</v>
      </c>
      <c r="J116" s="419" t="n">
        <f aca="false">J115+0.5*(vit_x+G115)*pas*(K115&gt;=0)</f>
        <v>11.7423852433695</v>
      </c>
      <c r="K116" s="420" t="n">
        <f aca="false">K115+0.5*(vit_z+H115)*pas</f>
        <v>60.2342157097029</v>
      </c>
      <c r="L116" s="418" t="n">
        <f aca="false">SQRT(pos_x^2+pos_z^2)</f>
        <v>61.3681053428141</v>
      </c>
      <c r="M116" s="419" t="n">
        <f aca="false">IF(AND(L115&gt;L_rampe,G116&gt;0),ATAN2(G116,H116),$M$4)</f>
        <v>1.36760802582631</v>
      </c>
      <c r="N116" s="418" t="n">
        <f aca="false">DEGREES(Beta)</f>
        <v>78.3581679080661</v>
      </c>
      <c r="O116" s="402"/>
      <c r="P116" s="421" t="n">
        <f aca="false">MATCH(t-pas/2-T_ini,CdP_t)</f>
        <v>13</v>
      </c>
      <c r="Q116" s="418" t="n">
        <f aca="false">(INDEX(CdP,2,i_P+1)-INDEX(CdP,2,i_P+0))/(INDEX(CdP,1,i_P+1)-INDEX(CdP,1,i_P+0))*(t-pas/2-T_ini-INDEX(CdP,1,i_P+0))+INDEX(CdP,2,i_P+0)</f>
        <v>0</v>
      </c>
      <c r="R116" s="419" t="n">
        <f aca="false">Poussee/(g*ISP)</f>
        <v>0</v>
      </c>
      <c r="S116" s="420" t="n">
        <f aca="false">S115-Débit*pas</f>
        <v>1.4843</v>
      </c>
      <c r="T116" s="418" t="n">
        <f aca="false">m*g</f>
        <v>14.560983</v>
      </c>
      <c r="U116" s="422" t="n">
        <f aca="false">IF(pos_xz&lt;L_rampe,Poids*COS(Beta),0)</f>
        <v>0</v>
      </c>
      <c r="V116" s="419" t="n">
        <f aca="false">Rho_moyen*(20000-Alt_rampe-pos_z)/(20000+Alt_rampe+pos_z)</f>
        <v>1.21764346433337</v>
      </c>
      <c r="W116" s="418" t="n">
        <f aca="false">1/2*Rho*Sref*Cx*vit_xz^2</f>
        <v>6.84785725663785</v>
      </c>
      <c r="X116" s="402"/>
      <c r="Y116" s="423" t="str">
        <f aca="false">IF(AND(pos_z&lt;=0,K115&gt;0),"Impact balistique","") &amp; IF(AND(H117&lt;0,vit_z&gt;=0),"Apogée","") &amp; IF(AND(Poussee=0,Q115&gt;0),"Fin de propulsion","") &amp; IF(AND(L117&gt;L_rampe,pos_xz&lt;=L_rampe),"Sortie de rampe","")</f>
        <v/>
      </c>
      <c r="Z116" s="424" t="str">
        <f aca="false">IF(ABS(t-T_para)&lt;pas/2,"Para","")</f>
        <v/>
      </c>
      <c r="AA116" s="425" t="str">
        <f aca="false">IF(ABS(t-T_satellite)&lt;pas/2,"Satellite","")</f>
        <v/>
      </c>
      <c r="AB116" s="413"/>
      <c r="AC116" s="421" t="e">
        <f aca="false">IF(ABS(t-ROUND(t,0))&lt;0.001,t,NA())</f>
        <v>#N/A</v>
      </c>
      <c r="AD116" s="426" t="e">
        <f aca="false">IF(ABS(t-ROUND(t,0))&lt;0.001,pos_x,NA())</f>
        <v>#N/A</v>
      </c>
      <c r="AE116" s="427" t="n">
        <f aca="false">IF(t&lt;T_para, pos_z, NA())</f>
        <v>60.2342157097029</v>
      </c>
      <c r="AF116" s="413"/>
      <c r="AG116" s="419" t="n">
        <f aca="false">IF(AND(L115&lt;L_rampe,Poussee&lt;Poids*SIN(M115)),0,(-W115+Poussee)/m-Poids*SIN(M115)/m)</f>
        <v>-14.2390323823432</v>
      </c>
      <c r="AH116" s="418" t="n">
        <f aca="false">IF(AND(L115&lt;L_rampe,Poussee&lt;Poids*SIN(M115)), g*SIN(M115), (-W115+Poussee)/m)</f>
        <v>-4.63035220359622</v>
      </c>
    </row>
    <row r="117" customFormat="false" ht="12" hidden="false" customHeight="false" outlineLevel="0" collapsed="false">
      <c r="A117" s="417" t="n">
        <f aca="false">IF(B116+0.01&lt;=T_ini+ROUNDUP(Temps_fin_propu,0), 0.01, IF(K116&gt;0, 0.1, 0.0001))</f>
        <v>0.01</v>
      </c>
      <c r="B117" s="418" t="n">
        <f aca="false">B116+pas</f>
        <v>1.13</v>
      </c>
      <c r="C117" s="402"/>
      <c r="D117" s="419" t="n">
        <f aca="false">IF(AND(L116&lt;L_rampe,Poussee&lt;Poids*SIN(M116)),0,(-W116+Poussee)/m*COS(M116)-U116/m*SIN(M116))</f>
        <v>-0.930977626166195</v>
      </c>
      <c r="E117" s="420" t="n">
        <f aca="false">IF(AND(L116&lt;L_rampe,Poussee&lt;Poids*SIN(M116)),0,(-W116+Poussee)/m*SIN(M116)+U116/m*COS(M116)-Poids/m)</f>
        <v>-14.3286177791834</v>
      </c>
      <c r="F117" s="418" t="n">
        <f aca="false">SQRT(acc_x^2+acc_z^2)</f>
        <v>14.3588302727748</v>
      </c>
      <c r="G117" s="419" t="n">
        <f aca="false">G116+acc_x*pas</f>
        <v>16.1088010673189</v>
      </c>
      <c r="H117" s="420" t="n">
        <f aca="false">H116+acc_z*pas</f>
        <v>78.0880055070319</v>
      </c>
      <c r="I117" s="418" t="n">
        <f aca="false">SQRT(vit_x^2+vit_z^2)</f>
        <v>79.7322398775595</v>
      </c>
      <c r="J117" s="419" t="n">
        <f aca="false">J116+0.5*(vit_x+G116)*pas*(K116&gt;=0)</f>
        <v>11.903519802924</v>
      </c>
      <c r="K117" s="420" t="n">
        <f aca="false">K116+0.5*(vit_z+H116)*pas</f>
        <v>61.0158121956622</v>
      </c>
      <c r="L117" s="418" t="n">
        <f aca="false">SQRT(pos_x^2+pos_z^2)</f>
        <v>62.1660930217987</v>
      </c>
      <c r="M117" s="419" t="n">
        <f aca="false">IF(AND(L116&gt;L_rampe,G117&gt;0),ATAN2(G117,H117),$M$4)</f>
        <v>1.36735974608765</v>
      </c>
      <c r="N117" s="418" t="n">
        <f aca="false">DEGREES(Beta)</f>
        <v>78.3439425269022</v>
      </c>
      <c r="O117" s="402"/>
      <c r="P117" s="421" t="n">
        <f aca="false">MATCH(t-pas/2-T_ini,CdP_t)</f>
        <v>13</v>
      </c>
      <c r="Q117" s="418" t="n">
        <f aca="false">(INDEX(CdP,2,i_P+1)-INDEX(CdP,2,i_P+0))/(INDEX(CdP,1,i_P+1)-INDEX(CdP,1,i_P+0))*(t-pas/2-T_ini-INDEX(CdP,1,i_P+0))+INDEX(CdP,2,i_P+0)</f>
        <v>0</v>
      </c>
      <c r="R117" s="419" t="n">
        <f aca="false">Poussee/(g*ISP)</f>
        <v>0</v>
      </c>
      <c r="S117" s="420" t="n">
        <f aca="false">S116-Débit*pas</f>
        <v>1.4843</v>
      </c>
      <c r="T117" s="418" t="n">
        <f aca="false">m*g</f>
        <v>14.560983</v>
      </c>
      <c r="U117" s="422" t="n">
        <f aca="false">IF(pos_xz&lt;L_rampe,Poids*COS(Beta),0)</f>
        <v>0</v>
      </c>
      <c r="V117" s="419" t="n">
        <f aca="false">Rho_moyen*(20000-Alt_rampe-pos_z)/(20000+Alt_rampe+pos_z)</f>
        <v>1.21754829659281</v>
      </c>
      <c r="W117" s="418" t="n">
        <f aca="false">1/2*Rho*Sref*Cx*vit_xz^2</f>
        <v>6.82296074036357</v>
      </c>
      <c r="X117" s="402"/>
      <c r="Y117" s="423" t="str">
        <f aca="false">IF(AND(pos_z&lt;=0,K116&gt;0),"Impact balistique","") &amp; IF(AND(H118&lt;0,vit_z&gt;=0),"Apogée","") &amp; IF(AND(Poussee=0,Q116&gt;0),"Fin de propulsion","") &amp; IF(AND(L118&gt;L_rampe,pos_xz&lt;=L_rampe),"Sortie de rampe","")</f>
        <v/>
      </c>
      <c r="Z117" s="424" t="str">
        <f aca="false">IF(ABS(t-T_para)&lt;pas/2,"Para","")</f>
        <v/>
      </c>
      <c r="AA117" s="425" t="str">
        <f aca="false">IF(ABS(t-T_satellite)&lt;pas/2,"Satellite","")</f>
        <v/>
      </c>
      <c r="AB117" s="413"/>
      <c r="AC117" s="421" t="e">
        <f aca="false">IF(ABS(t-ROUND(t,0))&lt;0.001,t,NA())</f>
        <v>#N/A</v>
      </c>
      <c r="AD117" s="426" t="e">
        <f aca="false">IF(ABS(t-ROUND(t,0))&lt;0.001,pos_x,NA())</f>
        <v>#N/A</v>
      </c>
      <c r="AE117" s="427" t="n">
        <f aca="false">IF(t&lt;T_para, pos_z, NA())</f>
        <v>61.0158121956622</v>
      </c>
      <c r="AF117" s="413"/>
      <c r="AG117" s="419" t="n">
        <f aca="false">IF(AND(L116&lt;L_rampe,Poussee&lt;Poids*SIN(M116)),0,(-W116+Poussee)/m-Poids*SIN(M116)/m)</f>
        <v>-14.2217168598461</v>
      </c>
      <c r="AH117" s="418" t="n">
        <f aca="false">IF(AND(L116&lt;L_rampe,Poussee&lt;Poids*SIN(M116)), g*SIN(M116), (-W116+Poussee)/m)</f>
        <v>-4.61352641422749</v>
      </c>
    </row>
    <row r="118" customFormat="false" ht="12" hidden="false" customHeight="false" outlineLevel="0" collapsed="false">
      <c r="A118" s="417" t="n">
        <f aca="false">IF(B117+0.01&lt;=T_ini+ROUNDUP(Temps_fin_propu,0), 0.01, IF(K117&gt;0, 0.1, 0.0001))</f>
        <v>0.01</v>
      </c>
      <c r="B118" s="418" t="n">
        <f aca="false">B117+pas</f>
        <v>1.14</v>
      </c>
      <c r="C118" s="402"/>
      <c r="D118" s="419" t="n">
        <f aca="false">IF(AND(L117&lt;L_rampe,Poussee&lt;Poids*SIN(M117)),0,(-W117+Poussee)/m*COS(M117)-U117/m*SIN(M117))</f>
        <v>-0.928710677070855</v>
      </c>
      <c r="E118" s="420" t="n">
        <f aca="false">IF(AND(L117&lt;L_rampe,Poussee&lt;Poids*SIN(M117)),0,(-W117+Poussee)/m*SIN(M117)+U117/m*COS(M117)-Poids/m)</f>
        <v>-14.3119591565183</v>
      </c>
      <c r="F118" s="418" t="n">
        <f aca="false">SQRT(acc_x^2+acc_z^2)</f>
        <v>14.3420597690692</v>
      </c>
      <c r="G118" s="419" t="n">
        <f aca="false">G117+acc_x*pas</f>
        <v>16.0995139605482</v>
      </c>
      <c r="H118" s="420" t="n">
        <f aca="false">H117+acc_z*pas</f>
        <v>77.9448859154667</v>
      </c>
      <c r="I118" s="418" t="n">
        <f aca="false">SQRT(vit_x^2+vit_z^2)</f>
        <v>79.5901978270001</v>
      </c>
      <c r="J118" s="419" t="n">
        <f aca="false">J117+0.5*(vit_x+G117)*pas*(K117&gt;=0)</f>
        <v>12.0645613780633</v>
      </c>
      <c r="K118" s="420" t="n">
        <f aca="false">K117+0.5*(vit_z+H117)*pas</f>
        <v>61.7959766527747</v>
      </c>
      <c r="L118" s="418" t="n">
        <f aca="false">SQRT(pos_x^2+pos_z^2)</f>
        <v>62.9626585502497</v>
      </c>
      <c r="M118" s="419" t="n">
        <f aca="false">IF(AND(L117&gt;L_rampe,G118&gt;0),ATAN2(G118,H118),$M$4)</f>
        <v>1.3671107235346</v>
      </c>
      <c r="N118" s="418" t="n">
        <f aca="false">DEGREES(Beta)</f>
        <v>78.3296745856088</v>
      </c>
      <c r="O118" s="402"/>
      <c r="P118" s="421" t="n">
        <f aca="false">MATCH(t-pas/2-T_ini,CdP_t)</f>
        <v>13</v>
      </c>
      <c r="Q118" s="418" t="n">
        <f aca="false">(INDEX(CdP,2,i_P+1)-INDEX(CdP,2,i_P+0))/(INDEX(CdP,1,i_P+1)-INDEX(CdP,1,i_P+0))*(t-pas/2-T_ini-INDEX(CdP,1,i_P+0))+INDEX(CdP,2,i_P+0)</f>
        <v>0</v>
      </c>
      <c r="R118" s="419" t="n">
        <f aca="false">Poussee/(g*ISP)</f>
        <v>0</v>
      </c>
      <c r="S118" s="420" t="n">
        <f aca="false">S117-Débit*pas</f>
        <v>1.4843</v>
      </c>
      <c r="T118" s="418" t="n">
        <f aca="false">m*g</f>
        <v>14.560983</v>
      </c>
      <c r="U118" s="422" t="n">
        <f aca="false">IF(pos_xz&lt;L_rampe,Poids*COS(Beta),0)</f>
        <v>0</v>
      </c>
      <c r="V118" s="419" t="n">
        <f aca="false">Rho_moyen*(20000-Alt_rampe-pos_z)/(20000+Alt_rampe+pos_z)</f>
        <v>1.2174533106121</v>
      </c>
      <c r="W118" s="418" t="n">
        <f aca="false">1/2*Rho*Sref*Cx*vit_xz^2</f>
        <v>6.79814195270256</v>
      </c>
      <c r="X118" s="402"/>
      <c r="Y118" s="423" t="str">
        <f aca="false">IF(AND(pos_z&lt;=0,K117&gt;0),"Impact balistique","") &amp; IF(AND(H119&lt;0,vit_z&gt;=0),"Apogée","") &amp; IF(AND(Poussee=0,Q117&gt;0),"Fin de propulsion","") &amp; IF(AND(L119&gt;L_rampe,pos_xz&lt;=L_rampe),"Sortie de rampe","")</f>
        <v/>
      </c>
      <c r="Z118" s="424" t="str">
        <f aca="false">IF(ABS(t-T_para)&lt;pas/2,"Para","")</f>
        <v/>
      </c>
      <c r="AA118" s="425" t="str">
        <f aca="false">IF(ABS(t-T_satellite)&lt;pas/2,"Satellite","")</f>
        <v/>
      </c>
      <c r="AB118" s="413"/>
      <c r="AC118" s="421" t="e">
        <f aca="false">IF(ABS(t-ROUND(t,0))&lt;0.001,t,NA())</f>
        <v>#N/A</v>
      </c>
      <c r="AD118" s="426" t="e">
        <f aca="false">IF(ABS(t-ROUND(t,0))&lt;0.001,pos_x,NA())</f>
        <v>#N/A</v>
      </c>
      <c r="AE118" s="427" t="n">
        <f aca="false">IF(t&lt;T_para, pos_z, NA())</f>
        <v>61.7959766527747</v>
      </c>
      <c r="AF118" s="413"/>
      <c r="AG118" s="419" t="n">
        <f aca="false">IF(AND(L117&lt;L_rampe,Poussee&lt;Poids*SIN(M117)),0,(-W117+Poussee)/m-Poids*SIN(M117)/m)</f>
        <v>-14.2044518342373</v>
      </c>
      <c r="AH118" s="418" t="n">
        <f aca="false">IF(AND(L117&lt;L_rampe,Poussee&lt;Poids*SIN(M117)), g*SIN(M117), (-W117+Poussee)/m)</f>
        <v>-4.5967531768265</v>
      </c>
    </row>
    <row r="119" customFormat="false" ht="12" hidden="false" customHeight="false" outlineLevel="0" collapsed="false">
      <c r="A119" s="417" t="n">
        <f aca="false">IF(B118+0.01&lt;=T_ini+ROUNDUP(Temps_fin_propu,0), 0.01, IF(K118&gt;0, 0.1, 0.0001))</f>
        <v>0.01</v>
      </c>
      <c r="B119" s="418" t="n">
        <f aca="false">B118+pas</f>
        <v>1.15</v>
      </c>
      <c r="C119" s="402"/>
      <c r="D119" s="419" t="n">
        <f aca="false">IF(AND(L118&lt;L_rampe,Poussee&lt;Poids*SIN(M118)),0,(-W118+Poussee)/m*COS(M118)-U118/m*SIN(M118))</f>
        <v>-0.926449438162216</v>
      </c>
      <c r="E119" s="420" t="n">
        <f aca="false">IF(AND(L118&lt;L_rampe,Poussee&lt;Poids*SIN(M118)),0,(-W118+Poussee)/m*SIN(M118)+U118/m*COS(M118)-Poids/m)</f>
        <v>-14.295352535546</v>
      </c>
      <c r="F119" s="418" t="n">
        <f aca="false">SQRT(acc_x^2+acc_z^2)</f>
        <v>14.3253416251415</v>
      </c>
      <c r="G119" s="419" t="n">
        <f aca="false">G118+acc_x*pas</f>
        <v>16.0902494661665</v>
      </c>
      <c r="H119" s="420" t="n">
        <f aca="false">H118+acc_z*pas</f>
        <v>77.8019323901112</v>
      </c>
      <c r="I119" s="418" t="n">
        <f aca="false">SQRT(vit_x^2+vit_z^2)</f>
        <v>79.4483279340661</v>
      </c>
      <c r="J119" s="419" t="n">
        <f aca="false">J118+0.5*(vit_x+G118)*pas*(K118&gt;=0)</f>
        <v>12.2255101951969</v>
      </c>
      <c r="K119" s="420" t="n">
        <f aca="false">K118+0.5*(vit_z+H118)*pas</f>
        <v>62.5747107443026</v>
      </c>
      <c r="L119" s="418" t="n">
        <f aca="false">SQRT(pos_x^2+pos_z^2)</f>
        <v>63.757803634269</v>
      </c>
      <c r="M119" s="419" t="n">
        <f aca="false">IF(AND(L118&gt;L_rampe,G119&gt;0),ATAN2(G119,H119),$M$4)</f>
        <v>1.36686095516942</v>
      </c>
      <c r="N119" s="418" t="n">
        <f aca="false">DEGREES(Beta)</f>
        <v>78.3153639124283</v>
      </c>
      <c r="O119" s="402"/>
      <c r="P119" s="421" t="n">
        <f aca="false">MATCH(t-pas/2-T_ini,CdP_t)</f>
        <v>13</v>
      </c>
      <c r="Q119" s="418" t="n">
        <f aca="false">(INDEX(CdP,2,i_P+1)-INDEX(CdP,2,i_P+0))/(INDEX(CdP,1,i_P+1)-INDEX(CdP,1,i_P+0))*(t-pas/2-T_ini-INDEX(CdP,1,i_P+0))+INDEX(CdP,2,i_P+0)</f>
        <v>0</v>
      </c>
      <c r="R119" s="419" t="n">
        <f aca="false">Poussee/(g*ISP)</f>
        <v>0</v>
      </c>
      <c r="S119" s="420" t="n">
        <f aca="false">S118-Débit*pas</f>
        <v>1.4843</v>
      </c>
      <c r="T119" s="418" t="n">
        <f aca="false">m*g</f>
        <v>14.560983</v>
      </c>
      <c r="U119" s="422" t="n">
        <f aca="false">IF(pos_xz&lt;L_rampe,Poids*COS(Beta),0)</f>
        <v>0</v>
      </c>
      <c r="V119" s="419" t="n">
        <f aca="false">Rho_moyen*(20000-Alt_rampe-pos_z)/(20000+Alt_rampe+pos_z)</f>
        <v>1.2173585061472</v>
      </c>
      <c r="W119" s="418" t="n">
        <f aca="false">1/2*Rho*Sref*Cx*vit_xz^2</f>
        <v>6.77340062069027</v>
      </c>
      <c r="X119" s="402"/>
      <c r="Y119" s="423" t="str">
        <f aca="false">IF(AND(pos_z&lt;=0,K118&gt;0),"Impact balistique","") &amp; IF(AND(H120&lt;0,vit_z&gt;=0),"Apogée","") &amp; IF(AND(Poussee=0,Q118&gt;0),"Fin de propulsion","") &amp; IF(AND(L120&gt;L_rampe,pos_xz&lt;=L_rampe),"Sortie de rampe","")</f>
        <v/>
      </c>
      <c r="Z119" s="424" t="str">
        <f aca="false">IF(ABS(t-T_para)&lt;pas/2,"Para","")</f>
        <v/>
      </c>
      <c r="AA119" s="425" t="str">
        <f aca="false">IF(ABS(t-T_satellite)&lt;pas/2,"Satellite","")</f>
        <v/>
      </c>
      <c r="AB119" s="413"/>
      <c r="AC119" s="421" t="e">
        <f aca="false">IF(ABS(t-ROUND(t,0))&lt;0.001,t,NA())</f>
        <v>#N/A</v>
      </c>
      <c r="AD119" s="426" t="e">
        <f aca="false">IF(ABS(t-ROUND(t,0))&lt;0.001,pos_x,NA())</f>
        <v>#N/A</v>
      </c>
      <c r="AE119" s="427" t="n">
        <f aca="false">IF(t&lt;T_para, pos_z, NA())</f>
        <v>62.5747107443026</v>
      </c>
      <c r="AF119" s="413"/>
      <c r="AG119" s="419" t="n">
        <f aca="false">IF(AND(L118&lt;L_rampe,Poussee&lt;Poids*SIN(M118)),0,(-W118+Poussee)/m-Poids*SIN(M118)/m)</f>
        <v>-14.1872371095538</v>
      </c>
      <c r="AH119" s="418" t="n">
        <f aca="false">IF(AND(L118&lt;L_rampe,Poussee&lt;Poids*SIN(M118)), g*SIN(M118), (-W118+Poussee)/m)</f>
        <v>-4.58003230661091</v>
      </c>
    </row>
    <row r="120" customFormat="false" ht="12" hidden="false" customHeight="false" outlineLevel="0" collapsed="false">
      <c r="A120" s="417" t="n">
        <f aca="false">IF(B119+0.01&lt;=T_ini+ROUNDUP(Temps_fin_propu,0), 0.01, IF(K119&gt;0, 0.1, 0.0001))</f>
        <v>0.01</v>
      </c>
      <c r="B120" s="418" t="n">
        <f aca="false">B119+pas</f>
        <v>1.16</v>
      </c>
      <c r="C120" s="402"/>
      <c r="D120" s="419" t="n">
        <f aca="false">IF(AND(L119&lt;L_rampe,Poussee&lt;Poids*SIN(M119)),0,(-W119+Poussee)/m*COS(M119)-U119/m*SIN(M119))</f>
        <v>-0.92419388745862</v>
      </c>
      <c r="E120" s="420" t="n">
        <f aca="false">IF(AND(L119&lt;L_rampe,Poussee&lt;Poids*SIN(M119)),0,(-W119+Poussee)/m*SIN(M119)+U119/m*COS(M119)-Poids/m)</f>
        <v>-14.2787977335966</v>
      </c>
      <c r="F120" s="418" t="n">
        <f aca="false">SQRT(acc_x^2+acc_z^2)</f>
        <v>14.3086756570474</v>
      </c>
      <c r="G120" s="419" t="n">
        <f aca="false">G119+acc_x*pas</f>
        <v>16.081007527292</v>
      </c>
      <c r="H120" s="420" t="n">
        <f aca="false">H119+acc_z*pas</f>
        <v>77.6591444127753</v>
      </c>
      <c r="I120" s="418" t="n">
        <f aca="false">SQRT(vit_x^2+vit_z^2)</f>
        <v>79.3066296977567</v>
      </c>
      <c r="J120" s="419" t="n">
        <f aca="false">J119+0.5*(vit_x+G119)*pas*(K119&gt;=0)</f>
        <v>12.3863664801642</v>
      </c>
      <c r="K120" s="420" t="n">
        <f aca="false">K119+0.5*(vit_z+H119)*pas</f>
        <v>63.352016128317</v>
      </c>
      <c r="L120" s="418" t="n">
        <f aca="false">SQRT(pos_x^2+pos_z^2)</f>
        <v>64.5515299749237</v>
      </c>
      <c r="M120" s="419" t="n">
        <f aca="false">IF(AND(L119&gt;L_rampe,G120&gt;0),ATAN2(G120,H120),$M$4)</f>
        <v>1.36661043797811</v>
      </c>
      <c r="N120" s="418" t="n">
        <f aca="false">DEGREES(Beta)</f>
        <v>78.3010103346704</v>
      </c>
      <c r="O120" s="402"/>
      <c r="P120" s="421" t="n">
        <f aca="false">MATCH(t-pas/2-T_ini,CdP_t)</f>
        <v>13</v>
      </c>
      <c r="Q120" s="418" t="n">
        <f aca="false">(INDEX(CdP,2,i_P+1)-INDEX(CdP,2,i_P+0))/(INDEX(CdP,1,i_P+1)-INDEX(CdP,1,i_P+0))*(t-pas/2-T_ini-INDEX(CdP,1,i_P+0))+INDEX(CdP,2,i_P+0)</f>
        <v>0</v>
      </c>
      <c r="R120" s="419" t="n">
        <f aca="false">Poussee/(g*ISP)</f>
        <v>0</v>
      </c>
      <c r="S120" s="420" t="n">
        <f aca="false">S119-Débit*pas</f>
        <v>1.4843</v>
      </c>
      <c r="T120" s="418" t="n">
        <f aca="false">m*g</f>
        <v>14.560983</v>
      </c>
      <c r="U120" s="422" t="n">
        <f aca="false">IF(pos_xz&lt;L_rampe,Poids*COS(Beta),0)</f>
        <v>0</v>
      </c>
      <c r="V120" s="419" t="n">
        <f aca="false">Rho_moyen*(20000-Alt_rampe-pos_z)/(20000+Alt_rampe+pos_z)</f>
        <v>1.21726388295487</v>
      </c>
      <c r="W120" s="418" t="n">
        <f aca="false">1/2*Rho*Sref*Cx*vit_xz^2</f>
        <v>6.74873647266281</v>
      </c>
      <c r="X120" s="402"/>
      <c r="Y120" s="423" t="str">
        <f aca="false">IF(AND(pos_z&lt;=0,K119&gt;0),"Impact balistique","") &amp; IF(AND(H121&lt;0,vit_z&gt;=0),"Apogée","") &amp; IF(AND(Poussee=0,Q119&gt;0),"Fin de propulsion","") &amp; IF(AND(L121&gt;L_rampe,pos_xz&lt;=L_rampe),"Sortie de rampe","")</f>
        <v/>
      </c>
      <c r="Z120" s="424" t="str">
        <f aca="false">IF(ABS(t-T_para)&lt;pas/2,"Para","")</f>
        <v/>
      </c>
      <c r="AA120" s="425" t="str">
        <f aca="false">IF(ABS(t-T_satellite)&lt;pas/2,"Satellite","")</f>
        <v/>
      </c>
      <c r="AB120" s="413"/>
      <c r="AC120" s="421" t="e">
        <f aca="false">IF(ABS(t-ROUND(t,0))&lt;0.001,t,NA())</f>
        <v>#N/A</v>
      </c>
      <c r="AD120" s="426" t="e">
        <f aca="false">IF(ABS(t-ROUND(t,0))&lt;0.001,pos_x,NA())</f>
        <v>#N/A</v>
      </c>
      <c r="AE120" s="427" t="n">
        <f aca="false">IF(t&lt;T_para, pos_z, NA())</f>
        <v>63.352016128317</v>
      </c>
      <c r="AF120" s="413"/>
      <c r="AG120" s="419" t="n">
        <f aca="false">IF(AND(L119&lt;L_rampe,Poussee&lt;Poids*SIN(M119)),0,(-W119+Poussee)/m-Poids*SIN(M119)/m)</f>
        <v>-14.1700724906377</v>
      </c>
      <c r="AH120" s="418" t="n">
        <f aca="false">IF(AND(L119&lt;L_rampe,Poussee&lt;Poids*SIN(M119)), g*SIN(M119), (-W119+Poussee)/m)</f>
        <v>-4.5633636196795</v>
      </c>
    </row>
    <row r="121" customFormat="false" ht="12" hidden="false" customHeight="false" outlineLevel="0" collapsed="false">
      <c r="A121" s="417" t="n">
        <f aca="false">IF(B120+0.01&lt;=T_ini+ROUNDUP(Temps_fin_propu,0), 0.01, IF(K120&gt;0, 0.1, 0.0001))</f>
        <v>0.01</v>
      </c>
      <c r="B121" s="418" t="n">
        <f aca="false">B120+pas</f>
        <v>1.17</v>
      </c>
      <c r="C121" s="402"/>
      <c r="D121" s="419" t="n">
        <f aca="false">IF(AND(L120&lt;L_rampe,Poussee&lt;Poids*SIN(M120)),0,(-W120+Poussee)/m*COS(M120)-U120/m*SIN(M120))</f>
        <v>-0.921944003080629</v>
      </c>
      <c r="E121" s="420" t="n">
        <f aca="false">IF(AND(L120&lt;L_rampe,Poussee&lt;Poids*SIN(M120)),0,(-W120+Poussee)/m*SIN(M120)+U120/m*COS(M120)-Poids/m)</f>
        <v>-14.2622945688707</v>
      </c>
      <c r="F121" s="418" t="n">
        <f aca="false">SQRT(acc_x^2+acc_z^2)</f>
        <v>14.2920616817188</v>
      </c>
      <c r="G121" s="419" t="n">
        <f aca="false">G120+acc_x*pas</f>
        <v>16.0717880872611</v>
      </c>
      <c r="H121" s="420" t="n">
        <f aca="false">H120+acc_z*pas</f>
        <v>77.5165214670866</v>
      </c>
      <c r="I121" s="418" t="n">
        <f aca="false">SQRT(vit_x^2+vit_z^2)</f>
        <v>79.1651026190147</v>
      </c>
      <c r="J121" s="419" t="n">
        <f aca="false">J120+0.5*(vit_x+G120)*pas*(K120&gt;=0)</f>
        <v>12.5471304582369</v>
      </c>
      <c r="K121" s="420" t="n">
        <f aca="false">K120+0.5*(vit_z+H120)*pas</f>
        <v>64.1278944577163</v>
      </c>
      <c r="L121" s="418" t="n">
        <f aca="false">SQRT(pos_x^2+pos_z^2)</f>
        <v>65.3438392682587</v>
      </c>
      <c r="M121" s="419" t="n">
        <f aca="false">IF(AND(L120&gt;L_rampe,G121&gt;0),ATAN2(G121,H121),$M$4)</f>
        <v>1.36635916893024</v>
      </c>
      <c r="N121" s="418" t="n">
        <f aca="false">DEGREES(Beta)</f>
        <v>78.2866136787052</v>
      </c>
      <c r="O121" s="402"/>
      <c r="P121" s="421" t="n">
        <f aca="false">MATCH(t-pas/2-T_ini,CdP_t)</f>
        <v>13</v>
      </c>
      <c r="Q121" s="418" t="n">
        <f aca="false">(INDEX(CdP,2,i_P+1)-INDEX(CdP,2,i_P+0))/(INDEX(CdP,1,i_P+1)-INDEX(CdP,1,i_P+0))*(t-pas/2-T_ini-INDEX(CdP,1,i_P+0))+INDEX(CdP,2,i_P+0)</f>
        <v>0</v>
      </c>
      <c r="R121" s="419" t="n">
        <f aca="false">Poussee/(g*ISP)</f>
        <v>0</v>
      </c>
      <c r="S121" s="420" t="n">
        <f aca="false">S120-Débit*pas</f>
        <v>1.4843</v>
      </c>
      <c r="T121" s="418" t="n">
        <f aca="false">m*g</f>
        <v>14.560983</v>
      </c>
      <c r="U121" s="422" t="n">
        <f aca="false">IF(pos_xz&lt;L_rampe,Poids*COS(Beta),0)</f>
        <v>0</v>
      </c>
      <c r="V121" s="419" t="n">
        <f aca="false">Rho_moyen*(20000-Alt_rampe-pos_z)/(20000+Alt_rampe+pos_z)</f>
        <v>1.21716944079265</v>
      </c>
      <c r="W121" s="418" t="n">
        <f aca="false">1/2*Rho*Sref*Cx*vit_xz^2</f>
        <v>6.72414923824969</v>
      </c>
      <c r="X121" s="402"/>
      <c r="Y121" s="423" t="str">
        <f aca="false">IF(AND(pos_z&lt;=0,K120&gt;0),"Impact balistique","") &amp; IF(AND(H122&lt;0,vit_z&gt;=0),"Apogée","") &amp; IF(AND(Poussee=0,Q120&gt;0),"Fin de propulsion","") &amp; IF(AND(L122&gt;L_rampe,pos_xz&lt;=L_rampe),"Sortie de rampe","")</f>
        <v/>
      </c>
      <c r="Z121" s="424" t="str">
        <f aca="false">IF(ABS(t-T_para)&lt;pas/2,"Para","")</f>
        <v/>
      </c>
      <c r="AA121" s="425" t="str">
        <f aca="false">IF(ABS(t-T_satellite)&lt;pas/2,"Satellite","")</f>
        <v/>
      </c>
      <c r="AB121" s="413"/>
      <c r="AC121" s="421" t="e">
        <f aca="false">IF(ABS(t-ROUND(t,0))&lt;0.001,t,NA())</f>
        <v>#N/A</v>
      </c>
      <c r="AD121" s="426" t="e">
        <f aca="false">IF(ABS(t-ROUND(t,0))&lt;0.001,pos_x,NA())</f>
        <v>#N/A</v>
      </c>
      <c r="AE121" s="427" t="n">
        <f aca="false">IF(t&lt;T_para, pos_z, NA())</f>
        <v>64.1278944577163</v>
      </c>
      <c r="AF121" s="413"/>
      <c r="AG121" s="419" t="n">
        <f aca="false">IF(AND(L120&lt;L_rampe,Poussee&lt;Poids*SIN(M120)),0,(-W120+Poussee)/m-Poids*SIN(M120)/m)</f>
        <v>-14.152957783131</v>
      </c>
      <c r="AH121" s="418" t="n">
        <f aca="false">IF(AND(L120&lt;L_rampe,Poussee&lt;Poids*SIN(M120)), g*SIN(M120), (-W120+Poussee)/m)</f>
        <v>-4.54674693300736</v>
      </c>
    </row>
    <row r="122" customFormat="false" ht="12" hidden="false" customHeight="false" outlineLevel="0" collapsed="false">
      <c r="A122" s="417" t="n">
        <f aca="false">IF(B121+0.01&lt;=T_ini+ROUNDUP(Temps_fin_propu,0), 0.01, IF(K121&gt;0, 0.1, 0.0001))</f>
        <v>0.01</v>
      </c>
      <c r="B122" s="418" t="n">
        <f aca="false">B121+pas</f>
        <v>1.18</v>
      </c>
      <c r="C122" s="402"/>
      <c r="D122" s="419" t="n">
        <f aca="false">IF(AND(L121&lt;L_rampe,Poussee&lt;Poids*SIN(M121)),0,(-W121+Poussee)/m*COS(M121)-U121/m*SIN(M121))</f>
        <v>-0.91969976325046</v>
      </c>
      <c r="E122" s="420" t="n">
        <f aca="false">IF(AND(L121&lt;L_rampe,Poussee&lt;Poids*SIN(M121)),0,(-W121+Poussee)/m*SIN(M121)+U121/m*COS(M121)-Poids/m)</f>
        <v>-14.2458428604336</v>
      </c>
      <c r="F122" s="418" t="n">
        <f aca="false">SQRT(acc_x^2+acc_z^2)</f>
        <v>14.2754995169587</v>
      </c>
      <c r="G122" s="419" t="n">
        <f aca="false">G121+acc_x*pas</f>
        <v>16.0625910896286</v>
      </c>
      <c r="H122" s="420" t="n">
        <f aca="false">H121+acc_z*pas</f>
        <v>77.3740630384822</v>
      </c>
      <c r="I122" s="418" t="n">
        <f aca="false">SQRT(vit_x^2+vit_z^2)</f>
        <v>79.0237462007189</v>
      </c>
      <c r="J122" s="419" t="n">
        <f aca="false">J121+0.5*(vit_x+G121)*pas*(K121&gt;=0)</f>
        <v>12.7078023541214</v>
      </c>
      <c r="K122" s="420" t="n">
        <f aca="false">K121+0.5*(vit_z+H121)*pas</f>
        <v>64.9023473802442</v>
      </c>
      <c r="L122" s="418" t="n">
        <f aca="false">SQRT(pos_x^2+pos_z^2)</f>
        <v>66.1347332053083</v>
      </c>
      <c r="M122" s="419" t="n">
        <f aca="false">IF(AND(L121&gt;L_rampe,G122&gt;0),ATAN2(G122,H122),$M$4)</f>
        <v>1.36610714497889</v>
      </c>
      <c r="N122" s="418" t="n">
        <f aca="false">DEGREES(Beta)</f>
        <v>78.2721737699569</v>
      </c>
      <c r="O122" s="402"/>
      <c r="P122" s="421" t="n">
        <f aca="false">MATCH(t-pas/2-T_ini,CdP_t)</f>
        <v>13</v>
      </c>
      <c r="Q122" s="418" t="n">
        <f aca="false">(INDEX(CdP,2,i_P+1)-INDEX(CdP,2,i_P+0))/(INDEX(CdP,1,i_P+1)-INDEX(CdP,1,i_P+0))*(t-pas/2-T_ini-INDEX(CdP,1,i_P+0))+INDEX(CdP,2,i_P+0)</f>
        <v>0</v>
      </c>
      <c r="R122" s="419" t="n">
        <f aca="false">Poussee/(g*ISP)</f>
        <v>0</v>
      </c>
      <c r="S122" s="420" t="n">
        <f aca="false">S121-Débit*pas</f>
        <v>1.4843</v>
      </c>
      <c r="T122" s="418" t="n">
        <f aca="false">m*g</f>
        <v>14.560983</v>
      </c>
      <c r="U122" s="422" t="n">
        <f aca="false">IF(pos_xz&lt;L_rampe,Poids*COS(Beta),0)</f>
        <v>0</v>
      </c>
      <c r="V122" s="419" t="n">
        <f aca="false">Rho_moyen*(20000-Alt_rampe-pos_z)/(20000+Alt_rampe+pos_z)</f>
        <v>1.21707517941883</v>
      </c>
      <c r="W122" s="418" t="n">
        <f aca="false">1/2*Rho*Sref*Cx*vit_xz^2</f>
        <v>6.6996386483667</v>
      </c>
      <c r="X122" s="402"/>
      <c r="Y122" s="423" t="str">
        <f aca="false">IF(AND(pos_z&lt;=0,K121&gt;0),"Impact balistique","") &amp; IF(AND(H123&lt;0,vit_z&gt;=0),"Apogée","") &amp; IF(AND(Poussee=0,Q121&gt;0),"Fin de propulsion","") &amp; IF(AND(L123&gt;L_rampe,pos_xz&lt;=L_rampe),"Sortie de rampe","")</f>
        <v/>
      </c>
      <c r="Z122" s="424" t="str">
        <f aca="false">IF(ABS(t-T_para)&lt;pas/2,"Para","")</f>
        <v/>
      </c>
      <c r="AA122" s="425" t="str">
        <f aca="false">IF(ABS(t-T_satellite)&lt;pas/2,"Satellite","")</f>
        <v/>
      </c>
      <c r="AB122" s="413"/>
      <c r="AC122" s="421" t="e">
        <f aca="false">IF(ABS(t-ROUND(t,0))&lt;0.001,t,NA())</f>
        <v>#N/A</v>
      </c>
      <c r="AD122" s="426" t="e">
        <f aca="false">IF(ABS(t-ROUND(t,0))&lt;0.001,pos_x,NA())</f>
        <v>#N/A</v>
      </c>
      <c r="AE122" s="427" t="n">
        <f aca="false">IF(t&lt;T_para, pos_z, NA())</f>
        <v>64.9023473802442</v>
      </c>
      <c r="AF122" s="413"/>
      <c r="AG122" s="419" t="n">
        <f aca="false">IF(AND(L121&lt;L_rampe,Poussee&lt;Poids*SIN(M121)),0,(-W121+Poussee)/m-Poids*SIN(M121)/m)</f>
        <v>-14.1358927934696</v>
      </c>
      <c r="AH122" s="418" t="n">
        <f aca="false">IF(AND(L121&lt;L_rampe,Poussee&lt;Poids*SIN(M121)), g*SIN(M121), (-W121+Poussee)/m)</f>
        <v>-4.53018206444095</v>
      </c>
    </row>
    <row r="123" customFormat="false" ht="12" hidden="false" customHeight="false" outlineLevel="0" collapsed="false">
      <c r="A123" s="417" t="n">
        <f aca="false">IF(B122+0.01&lt;=T_ini+ROUNDUP(Temps_fin_propu,0), 0.01, IF(K122&gt;0, 0.1, 0.0001))</f>
        <v>0.01</v>
      </c>
      <c r="B123" s="418" t="n">
        <f aca="false">B122+pas</f>
        <v>1.19</v>
      </c>
      <c r="C123" s="402"/>
      <c r="D123" s="419" t="n">
        <f aca="false">IF(AND(L122&lt;L_rampe,Poussee&lt;Poids*SIN(M122)),0,(-W122+Poussee)/m*COS(M122)-U122/m*SIN(M122))</f>
        <v>-0.917461146291427</v>
      </c>
      <c r="E123" s="420" t="n">
        <f aca="false">IF(AND(L122&lt;L_rampe,Poussee&lt;Poids*SIN(M122)),0,(-W122+Poussee)/m*SIN(M122)+U122/m*COS(M122)-Poids/m)</f>
        <v>-14.2294424282111</v>
      </c>
      <c r="F123" s="418" t="n">
        <f aca="false">SQRT(acc_x^2+acc_z^2)</f>
        <v>14.2589889814366</v>
      </c>
      <c r="G123" s="419" t="n">
        <f aca="false">G122+acc_x*pas</f>
        <v>16.0534164781657</v>
      </c>
      <c r="H123" s="420" t="n">
        <f aca="false">H122+acc_z*pas</f>
        <v>77.2317686142001</v>
      </c>
      <c r="I123" s="418" t="n">
        <f aca="false">SQRT(vit_x^2+vit_z^2)</f>
        <v>78.8825599476766</v>
      </c>
      <c r="J123" s="419" t="n">
        <f aca="false">J122+0.5*(vit_x+G122)*pas*(K122&gt;=0)</f>
        <v>12.8683823919603</v>
      </c>
      <c r="K123" s="420" t="n">
        <f aca="false">K122+0.5*(vit_z+H122)*pas</f>
        <v>65.6753765385076</v>
      </c>
      <c r="L123" s="418" t="n">
        <f aca="false">SQRT(pos_x^2+pos_z^2)</f>
        <v>66.9242134721094</v>
      </c>
      <c r="M123" s="419" t="n">
        <f aca="false">IF(AND(L122&gt;L_rampe,G123&gt;0),ATAN2(G123,H123),$M$4)</f>
        <v>1.36585436306054</v>
      </c>
      <c r="N123" s="418" t="n">
        <f aca="false">DEGREES(Beta)</f>
        <v>78.2576904328981</v>
      </c>
      <c r="O123" s="402"/>
      <c r="P123" s="421" t="n">
        <f aca="false">MATCH(t-pas/2-T_ini,CdP_t)</f>
        <v>13</v>
      </c>
      <c r="Q123" s="418" t="n">
        <f aca="false">(INDEX(CdP,2,i_P+1)-INDEX(CdP,2,i_P+0))/(INDEX(CdP,1,i_P+1)-INDEX(CdP,1,i_P+0))*(t-pas/2-T_ini-INDEX(CdP,1,i_P+0))+INDEX(CdP,2,i_P+0)</f>
        <v>0</v>
      </c>
      <c r="R123" s="419" t="n">
        <f aca="false">Poussee/(g*ISP)</f>
        <v>0</v>
      </c>
      <c r="S123" s="420" t="n">
        <f aca="false">S122-Débit*pas</f>
        <v>1.4843</v>
      </c>
      <c r="T123" s="418" t="n">
        <f aca="false">m*g</f>
        <v>14.560983</v>
      </c>
      <c r="U123" s="422" t="n">
        <f aca="false">IF(pos_xz&lt;L_rampe,Poids*COS(Beta),0)</f>
        <v>0</v>
      </c>
      <c r="V123" s="419" t="n">
        <f aca="false">Rho_moyen*(20000-Alt_rampe-pos_z)/(20000+Alt_rampe+pos_z)</f>
        <v>1.2169810985925</v>
      </c>
      <c r="W123" s="418" t="n">
        <f aca="false">1/2*Rho*Sref*Cx*vit_xz^2</f>
        <v>6.67520443520873</v>
      </c>
      <c r="X123" s="402"/>
      <c r="Y123" s="423" t="str">
        <f aca="false">IF(AND(pos_z&lt;=0,K122&gt;0),"Impact balistique","") &amp; IF(AND(H124&lt;0,vit_z&gt;=0),"Apogée","") &amp; IF(AND(Poussee=0,Q122&gt;0),"Fin de propulsion","") &amp; IF(AND(L124&gt;L_rampe,pos_xz&lt;=L_rampe),"Sortie de rampe","")</f>
        <v/>
      </c>
      <c r="Z123" s="424" t="str">
        <f aca="false">IF(ABS(t-T_para)&lt;pas/2,"Para","")</f>
        <v/>
      </c>
      <c r="AA123" s="425" t="str">
        <f aca="false">IF(ABS(t-T_satellite)&lt;pas/2,"Satellite","")</f>
        <v/>
      </c>
      <c r="AB123" s="413"/>
      <c r="AC123" s="421" t="e">
        <f aca="false">IF(ABS(t-ROUND(t,0))&lt;0.001,t,NA())</f>
        <v>#N/A</v>
      </c>
      <c r="AD123" s="426" t="e">
        <f aca="false">IF(ABS(t-ROUND(t,0))&lt;0.001,pos_x,NA())</f>
        <v>#N/A</v>
      </c>
      <c r="AE123" s="427" t="n">
        <f aca="false">IF(t&lt;T_para, pos_z, NA())</f>
        <v>65.6753765385076</v>
      </c>
      <c r="AF123" s="413"/>
      <c r="AG123" s="419" t="n">
        <f aca="false">IF(AND(L122&lt;L_rampe,Poussee&lt;Poids*SIN(M122)),0,(-W122+Poussee)/m-Poids*SIN(M122)/m)</f>
        <v>-14.1188773288783</v>
      </c>
      <c r="AH123" s="418" t="n">
        <f aca="false">IF(AND(L122&lt;L_rampe,Poussee&lt;Poids*SIN(M122)), g*SIN(M122), (-W122+Poussee)/m)</f>
        <v>-4.51366883269333</v>
      </c>
    </row>
    <row r="124" customFormat="false" ht="12" hidden="false" customHeight="false" outlineLevel="0" collapsed="false">
      <c r="A124" s="417" t="n">
        <f aca="false">IF(B123+0.01&lt;=T_ini+ROUNDUP(Temps_fin_propu,0), 0.01, IF(K123&gt;0, 0.1, 0.0001))</f>
        <v>0.01</v>
      </c>
      <c r="B124" s="418" t="n">
        <f aca="false">B123+pas</f>
        <v>1.2</v>
      </c>
      <c r="C124" s="402"/>
      <c r="D124" s="419" t="n">
        <f aca="false">IF(AND(L123&lt;L_rampe,Poussee&lt;Poids*SIN(M123)),0,(-W123+Poussee)/m*COS(M123)-U123/m*SIN(M123))</f>
        <v>-0.915228130627379</v>
      </c>
      <c r="E124" s="420" t="n">
        <f aca="false">IF(AND(L123&lt;L_rampe,Poussee&lt;Poids*SIN(M123)),0,(-W123+Poussee)/m*SIN(M123)+U123/m*COS(M123)-Poids/m)</f>
        <v>-14.2130930929848</v>
      </c>
      <c r="F124" s="418" t="n">
        <f aca="false">SQRT(acc_x^2+acc_z^2)</f>
        <v>14.2425298946832</v>
      </c>
      <c r="G124" s="419" t="n">
        <f aca="false">G123+acc_x*pas</f>
        <v>16.0442641968595</v>
      </c>
      <c r="H124" s="420" t="n">
        <f aca="false">H123+acc_z*pas</f>
        <v>77.0896376832703</v>
      </c>
      <c r="I124" s="418" t="n">
        <f aca="false">SQRT(vit_x^2+vit_z^2)</f>
        <v>78.741543366615</v>
      </c>
      <c r="J124" s="419" t="n">
        <f aca="false">J123+0.5*(vit_x+G123)*pas*(K123&gt;=0)</f>
        <v>13.0288707953355</v>
      </c>
      <c r="K124" s="420" t="n">
        <f aca="false">K123+0.5*(vit_z+H123)*pas</f>
        <v>66.4469835699949</v>
      </c>
      <c r="L124" s="418" t="n">
        <f aca="false">SQRT(pos_x^2+pos_z^2)</f>
        <v>67.7122817497145</v>
      </c>
      <c r="M124" s="419" t="n">
        <f aca="false">IF(AND(L123&gt;L_rampe,G124&gt;0),ATAN2(G124,H124),$M$4)</f>
        <v>1.36560082009492</v>
      </c>
      <c r="N124" s="418" t="n">
        <f aca="false">DEGREES(Beta)</f>
        <v>78.2431634910429</v>
      </c>
      <c r="O124" s="402"/>
      <c r="P124" s="421" t="n">
        <f aca="false">MATCH(t-pas/2-T_ini,CdP_t)</f>
        <v>13</v>
      </c>
      <c r="Q124" s="418" t="n">
        <f aca="false">(INDEX(CdP,2,i_P+1)-INDEX(CdP,2,i_P+0))/(INDEX(CdP,1,i_P+1)-INDEX(CdP,1,i_P+0))*(t-pas/2-T_ini-INDEX(CdP,1,i_P+0))+INDEX(CdP,2,i_P+0)</f>
        <v>0</v>
      </c>
      <c r="R124" s="419" t="n">
        <f aca="false">Poussee/(g*ISP)</f>
        <v>0</v>
      </c>
      <c r="S124" s="420" t="n">
        <f aca="false">S123-Débit*pas</f>
        <v>1.4843</v>
      </c>
      <c r="T124" s="418" t="n">
        <f aca="false">m*g</f>
        <v>14.560983</v>
      </c>
      <c r="U124" s="422" t="n">
        <f aca="false">IF(pos_xz&lt;L_rampe,Poids*COS(Beta),0)</f>
        <v>0</v>
      </c>
      <c r="V124" s="419" t="n">
        <f aca="false">Rho_moyen*(20000-Alt_rampe-pos_z)/(20000+Alt_rampe+pos_z)</f>
        <v>1.21688719807349</v>
      </c>
      <c r="W124" s="418" t="n">
        <f aca="false">1/2*Rho*Sref*Cx*vit_xz^2</f>
        <v>6.65084633224273</v>
      </c>
      <c r="X124" s="402"/>
      <c r="Y124" s="423" t="str">
        <f aca="false">IF(AND(pos_z&lt;=0,K123&gt;0),"Impact balistique","") &amp; IF(AND(H125&lt;0,vit_z&gt;=0),"Apogée","") &amp; IF(AND(Poussee=0,Q123&gt;0),"Fin de propulsion","") &amp; IF(AND(L125&gt;L_rampe,pos_xz&lt;=L_rampe),"Sortie de rampe","")</f>
        <v/>
      </c>
      <c r="Z124" s="424" t="str">
        <f aca="false">IF(ABS(t-T_para)&lt;pas/2,"Para","")</f>
        <v/>
      </c>
      <c r="AA124" s="425" t="str">
        <f aca="false">IF(ABS(t-T_satellite)&lt;pas/2,"Satellite","")</f>
        <v/>
      </c>
      <c r="AB124" s="413"/>
      <c r="AC124" s="421" t="e">
        <f aca="false">IF(ABS(t-ROUND(t,0))&lt;0.001,t,NA())</f>
        <v>#N/A</v>
      </c>
      <c r="AD124" s="426" t="e">
        <f aca="false">IF(ABS(t-ROUND(t,0))&lt;0.001,pos_x,NA())</f>
        <v>#N/A</v>
      </c>
      <c r="AE124" s="427" t="n">
        <f aca="false">IF(t&lt;T_para, pos_z, NA())</f>
        <v>66.4469835699949</v>
      </c>
      <c r="AF124" s="413"/>
      <c r="AG124" s="419" t="n">
        <f aca="false">IF(AND(L123&lt;L_rampe,Poussee&lt;Poids*SIN(M123)),0,(-W123+Poussee)/m-Poids*SIN(M123)/m)</f>
        <v>-14.1019111973654</v>
      </c>
      <c r="AH124" s="418" t="n">
        <f aca="false">IF(AND(L123&lt;L_rampe,Poussee&lt;Poids*SIN(M123)), g*SIN(M123), (-W123+Poussee)/m)</f>
        <v>-4.49720705733931</v>
      </c>
    </row>
    <row r="125" customFormat="false" ht="12" hidden="false" customHeight="false" outlineLevel="0" collapsed="false">
      <c r="A125" s="417" t="n">
        <f aca="false">IF(B124+0.01&lt;=T_ini+ROUNDUP(Temps_fin_propu,0), 0.01, IF(K124&gt;0, 0.1, 0.0001))</f>
        <v>0.01</v>
      </c>
      <c r="B125" s="418" t="n">
        <f aca="false">B124+pas</f>
        <v>1.21</v>
      </c>
      <c r="C125" s="402"/>
      <c r="D125" s="419" t="n">
        <f aca="false">IF(AND(L124&lt;L_rampe,Poussee&lt;Poids*SIN(M124)),0,(-W124+Poussee)/m*COS(M124)-U124/m*SIN(M124))</f>
        <v>-0.913000694782143</v>
      </c>
      <c r="E125" s="420" t="n">
        <f aca="false">IF(AND(L124&lt;L_rampe,Poussee&lt;Poids*SIN(M124)),0,(-W124+Poussee)/m*SIN(M124)+U124/m*COS(M124)-Poids/m)</f>
        <v>-14.196794676387</v>
      </c>
      <c r="F125" s="418" t="n">
        <f aca="false">SQRT(acc_x^2+acc_z^2)</f>
        <v>14.2261220770863</v>
      </c>
      <c r="G125" s="419" t="n">
        <f aca="false">G124+acc_x*pas</f>
        <v>16.0351341899116</v>
      </c>
      <c r="H125" s="420" t="n">
        <f aca="false">H124+acc_z*pas</f>
        <v>76.9476697365064</v>
      </c>
      <c r="I125" s="418" t="n">
        <f aca="false">SQRT(vit_x^2+vit_z^2)</f>
        <v>78.6006959661741</v>
      </c>
      <c r="J125" s="419" t="n">
        <f aca="false">J124+0.5*(vit_x+G124)*pas*(K124&gt;=0)</f>
        <v>13.1892677872693</v>
      </c>
      <c r="K125" s="420" t="n">
        <f aca="false">K124+0.5*(vit_z+H124)*pas</f>
        <v>67.2171701070938</v>
      </c>
      <c r="L125" s="418" t="n">
        <f aca="false">SQRT(pos_x^2+pos_z^2)</f>
        <v>68.498939714205</v>
      </c>
      <c r="M125" s="419" t="n">
        <f aca="false">IF(AND(L124&gt;L_rampe,G125&gt;0),ATAN2(G125,H125),$M$4)</f>
        <v>1.36534651298494</v>
      </c>
      <c r="N125" s="418" t="n">
        <f aca="false">DEGREES(Beta)</f>
        <v>78.2285927669407</v>
      </c>
      <c r="O125" s="402"/>
      <c r="P125" s="421" t="n">
        <f aca="false">MATCH(t-pas/2-T_ini,CdP_t)</f>
        <v>13</v>
      </c>
      <c r="Q125" s="418" t="n">
        <f aca="false">(INDEX(CdP,2,i_P+1)-INDEX(CdP,2,i_P+0))/(INDEX(CdP,1,i_P+1)-INDEX(CdP,1,i_P+0))*(t-pas/2-T_ini-INDEX(CdP,1,i_P+0))+INDEX(CdP,2,i_P+0)</f>
        <v>0</v>
      </c>
      <c r="R125" s="419" t="n">
        <f aca="false">Poussee/(g*ISP)</f>
        <v>0</v>
      </c>
      <c r="S125" s="420" t="n">
        <f aca="false">S124-Débit*pas</f>
        <v>1.4843</v>
      </c>
      <c r="T125" s="418" t="n">
        <f aca="false">m*g</f>
        <v>14.560983</v>
      </c>
      <c r="U125" s="422" t="n">
        <f aca="false">IF(pos_xz&lt;L_rampe,Poids*COS(Beta),0)</f>
        <v>0</v>
      </c>
      <c r="V125" s="419" t="n">
        <f aca="false">Rho_moyen*(20000-Alt_rampe-pos_z)/(20000+Alt_rampe+pos_z)</f>
        <v>1.21679347762241</v>
      </c>
      <c r="W125" s="418" t="n">
        <f aca="false">1/2*Rho*Sref*Cx*vit_xz^2</f>
        <v>6.62656407420066</v>
      </c>
      <c r="X125" s="402"/>
      <c r="Y125" s="423" t="str">
        <f aca="false">IF(AND(pos_z&lt;=0,K124&gt;0),"Impact balistique","") &amp; IF(AND(H126&lt;0,vit_z&gt;=0),"Apogée","") &amp; IF(AND(Poussee=0,Q124&gt;0),"Fin de propulsion","") &amp; IF(AND(L126&gt;L_rampe,pos_xz&lt;=L_rampe),"Sortie de rampe","")</f>
        <v/>
      </c>
      <c r="Z125" s="424" t="str">
        <f aca="false">IF(ABS(t-T_para)&lt;pas/2,"Para","")</f>
        <v/>
      </c>
      <c r="AA125" s="425" t="str">
        <f aca="false">IF(ABS(t-T_satellite)&lt;pas/2,"Satellite","")</f>
        <v/>
      </c>
      <c r="AB125" s="413"/>
      <c r="AC125" s="421" t="e">
        <f aca="false">IF(ABS(t-ROUND(t,0))&lt;0.001,t,NA())</f>
        <v>#N/A</v>
      </c>
      <c r="AD125" s="426" t="e">
        <f aca="false">IF(ABS(t-ROUND(t,0))&lt;0.001,pos_x,NA())</f>
        <v>#N/A</v>
      </c>
      <c r="AE125" s="427" t="n">
        <f aca="false">IF(t&lt;T_para, pos_z, NA())</f>
        <v>67.2171701070938</v>
      </c>
      <c r="AF125" s="413"/>
      <c r="AG125" s="419" t="n">
        <f aca="false">IF(AND(L124&lt;L_rampe,Poussee&lt;Poids*SIN(M124)),0,(-W124+Poussee)/m-Poids*SIN(M124)/m)</f>
        <v>-14.0849942077168</v>
      </c>
      <c r="AH125" s="418" t="n">
        <f aca="false">IF(AND(L124&lt;L_rampe,Poussee&lt;Poids*SIN(M124)), g*SIN(M124), (-W124+Poussee)/m)</f>
        <v>-4.48079655881071</v>
      </c>
    </row>
    <row r="126" customFormat="false" ht="12" hidden="false" customHeight="false" outlineLevel="0" collapsed="false">
      <c r="A126" s="417" t="n">
        <f aca="false">IF(B125+0.01&lt;=T_ini+ROUNDUP(Temps_fin_propu,0), 0.01, IF(K125&gt;0, 0.1, 0.0001))</f>
        <v>0.01</v>
      </c>
      <c r="B126" s="418" t="n">
        <f aca="false">B125+pas</f>
        <v>1.22</v>
      </c>
      <c r="C126" s="402"/>
      <c r="D126" s="419" t="n">
        <f aca="false">IF(AND(L125&lt;L_rampe,Poussee&lt;Poids*SIN(M125)),0,(-W125+Poussee)/m*COS(M125)-U125/m*SIN(M125))</f>
        <v>-0.910778817378986</v>
      </c>
      <c r="E126" s="420" t="n">
        <f aca="false">IF(AND(L125&lt;L_rampe,Poussee&lt;Poids*SIN(M125)),0,(-W125+Poussee)/m*SIN(M125)+U125/m*COS(M125)-Poids/m)</f>
        <v>-14.1805470008961</v>
      </c>
      <c r="F126" s="418" t="n">
        <f aca="false">SQRT(acc_x^2+acc_z^2)</f>
        <v>14.2097653498856</v>
      </c>
      <c r="G126" s="419" t="n">
        <f aca="false">G125+acc_x*pas</f>
        <v>16.0260264017378</v>
      </c>
      <c r="H126" s="420" t="n">
        <f aca="false">H125+acc_z*pas</f>
        <v>76.8058642664974</v>
      </c>
      <c r="I126" s="418" t="n">
        <f aca="false">SQRT(vit_x^2+vit_z^2)</f>
        <v>78.4600172568986</v>
      </c>
      <c r="J126" s="419" t="n">
        <f aca="false">J125+0.5*(vit_x+G125)*pas*(K125&gt;=0)</f>
        <v>13.3495735902276</v>
      </c>
      <c r="K126" s="420" t="n">
        <f aca="false">K125+0.5*(vit_z+H125)*pas</f>
        <v>67.9859377771088</v>
      </c>
      <c r="L126" s="418" t="n">
        <f aca="false">SQRT(pos_x^2+pos_z^2)</f>
        <v>69.2841890367046</v>
      </c>
      <c r="M126" s="419" t="n">
        <f aca="false">IF(AND(L125&gt;L_rampe,G126&gt;0),ATAN2(G126,H126),$M$4)</f>
        <v>1.36509143861654</v>
      </c>
      <c r="N126" s="418" t="n">
        <f aca="false">DEGREES(Beta)</f>
        <v>78.2139780821695</v>
      </c>
      <c r="O126" s="402"/>
      <c r="P126" s="421" t="n">
        <f aca="false">MATCH(t-pas/2-T_ini,CdP_t)</f>
        <v>13</v>
      </c>
      <c r="Q126" s="418" t="n">
        <f aca="false">(INDEX(CdP,2,i_P+1)-INDEX(CdP,2,i_P+0))/(INDEX(CdP,1,i_P+1)-INDEX(CdP,1,i_P+0))*(t-pas/2-T_ini-INDEX(CdP,1,i_P+0))+INDEX(CdP,2,i_P+0)</f>
        <v>0</v>
      </c>
      <c r="R126" s="419" t="n">
        <f aca="false">Poussee/(g*ISP)</f>
        <v>0</v>
      </c>
      <c r="S126" s="420" t="n">
        <f aca="false">S125-Débit*pas</f>
        <v>1.4843</v>
      </c>
      <c r="T126" s="418" t="n">
        <f aca="false">m*g</f>
        <v>14.560983</v>
      </c>
      <c r="U126" s="422" t="n">
        <f aca="false">IF(pos_xz&lt;L_rampe,Poids*COS(Beta),0)</f>
        <v>0</v>
      </c>
      <c r="V126" s="419" t="n">
        <f aca="false">Rho_moyen*(20000-Alt_rampe-pos_z)/(20000+Alt_rampe+pos_z)</f>
        <v>1.21669993700064</v>
      </c>
      <c r="W126" s="418" t="n">
        <f aca="false">1/2*Rho*Sref*Cx*vit_xz^2</f>
        <v>6.60235739707253</v>
      </c>
      <c r="X126" s="402"/>
      <c r="Y126" s="423" t="str">
        <f aca="false">IF(AND(pos_z&lt;=0,K125&gt;0),"Impact balistique","") &amp; IF(AND(H127&lt;0,vit_z&gt;=0),"Apogée","") &amp; IF(AND(Poussee=0,Q125&gt;0),"Fin de propulsion","") &amp; IF(AND(L127&gt;L_rampe,pos_xz&lt;=L_rampe),"Sortie de rampe","")</f>
        <v/>
      </c>
      <c r="Z126" s="424" t="str">
        <f aca="false">IF(ABS(t-T_para)&lt;pas/2,"Para","")</f>
        <v/>
      </c>
      <c r="AA126" s="425" t="str">
        <f aca="false">IF(ABS(t-T_satellite)&lt;pas/2,"Satellite","")</f>
        <v/>
      </c>
      <c r="AB126" s="413"/>
      <c r="AC126" s="421" t="e">
        <f aca="false">IF(ABS(t-ROUND(t,0))&lt;0.001,t,NA())</f>
        <v>#N/A</v>
      </c>
      <c r="AD126" s="426" t="e">
        <f aca="false">IF(ABS(t-ROUND(t,0))&lt;0.001,pos_x,NA())</f>
        <v>#N/A</v>
      </c>
      <c r="AE126" s="427" t="n">
        <f aca="false">IF(t&lt;T_para, pos_z, NA())</f>
        <v>67.9859377771088</v>
      </c>
      <c r="AF126" s="413"/>
      <c r="AG126" s="419" t="n">
        <f aca="false">IF(AND(L125&lt;L_rampe,Poussee&lt;Poids*SIN(M125)),0,(-W125+Poussee)/m-Poids*SIN(M125)/m)</f>
        <v>-14.0681261694912</v>
      </c>
      <c r="AH126" s="418" t="n">
        <f aca="false">IF(AND(L125&lt;L_rampe,Poussee&lt;Poids*SIN(M125)), g*SIN(M125), (-W125+Poussee)/m)</f>
        <v>-4.46443715839161</v>
      </c>
    </row>
    <row r="127" customFormat="false" ht="12" hidden="false" customHeight="false" outlineLevel="0" collapsed="false">
      <c r="A127" s="417" t="n">
        <f aca="false">IF(B126+0.01&lt;=T_ini+ROUNDUP(Temps_fin_propu,0), 0.01, IF(K126&gt;0, 0.1, 0.0001))</f>
        <v>0.01</v>
      </c>
      <c r="B127" s="418" t="n">
        <f aca="false">B126+pas</f>
        <v>1.23</v>
      </c>
      <c r="C127" s="402"/>
      <c r="D127" s="419" t="n">
        <f aca="false">IF(AND(L126&lt;L_rampe,Poussee&lt;Poids*SIN(M126)),0,(-W126+Poussee)/m*COS(M126)-U126/m*SIN(M126))</f>
        <v>-0.908562477140057</v>
      </c>
      <c r="E127" s="420" t="n">
        <f aca="false">IF(AND(L126&lt;L_rampe,Poussee&lt;Poids*SIN(M126)),0,(-W126+Poussee)/m*SIN(M126)+U126/m*COS(M126)-Poids/m)</f>
        <v>-14.164349889832</v>
      </c>
      <c r="F127" s="418" t="n">
        <f aca="false">SQRT(acc_x^2+acc_z^2)</f>
        <v>14.193459535168</v>
      </c>
      <c r="G127" s="419" t="n">
        <f aca="false">G126+acc_x*pas</f>
        <v>16.0169407769664</v>
      </c>
      <c r="H127" s="420" t="n">
        <f aca="false">H126+acc_z*pas</f>
        <v>76.6642207675991</v>
      </c>
      <c r="I127" s="418" t="n">
        <f aca="false">SQRT(vit_x^2+vit_z^2)</f>
        <v>78.3195067512304</v>
      </c>
      <c r="J127" s="419" t="n">
        <f aca="false">J126+0.5*(vit_x+G126)*pas*(K126&gt;=0)</f>
        <v>13.5097884261211</v>
      </c>
      <c r="K127" s="420" t="n">
        <f aca="false">K126+0.5*(vit_z+H126)*pas</f>
        <v>68.7532882022793</v>
      </c>
      <c r="L127" s="418" t="n">
        <f aca="false">SQRT(pos_x^2+pos_z^2)</f>
        <v>70.0680313833937</v>
      </c>
      <c r="M127" s="419" t="n">
        <f aca="false">IF(AND(L126&gt;L_rampe,G127&gt;0),ATAN2(G127,H127),$M$4)</f>
        <v>1.36483559385861</v>
      </c>
      <c r="N127" s="418" t="n">
        <f aca="false">DEGREES(Beta)</f>
        <v>78.1993192573298</v>
      </c>
      <c r="O127" s="402"/>
      <c r="P127" s="421" t="n">
        <f aca="false">MATCH(t-pas/2-T_ini,CdP_t)</f>
        <v>13</v>
      </c>
      <c r="Q127" s="418" t="n">
        <f aca="false">(INDEX(CdP,2,i_P+1)-INDEX(CdP,2,i_P+0))/(INDEX(CdP,1,i_P+1)-INDEX(CdP,1,i_P+0))*(t-pas/2-T_ini-INDEX(CdP,1,i_P+0))+INDEX(CdP,2,i_P+0)</f>
        <v>0</v>
      </c>
      <c r="R127" s="419" t="n">
        <f aca="false">Poussee/(g*ISP)</f>
        <v>0</v>
      </c>
      <c r="S127" s="420" t="n">
        <f aca="false">S126-Débit*pas</f>
        <v>1.4843</v>
      </c>
      <c r="T127" s="418" t="n">
        <f aca="false">m*g</f>
        <v>14.560983</v>
      </c>
      <c r="U127" s="422" t="n">
        <f aca="false">IF(pos_xz&lt;L_rampe,Poids*COS(Beta),0)</f>
        <v>0</v>
      </c>
      <c r="V127" s="419" t="n">
        <f aca="false">Rho_moyen*(20000-Alt_rampe-pos_z)/(20000+Alt_rampe+pos_z)</f>
        <v>1.21660657597029</v>
      </c>
      <c r="W127" s="418" t="n">
        <f aca="false">1/2*Rho*Sref*Cx*vit_xz^2</f>
        <v>6.57822603809944</v>
      </c>
      <c r="X127" s="402"/>
      <c r="Y127" s="423" t="str">
        <f aca="false">IF(AND(pos_z&lt;=0,K126&gt;0),"Impact balistique","") &amp; IF(AND(H128&lt;0,vit_z&gt;=0),"Apogée","") &amp; IF(AND(Poussee=0,Q126&gt;0),"Fin de propulsion","") &amp; IF(AND(L128&gt;L_rampe,pos_xz&lt;=L_rampe),"Sortie de rampe","")</f>
        <v/>
      </c>
      <c r="Z127" s="424" t="str">
        <f aca="false">IF(ABS(t-T_para)&lt;pas/2,"Para","")</f>
        <v/>
      </c>
      <c r="AA127" s="425" t="str">
        <f aca="false">IF(ABS(t-T_satellite)&lt;pas/2,"Satellite","")</f>
        <v/>
      </c>
      <c r="AB127" s="413"/>
      <c r="AC127" s="421" t="e">
        <f aca="false">IF(ABS(t-ROUND(t,0))&lt;0.001,t,NA())</f>
        <v>#N/A</v>
      </c>
      <c r="AD127" s="426" t="e">
        <f aca="false">IF(ABS(t-ROUND(t,0))&lt;0.001,pos_x,NA())</f>
        <v>#N/A</v>
      </c>
      <c r="AE127" s="427" t="n">
        <f aca="false">IF(t&lt;T_para, pos_z, NA())</f>
        <v>68.7532882022793</v>
      </c>
      <c r="AF127" s="413"/>
      <c r="AG127" s="419" t="n">
        <f aca="false">IF(AND(L126&lt;L_rampe,Poussee&lt;Poids*SIN(M126)),0,(-W126+Poussee)/m-Poids*SIN(M126)/m)</f>
        <v>-14.0513068930144</v>
      </c>
      <c r="AH127" s="418" t="n">
        <f aca="false">IF(AND(L126&lt;L_rampe,Poussee&lt;Poids*SIN(M126)), g*SIN(M126), (-W126+Poussee)/m)</f>
        <v>-4.44812867821366</v>
      </c>
    </row>
    <row r="128" customFormat="false" ht="12" hidden="false" customHeight="false" outlineLevel="0" collapsed="false">
      <c r="A128" s="417" t="n">
        <f aca="false">IF(B127+0.01&lt;=T_ini+ROUNDUP(Temps_fin_propu,0), 0.01, IF(K127&gt;0, 0.1, 0.0001))</f>
        <v>0.01</v>
      </c>
      <c r="B128" s="418" t="n">
        <f aca="false">B127+pas</f>
        <v>1.24</v>
      </c>
      <c r="C128" s="402"/>
      <c r="D128" s="419" t="n">
        <f aca="false">IF(AND(L127&lt;L_rampe,Poussee&lt;Poids*SIN(M127)),0,(-W127+Poussee)/m*COS(M127)-U127/m*SIN(M127))</f>
        <v>-0.90635165288585</v>
      </c>
      <c r="E128" s="420" t="n">
        <f aca="false">IF(AND(L127&lt;L_rampe,Poussee&lt;Poids*SIN(M127)),0,(-W127+Poussee)/m*SIN(M127)+U127/m*COS(M127)-Poids/m)</f>
        <v>-14.1482031673516</v>
      </c>
      <c r="F128" s="418" t="n">
        <f aca="false">SQRT(acc_x^2+acc_z^2)</f>
        <v>14.1772044558632</v>
      </c>
      <c r="G128" s="419" t="n">
        <f aca="false">G127+acc_x*pas</f>
        <v>16.0078772604376</v>
      </c>
      <c r="H128" s="420" t="n">
        <f aca="false">H127+acc_z*pas</f>
        <v>76.5227387359256</v>
      </c>
      <c r="I128" s="418" t="n">
        <f aca="false">SQRT(vit_x^2+vit_z^2)</f>
        <v>78.1791639635009</v>
      </c>
      <c r="J128" s="419" t="n">
        <f aca="false">J127+0.5*(vit_x+G127)*pas*(K127&gt;=0)</f>
        <v>13.6699125163081</v>
      </c>
      <c r="K128" s="420" t="n">
        <f aca="false">K127+0.5*(vit_z+H127)*pas</f>
        <v>69.519222999797</v>
      </c>
      <c r="L128" s="418" t="n">
        <f aca="false">SQRT(pos_x^2+pos_z^2)</f>
        <v>70.850468415523</v>
      </c>
      <c r="M128" s="419" t="n">
        <f aca="false">IF(AND(L127&gt;L_rampe,G128&gt;0),ATAN2(G128,H128),$M$4)</f>
        <v>1.36457897556286</v>
      </c>
      <c r="N128" s="418" t="n">
        <f aca="false">DEGREES(Beta)</f>
        <v>78.1846161120377</v>
      </c>
      <c r="O128" s="402"/>
      <c r="P128" s="421" t="n">
        <f aca="false">MATCH(t-pas/2-T_ini,CdP_t)</f>
        <v>13</v>
      </c>
      <c r="Q128" s="418" t="n">
        <f aca="false">(INDEX(CdP,2,i_P+1)-INDEX(CdP,2,i_P+0))/(INDEX(CdP,1,i_P+1)-INDEX(CdP,1,i_P+0))*(t-pas/2-T_ini-INDEX(CdP,1,i_P+0))+INDEX(CdP,2,i_P+0)</f>
        <v>0</v>
      </c>
      <c r="R128" s="419" t="n">
        <f aca="false">Poussee/(g*ISP)</f>
        <v>0</v>
      </c>
      <c r="S128" s="420" t="n">
        <f aca="false">S127-Débit*pas</f>
        <v>1.4843</v>
      </c>
      <c r="T128" s="418" t="n">
        <f aca="false">m*g</f>
        <v>14.560983</v>
      </c>
      <c r="U128" s="422" t="n">
        <f aca="false">IF(pos_xz&lt;L_rampe,Poids*COS(Beta),0)</f>
        <v>0</v>
      </c>
      <c r="V128" s="419" t="n">
        <f aca="false">Rho_moyen*(20000-Alt_rampe-pos_z)/(20000+Alt_rampe+pos_z)</f>
        <v>1.21651339429425</v>
      </c>
      <c r="W128" s="418" t="n">
        <f aca="false">1/2*Rho*Sref*Cx*vit_xz^2</f>
        <v>6.55416973576666</v>
      </c>
      <c r="X128" s="402"/>
      <c r="Y128" s="423" t="str">
        <f aca="false">IF(AND(pos_z&lt;=0,K127&gt;0),"Impact balistique","") &amp; IF(AND(H129&lt;0,vit_z&gt;=0),"Apogée","") &amp; IF(AND(Poussee=0,Q127&gt;0),"Fin de propulsion","") &amp; IF(AND(L129&gt;L_rampe,pos_xz&lt;=L_rampe),"Sortie de rampe","")</f>
        <v/>
      </c>
      <c r="Z128" s="424" t="str">
        <f aca="false">IF(ABS(t-T_para)&lt;pas/2,"Para","")</f>
        <v/>
      </c>
      <c r="AA128" s="425" t="str">
        <f aca="false">IF(ABS(t-T_satellite)&lt;pas/2,"Satellite","")</f>
        <v/>
      </c>
      <c r="AB128" s="413"/>
      <c r="AC128" s="421" t="e">
        <f aca="false">IF(ABS(t-ROUND(t,0))&lt;0.001,t,NA())</f>
        <v>#N/A</v>
      </c>
      <c r="AD128" s="426" t="e">
        <f aca="false">IF(ABS(t-ROUND(t,0))&lt;0.001,pos_x,NA())</f>
        <v>#N/A</v>
      </c>
      <c r="AE128" s="427" t="n">
        <f aca="false">IF(t&lt;T_para, pos_z, NA())</f>
        <v>69.519222999797</v>
      </c>
      <c r="AF128" s="413"/>
      <c r="AG128" s="419" t="n">
        <f aca="false">IF(AND(L127&lt;L_rampe,Poussee&lt;Poids*SIN(M127)),0,(-W127+Poussee)/m-Poids*SIN(M127)/m)</f>
        <v>-14.034536189374</v>
      </c>
      <c r="AH128" s="418" t="n">
        <f aca="false">IF(AND(L127&lt;L_rampe,Poussee&lt;Poids*SIN(M127)), g*SIN(M127), (-W127+Poussee)/m)</f>
        <v>-4.4318709412514</v>
      </c>
    </row>
    <row r="129" customFormat="false" ht="12" hidden="false" customHeight="false" outlineLevel="0" collapsed="false">
      <c r="A129" s="417" t="n">
        <f aca="false">IF(B128+0.01&lt;=T_ini+ROUNDUP(Temps_fin_propu,0), 0.01, IF(K128&gt;0, 0.1, 0.0001))</f>
        <v>0.01</v>
      </c>
      <c r="B129" s="418" t="n">
        <f aca="false">B128+pas</f>
        <v>1.25</v>
      </c>
      <c r="C129" s="402"/>
      <c r="D129" s="419" t="n">
        <f aca="false">IF(AND(L128&lt;L_rampe,Poussee&lt;Poids*SIN(M128)),0,(-W128+Poussee)/m*COS(M128)-U128/m*SIN(M128))</f>
        <v>-0.904146323534658</v>
      </c>
      <c r="E129" s="420" t="n">
        <f aca="false">IF(AND(L128&lt;L_rampe,Poussee&lt;Poids*SIN(M128)),0,(-W128+Poussee)/m*SIN(M128)+U128/m*COS(M128)-Poids/m)</f>
        <v>-14.1321066584439</v>
      </c>
      <c r="F129" s="418" t="n">
        <f aca="false">SQRT(acc_x^2+acc_z^2)</f>
        <v>14.1609999357389</v>
      </c>
      <c r="G129" s="419" t="n">
        <f aca="false">G128+acc_x*pas</f>
        <v>15.9988357972022</v>
      </c>
      <c r="H129" s="420" t="n">
        <f aca="false">H128+acc_z*pas</f>
        <v>76.3814176693412</v>
      </c>
      <c r="I129" s="418" t="n">
        <f aca="false">SQRT(vit_x^2+vit_z^2)</f>
        <v>78.0389884099235</v>
      </c>
      <c r="J129" s="419" t="n">
        <f aca="false">J128+0.5*(vit_x+G128)*pas*(K128&gt;=0)</f>
        <v>13.8299460815963</v>
      </c>
      <c r="K129" s="420" t="n">
        <f aca="false">K128+0.5*(vit_z+H128)*pas</f>
        <v>70.2837437818233</v>
      </c>
      <c r="L129" s="418" t="n">
        <f aca="false">SQRT(pos_x^2+pos_z^2)</f>
        <v>71.6315017894281</v>
      </c>
      <c r="M129" s="419" t="n">
        <f aca="false">IF(AND(L128&gt;L_rampe,G129&gt;0),ATAN2(G129,H129),$M$4)</f>
        <v>1.36432158056371</v>
      </c>
      <c r="N129" s="418" t="n">
        <f aca="false">DEGREES(Beta)</f>
        <v>78.1698684649182</v>
      </c>
      <c r="O129" s="402"/>
      <c r="P129" s="421" t="n">
        <f aca="false">MATCH(t-pas/2-T_ini,CdP_t)</f>
        <v>13</v>
      </c>
      <c r="Q129" s="418" t="n">
        <f aca="false">(INDEX(CdP,2,i_P+1)-INDEX(CdP,2,i_P+0))/(INDEX(CdP,1,i_P+1)-INDEX(CdP,1,i_P+0))*(t-pas/2-T_ini-INDEX(CdP,1,i_P+0))+INDEX(CdP,2,i_P+0)</f>
        <v>0</v>
      </c>
      <c r="R129" s="419" t="n">
        <f aca="false">Poussee/(g*ISP)</f>
        <v>0</v>
      </c>
      <c r="S129" s="420" t="n">
        <f aca="false">S128-Débit*pas</f>
        <v>1.4843</v>
      </c>
      <c r="T129" s="418" t="n">
        <f aca="false">m*g</f>
        <v>14.560983</v>
      </c>
      <c r="U129" s="422" t="n">
        <f aca="false">IF(pos_xz&lt;L_rampe,Poids*COS(Beta),0)</f>
        <v>0</v>
      </c>
      <c r="V129" s="419" t="n">
        <f aca="false">Rho_moyen*(20000-Alt_rampe-pos_z)/(20000+Alt_rampe+pos_z)</f>
        <v>1.21642039173617</v>
      </c>
      <c r="W129" s="418" t="n">
        <f aca="false">1/2*Rho*Sref*Cx*vit_xz^2</f>
        <v>6.53018822979684</v>
      </c>
      <c r="X129" s="402"/>
      <c r="Y129" s="423" t="str">
        <f aca="false">IF(AND(pos_z&lt;=0,K128&gt;0),"Impact balistique","") &amp; IF(AND(H130&lt;0,vit_z&gt;=0),"Apogée","") &amp; IF(AND(Poussee=0,Q128&gt;0),"Fin de propulsion","") &amp; IF(AND(L130&gt;L_rampe,pos_xz&lt;=L_rampe),"Sortie de rampe","")</f>
        <v/>
      </c>
      <c r="Z129" s="424" t="str">
        <f aca="false">IF(ABS(t-T_para)&lt;pas/2,"Para","")</f>
        <v/>
      </c>
      <c r="AA129" s="425" t="str">
        <f aca="false">IF(ABS(t-T_satellite)&lt;pas/2,"Satellite","")</f>
        <v/>
      </c>
      <c r="AB129" s="413"/>
      <c r="AC129" s="421" t="e">
        <f aca="false">IF(ABS(t-ROUND(t,0))&lt;0.001,t,NA())</f>
        <v>#N/A</v>
      </c>
      <c r="AD129" s="426" t="e">
        <f aca="false">IF(ABS(t-ROUND(t,0))&lt;0.001,pos_x,NA())</f>
        <v>#N/A</v>
      </c>
      <c r="AE129" s="427" t="n">
        <f aca="false">IF(t&lt;T_para, pos_z, NA())</f>
        <v>70.2837437818233</v>
      </c>
      <c r="AF129" s="413"/>
      <c r="AG129" s="419" t="n">
        <f aca="false">IF(AND(L128&lt;L_rampe,Poussee&lt;Poids*SIN(M128)),0,(-W128+Poussee)/m-Poids*SIN(M128)/m)</f>
        <v>-14.0178138704143</v>
      </c>
      <c r="AH129" s="418" t="n">
        <f aca="false">IF(AND(L128&lt;L_rampe,Poussee&lt;Poids*SIN(M128)), g*SIN(M128), (-W128+Poussee)/m)</f>
        <v>-4.41566377131757</v>
      </c>
    </row>
    <row r="130" customFormat="false" ht="12" hidden="false" customHeight="false" outlineLevel="0" collapsed="false">
      <c r="A130" s="417" t="n">
        <f aca="false">IF(B129+0.01&lt;=T_ini+ROUNDUP(Temps_fin_propu,0), 0.01, IF(K129&gt;0, 0.1, 0.0001))</f>
        <v>0.01</v>
      </c>
      <c r="B130" s="418" t="n">
        <f aca="false">B129+pas</f>
        <v>1.26</v>
      </c>
      <c r="C130" s="402"/>
      <c r="D130" s="419" t="n">
        <f aca="false">IF(AND(L129&lt;L_rampe,Poussee&lt;Poids*SIN(M129)),0,(-W129+Poussee)/m*COS(M129)-U129/m*SIN(M129))</f>
        <v>-0.901946468102048</v>
      </c>
      <c r="E130" s="420" t="n">
        <f aca="false">IF(AND(L129&lt;L_rampe,Poussee&lt;Poids*SIN(M129)),0,(-W129+Poussee)/m*SIN(M129)+U129/m*COS(M129)-Poids/m)</f>
        <v>-14.1160601889256</v>
      </c>
      <c r="F130" s="418" t="n">
        <f aca="false">SQRT(acc_x^2+acc_z^2)</f>
        <v>14.144845799396</v>
      </c>
      <c r="G130" s="419" t="n">
        <f aca="false">G129+acc_x*pas</f>
        <v>15.9898163325212</v>
      </c>
      <c r="H130" s="420" t="n">
        <f aca="false">H129+acc_z*pas</f>
        <v>76.2402570674519</v>
      </c>
      <c r="I130" s="418" t="n">
        <f aca="false">SQRT(vit_x^2+vit_z^2)</f>
        <v>77.8989796085861</v>
      </c>
      <c r="J130" s="419" t="n">
        <f aca="false">J129+0.5*(vit_x+G129)*pas*(K129&gt;=0)</f>
        <v>13.9898893422449</v>
      </c>
      <c r="K130" s="420" t="n">
        <f aca="false">K129+0.5*(vit_z+H129)*pas</f>
        <v>71.0468521555073</v>
      </c>
      <c r="L130" s="418" t="n">
        <f aca="false">SQRT(pos_x^2+pos_z^2)</f>
        <v>72.4111331565441</v>
      </c>
      <c r="M130" s="419" t="n">
        <f aca="false">IF(AND(L129&gt;L_rampe,G130&gt;0),ATAN2(G130,H130),$M$4)</f>
        <v>1.36406340567814</v>
      </c>
      <c r="N130" s="418" t="n">
        <f aca="false">DEGREES(Beta)</f>
        <v>78.1550761335991</v>
      </c>
      <c r="O130" s="402"/>
      <c r="P130" s="421" t="n">
        <f aca="false">MATCH(t-pas/2-T_ini,CdP_t)</f>
        <v>13</v>
      </c>
      <c r="Q130" s="418" t="n">
        <f aca="false">(INDEX(CdP,2,i_P+1)-INDEX(CdP,2,i_P+0))/(INDEX(CdP,1,i_P+1)-INDEX(CdP,1,i_P+0))*(t-pas/2-T_ini-INDEX(CdP,1,i_P+0))+INDEX(CdP,2,i_P+0)</f>
        <v>0</v>
      </c>
      <c r="R130" s="419" t="n">
        <f aca="false">Poussee/(g*ISP)</f>
        <v>0</v>
      </c>
      <c r="S130" s="420" t="n">
        <f aca="false">S129-Débit*pas</f>
        <v>1.4843</v>
      </c>
      <c r="T130" s="418" t="n">
        <f aca="false">m*g</f>
        <v>14.560983</v>
      </c>
      <c r="U130" s="422" t="n">
        <f aca="false">IF(pos_xz&lt;L_rampe,Poids*COS(Beta),0)</f>
        <v>0</v>
      </c>
      <c r="V130" s="419" t="n">
        <f aca="false">Rho_moyen*(20000-Alt_rampe-pos_z)/(20000+Alt_rampe+pos_z)</f>
        <v>1.21632756806044</v>
      </c>
      <c r="W130" s="418" t="n">
        <f aca="false">1/2*Rho*Sref*Cx*vit_xz^2</f>
        <v>6.50628126114318</v>
      </c>
      <c r="X130" s="402"/>
      <c r="Y130" s="423" t="str">
        <f aca="false">IF(AND(pos_z&lt;=0,K129&gt;0),"Impact balistique","") &amp; IF(AND(H131&lt;0,vit_z&gt;=0),"Apogée","") &amp; IF(AND(Poussee=0,Q129&gt;0),"Fin de propulsion","") &amp; IF(AND(L131&gt;L_rampe,pos_xz&lt;=L_rampe),"Sortie de rampe","")</f>
        <v/>
      </c>
      <c r="Z130" s="424" t="str">
        <f aca="false">IF(ABS(t-T_para)&lt;pas/2,"Para","")</f>
        <v/>
      </c>
      <c r="AA130" s="425" t="str">
        <f aca="false">IF(ABS(t-T_satellite)&lt;pas/2,"Satellite","")</f>
        <v/>
      </c>
      <c r="AB130" s="413"/>
      <c r="AC130" s="421" t="e">
        <f aca="false">IF(ABS(t-ROUND(t,0))&lt;0.001,t,NA())</f>
        <v>#N/A</v>
      </c>
      <c r="AD130" s="426" t="e">
        <f aca="false">IF(ABS(t-ROUND(t,0))&lt;0.001,pos_x,NA())</f>
        <v>#N/A</v>
      </c>
      <c r="AE130" s="427" t="n">
        <f aca="false">IF(t&lt;T_para, pos_z, NA())</f>
        <v>71.0468521555073</v>
      </c>
      <c r="AF130" s="413"/>
      <c r="AG130" s="419" t="n">
        <f aca="false">IF(AND(L129&lt;L_rampe,Poussee&lt;Poids*SIN(M129)),0,(-W129+Poussee)/m-Poids*SIN(M129)/m)</f>
        <v>-14.0011397487307</v>
      </c>
      <c r="AH130" s="418" t="n">
        <f aca="false">IF(AND(L129&lt;L_rampe,Poussee&lt;Poids*SIN(M129)), g*SIN(M129), (-W129+Poussee)/m)</f>
        <v>-4.39950699305858</v>
      </c>
    </row>
    <row r="131" customFormat="false" ht="12" hidden="false" customHeight="false" outlineLevel="0" collapsed="false">
      <c r="A131" s="417" t="n">
        <f aca="false">IF(B130+0.01&lt;=T_ini+ROUNDUP(Temps_fin_propu,0), 0.01, IF(K130&gt;0, 0.1, 0.0001))</f>
        <v>0.01</v>
      </c>
      <c r="B131" s="418" t="n">
        <f aca="false">B130+pas</f>
        <v>1.27</v>
      </c>
      <c r="C131" s="402"/>
      <c r="D131" s="419" t="n">
        <f aca="false">IF(AND(L130&lt;L_rampe,Poussee&lt;Poids*SIN(M130)),0,(-W130+Poussee)/m*COS(M130)-U130/m*SIN(M130))</f>
        <v>-0.899752065700321</v>
      </c>
      <c r="E131" s="420" t="n">
        <f aca="false">IF(AND(L130&lt;L_rampe,Poussee&lt;Poids*SIN(M130)),0,(-W130+Poussee)/m*SIN(M130)+U130/m*COS(M130)-Poids/m)</f>
        <v>-14.1000635854363</v>
      </c>
      <c r="F131" s="418" t="n">
        <f aca="false">SQRT(acc_x^2+acc_z^2)</f>
        <v>14.1287418722644</v>
      </c>
      <c r="G131" s="419" t="n">
        <f aca="false">G130+acc_x*pas</f>
        <v>15.9808188118642</v>
      </c>
      <c r="H131" s="420" t="n">
        <f aca="false">H130+acc_z*pas</f>
        <v>76.0992564315975</v>
      </c>
      <c r="I131" s="418" t="n">
        <f aca="false">SQRT(vit_x^2+vit_z^2)</f>
        <v>77.7591370794434</v>
      </c>
      <c r="J131" s="419" t="n">
        <f aca="false">J130+0.5*(vit_x+G130)*pas*(K130&gt;=0)</f>
        <v>14.1497425179669</v>
      </c>
      <c r="K131" s="420" t="n">
        <f aca="false">K130+0.5*(vit_z+H130)*pas</f>
        <v>71.8085497230025</v>
      </c>
      <c r="L131" s="418" t="n">
        <f aca="false">SQRT(pos_x^2+pos_z^2)</f>
        <v>73.1893641634198</v>
      </c>
      <c r="M131" s="419" t="n">
        <f aca="false">IF(AND(L130&gt;L_rampe,G131&gt;0),ATAN2(G131,H131),$M$4)</f>
        <v>1.36380444770564</v>
      </c>
      <c r="N131" s="418" t="n">
        <f aca="false">DEGREES(Beta)</f>
        <v>78.1402389347036</v>
      </c>
      <c r="O131" s="402"/>
      <c r="P131" s="421" t="n">
        <f aca="false">MATCH(t-pas/2-T_ini,CdP_t)</f>
        <v>13</v>
      </c>
      <c r="Q131" s="418" t="n">
        <f aca="false">(INDEX(CdP,2,i_P+1)-INDEX(CdP,2,i_P+0))/(INDEX(CdP,1,i_P+1)-INDEX(CdP,1,i_P+0))*(t-pas/2-T_ini-INDEX(CdP,1,i_P+0))+INDEX(CdP,2,i_P+0)</f>
        <v>0</v>
      </c>
      <c r="R131" s="419" t="n">
        <f aca="false">Poussee/(g*ISP)</f>
        <v>0</v>
      </c>
      <c r="S131" s="420" t="n">
        <f aca="false">S130-Débit*pas</f>
        <v>1.4843</v>
      </c>
      <c r="T131" s="418" t="n">
        <f aca="false">m*g</f>
        <v>14.560983</v>
      </c>
      <c r="U131" s="422" t="n">
        <f aca="false">IF(pos_xz&lt;L_rampe,Poids*COS(Beta),0)</f>
        <v>0</v>
      </c>
      <c r="V131" s="419" t="n">
        <f aca="false">Rho_moyen*(20000-Alt_rampe-pos_z)/(20000+Alt_rampe+pos_z)</f>
        <v>1.2162349230322</v>
      </c>
      <c r="W131" s="418" t="n">
        <f aca="false">1/2*Rho*Sref*Cx*vit_xz^2</f>
        <v>6.48244857198264</v>
      </c>
      <c r="X131" s="402"/>
      <c r="Y131" s="423" t="str">
        <f aca="false">IF(AND(pos_z&lt;=0,K130&gt;0),"Impact balistique","") &amp; IF(AND(H132&lt;0,vit_z&gt;=0),"Apogée","") &amp; IF(AND(Poussee=0,Q130&gt;0),"Fin de propulsion","") &amp; IF(AND(L132&gt;L_rampe,pos_xz&lt;=L_rampe),"Sortie de rampe","")</f>
        <v/>
      </c>
      <c r="Z131" s="424" t="str">
        <f aca="false">IF(ABS(t-T_para)&lt;pas/2,"Para","")</f>
        <v/>
      </c>
      <c r="AA131" s="425" t="str">
        <f aca="false">IF(ABS(t-T_satellite)&lt;pas/2,"Satellite","")</f>
        <v/>
      </c>
      <c r="AB131" s="413"/>
      <c r="AC131" s="421" t="e">
        <f aca="false">IF(ABS(t-ROUND(t,0))&lt;0.001,t,NA())</f>
        <v>#N/A</v>
      </c>
      <c r="AD131" s="426" t="e">
        <f aca="false">IF(ABS(t-ROUND(t,0))&lt;0.001,pos_x,NA())</f>
        <v>#N/A</v>
      </c>
      <c r="AE131" s="427" t="n">
        <f aca="false">IF(t&lt;T_para, pos_z, NA())</f>
        <v>71.8085497230025</v>
      </c>
      <c r="AF131" s="413"/>
      <c r="AG131" s="419" t="n">
        <f aca="false">IF(AND(L130&lt;L_rampe,Poussee&lt;Poids*SIN(M130)),0,(-W130+Poussee)/m-Poids*SIN(M130)/m)</f>
        <v>-13.9845136376647</v>
      </c>
      <c r="AH131" s="418" t="n">
        <f aca="false">IF(AND(L130&lt;L_rampe,Poussee&lt;Poids*SIN(M130)), g*SIN(M130), (-W130+Poussee)/m)</f>
        <v>-4.38340043194987</v>
      </c>
    </row>
    <row r="132" customFormat="false" ht="12" hidden="false" customHeight="false" outlineLevel="0" collapsed="false">
      <c r="A132" s="417" t="n">
        <f aca="false">IF(B131+0.01&lt;=T_ini+ROUNDUP(Temps_fin_propu,0), 0.01, IF(K131&gt;0, 0.1, 0.0001))</f>
        <v>0.01</v>
      </c>
      <c r="B132" s="418" t="n">
        <f aca="false">B131+pas</f>
        <v>1.28</v>
      </c>
      <c r="C132" s="402"/>
      <c r="D132" s="419" t="n">
        <f aca="false">IF(AND(L131&lt;L_rampe,Poussee&lt;Poids*SIN(M131)),0,(-W131+Poussee)/m*COS(M131)-U131/m*SIN(M131))</f>
        <v>-0.897563095537987</v>
      </c>
      <c r="E132" s="420" t="n">
        <f aca="false">IF(AND(L131&lt;L_rampe,Poussee&lt;Poids*SIN(M131)),0,(-W131+Poussee)/m*SIN(M131)+U131/m*COS(M131)-Poids/m)</f>
        <v>-14.0841166754343</v>
      </c>
      <c r="F132" s="418" t="n">
        <f aca="false">SQRT(acc_x^2+acc_z^2)</f>
        <v>14.1126879805982</v>
      </c>
      <c r="G132" s="419" t="n">
        <f aca="false">G131+acc_x*pas</f>
        <v>15.9718431809088</v>
      </c>
      <c r="H132" s="420" t="n">
        <f aca="false">H131+acc_z*pas</f>
        <v>75.9584152648432</v>
      </c>
      <c r="I132" s="418" t="n">
        <f aca="false">SQRT(vit_x^2+vit_z^2)</f>
        <v>77.61946034431</v>
      </c>
      <c r="J132" s="419" t="n">
        <f aca="false">J131+0.5*(vit_x+G131)*pas*(K131&gt;=0)</f>
        <v>14.3095058279307</v>
      </c>
      <c r="K132" s="420" t="n">
        <f aca="false">K131+0.5*(vit_z+H131)*pas</f>
        <v>72.5688380814847</v>
      </c>
      <c r="L132" s="418" t="n">
        <f aca="false">SQRT(pos_x^2+pos_z^2)</f>
        <v>73.9661964517328</v>
      </c>
      <c r="M132" s="419" t="n">
        <f aca="false">IF(AND(L131&gt;L_rampe,G132&gt;0),ATAN2(G132,H132),$M$4)</f>
        <v>1.36354470342803</v>
      </c>
      <c r="N132" s="418" t="n">
        <f aca="false">DEGREES(Beta)</f>
        <v>78.1253566838437</v>
      </c>
      <c r="O132" s="402"/>
      <c r="P132" s="421" t="n">
        <f aca="false">MATCH(t-pas/2-T_ini,CdP_t)</f>
        <v>13</v>
      </c>
      <c r="Q132" s="418" t="n">
        <f aca="false">(INDEX(CdP,2,i_P+1)-INDEX(CdP,2,i_P+0))/(INDEX(CdP,1,i_P+1)-INDEX(CdP,1,i_P+0))*(t-pas/2-T_ini-INDEX(CdP,1,i_P+0))+INDEX(CdP,2,i_P+0)</f>
        <v>0</v>
      </c>
      <c r="R132" s="419" t="n">
        <f aca="false">Poussee/(g*ISP)</f>
        <v>0</v>
      </c>
      <c r="S132" s="420" t="n">
        <f aca="false">S131-Débit*pas</f>
        <v>1.4843</v>
      </c>
      <c r="T132" s="418" t="n">
        <f aca="false">m*g</f>
        <v>14.560983</v>
      </c>
      <c r="U132" s="422" t="n">
        <f aca="false">IF(pos_xz&lt;L_rampe,Poids*COS(Beta),0)</f>
        <v>0</v>
      </c>
      <c r="V132" s="419" t="n">
        <f aca="false">Rho_moyen*(20000-Alt_rampe-pos_z)/(20000+Alt_rampe+pos_z)</f>
        <v>1.21614245641732</v>
      </c>
      <c r="W132" s="418" t="n">
        <f aca="false">1/2*Rho*Sref*Cx*vit_xz^2</f>
        <v>6.45868990570928</v>
      </c>
      <c r="X132" s="402"/>
      <c r="Y132" s="423" t="str">
        <f aca="false">IF(AND(pos_z&lt;=0,K131&gt;0),"Impact balistique","") &amp; IF(AND(H133&lt;0,vit_z&gt;=0),"Apogée","") &amp; IF(AND(Poussee=0,Q131&gt;0),"Fin de propulsion","") &amp; IF(AND(L133&gt;L_rampe,pos_xz&lt;=L_rampe),"Sortie de rampe","")</f>
        <v/>
      </c>
      <c r="Z132" s="424" t="str">
        <f aca="false">IF(ABS(t-T_para)&lt;pas/2,"Para","")</f>
        <v/>
      </c>
      <c r="AA132" s="425" t="str">
        <f aca="false">IF(ABS(t-T_satellite)&lt;pas/2,"Satellite","")</f>
        <v/>
      </c>
      <c r="AB132" s="413"/>
      <c r="AC132" s="421" t="e">
        <f aca="false">IF(ABS(t-ROUND(t,0))&lt;0.001,t,NA())</f>
        <v>#N/A</v>
      </c>
      <c r="AD132" s="426" t="e">
        <f aca="false">IF(ABS(t-ROUND(t,0))&lt;0.001,pos_x,NA())</f>
        <v>#N/A</v>
      </c>
      <c r="AE132" s="427" t="n">
        <f aca="false">IF(t&lt;T_para, pos_z, NA())</f>
        <v>72.5688380814847</v>
      </c>
      <c r="AF132" s="413"/>
      <c r="AG132" s="419" t="n">
        <f aca="false">IF(AND(L131&lt;L_rampe,Poussee&lt;Poids*SIN(M131)),0,(-W131+Poussee)/m-Poids*SIN(M131)/m)</f>
        <v>-13.9679353512985</v>
      </c>
      <c r="AH132" s="418" t="n">
        <f aca="false">IF(AND(L131&lt;L_rampe,Poussee&lt;Poids*SIN(M131)), g*SIN(M131), (-W131+Poussee)/m)</f>
        <v>-4.36734391429135</v>
      </c>
    </row>
    <row r="133" customFormat="false" ht="12" hidden="false" customHeight="false" outlineLevel="0" collapsed="false">
      <c r="A133" s="417" t="n">
        <f aca="false">IF(B132+0.01&lt;=T_ini+ROUNDUP(Temps_fin_propu,0), 0.01, IF(K132&gt;0, 0.1, 0.0001))</f>
        <v>0.01</v>
      </c>
      <c r="B133" s="418" t="n">
        <f aca="false">B132+pas</f>
        <v>1.29</v>
      </c>
      <c r="C133" s="402"/>
      <c r="D133" s="419" t="n">
        <f aca="false">IF(AND(L132&lt;L_rampe,Poussee&lt;Poids*SIN(M132)),0,(-W132+Poussee)/m*COS(M132)-U132/m*SIN(M132))</f>
        <v>-0.895379536919237</v>
      </c>
      <c r="E133" s="420" t="n">
        <f aca="false">IF(AND(L132&lt;L_rampe,Poussee&lt;Poids*SIN(M132)),0,(-W132+Poussee)/m*SIN(M132)+U132/m*COS(M132)-Poids/m)</f>
        <v>-14.0682192871922</v>
      </c>
      <c r="F133" s="418" t="n">
        <f aca="false">SQRT(acc_x^2+acc_z^2)</f>
        <v>14.096683951471</v>
      </c>
      <c r="G133" s="419" t="n">
        <f aca="false">G132+acc_x*pas</f>
        <v>15.9628893855396</v>
      </c>
      <c r="H133" s="420" t="n">
        <f aca="false">H132+acc_z*pas</f>
        <v>75.8177330719713</v>
      </c>
      <c r="I133" s="418" t="n">
        <f aca="false">SQRT(vit_x^2+vit_z^2)</f>
        <v>77.4799489268524</v>
      </c>
      <c r="J133" s="419" t="n">
        <f aca="false">J132+0.5*(vit_x+G132)*pas*(K132&gt;=0)</f>
        <v>14.469179490763</v>
      </c>
      <c r="K133" s="420" t="n">
        <f aca="false">K132+0.5*(vit_z+H132)*pas</f>
        <v>73.3277188231688</v>
      </c>
      <c r="L133" s="418" t="n">
        <f aca="false">SQRT(pos_x^2+pos_z^2)</f>
        <v>74.7416316583042</v>
      </c>
      <c r="M133" s="419" t="n">
        <f aca="false">IF(AND(L132&gt;L_rampe,G133&gt;0),ATAN2(G133,H133),$M$4)</f>
        <v>1.36328416960937</v>
      </c>
      <c r="N133" s="418" t="n">
        <f aca="false">DEGREES(Beta)</f>
        <v>78.1104291956137</v>
      </c>
      <c r="O133" s="402"/>
      <c r="P133" s="421" t="n">
        <f aca="false">MATCH(t-pas/2-T_ini,CdP_t)</f>
        <v>13</v>
      </c>
      <c r="Q133" s="418" t="n">
        <f aca="false">(INDEX(CdP,2,i_P+1)-INDEX(CdP,2,i_P+0))/(INDEX(CdP,1,i_P+1)-INDEX(CdP,1,i_P+0))*(t-pas/2-T_ini-INDEX(CdP,1,i_P+0))+INDEX(CdP,2,i_P+0)</f>
        <v>0</v>
      </c>
      <c r="R133" s="419" t="n">
        <f aca="false">Poussee/(g*ISP)</f>
        <v>0</v>
      </c>
      <c r="S133" s="420" t="n">
        <f aca="false">S132-Débit*pas</f>
        <v>1.4843</v>
      </c>
      <c r="T133" s="418" t="n">
        <f aca="false">m*g</f>
        <v>14.560983</v>
      </c>
      <c r="U133" s="422" t="n">
        <f aca="false">IF(pos_xz&lt;L_rampe,Poids*COS(Beta),0)</f>
        <v>0</v>
      </c>
      <c r="V133" s="419" t="n">
        <f aca="false">Rho_moyen*(20000-Alt_rampe-pos_z)/(20000+Alt_rampe+pos_z)</f>
        <v>1.21605016798245</v>
      </c>
      <c r="W133" s="418" t="n">
        <f aca="false">1/2*Rho*Sref*Cx*vit_xz^2</f>
        <v>6.43500500692753</v>
      </c>
      <c r="X133" s="402"/>
      <c r="Y133" s="423" t="str">
        <f aca="false">IF(AND(pos_z&lt;=0,K132&gt;0),"Impact balistique","") &amp; IF(AND(H134&lt;0,vit_z&gt;=0),"Apogée","") &amp; IF(AND(Poussee=0,Q132&gt;0),"Fin de propulsion","") &amp; IF(AND(L134&gt;L_rampe,pos_xz&lt;=L_rampe),"Sortie de rampe","")</f>
        <v/>
      </c>
      <c r="Z133" s="424" t="str">
        <f aca="false">IF(ABS(t-T_para)&lt;pas/2,"Para","")</f>
        <v/>
      </c>
      <c r="AA133" s="425" t="str">
        <f aca="false">IF(ABS(t-T_satellite)&lt;pas/2,"Satellite","")</f>
        <v/>
      </c>
      <c r="AB133" s="413"/>
      <c r="AC133" s="421" t="e">
        <f aca="false">IF(ABS(t-ROUND(t,0))&lt;0.001,t,NA())</f>
        <v>#N/A</v>
      </c>
      <c r="AD133" s="426" t="e">
        <f aca="false">IF(ABS(t-ROUND(t,0))&lt;0.001,pos_x,NA())</f>
        <v>#N/A</v>
      </c>
      <c r="AE133" s="427" t="n">
        <f aca="false">IF(t&lt;T_para, pos_z, NA())</f>
        <v>73.3277188231688</v>
      </c>
      <c r="AF133" s="413"/>
      <c r="AG133" s="419" t="n">
        <f aca="false">IF(AND(L132&lt;L_rampe,Poussee&lt;Poids*SIN(M132)),0,(-W132+Poussee)/m-Poids*SIN(M132)/m)</f>
        <v>-13.9514047044501</v>
      </c>
      <c r="AH133" s="418" t="n">
        <f aca="false">IF(AND(L132&lt;L_rampe,Poussee&lt;Poids*SIN(M132)), g*SIN(M132), (-W132+Poussee)/m)</f>
        <v>-4.35133726720291</v>
      </c>
    </row>
    <row r="134" customFormat="false" ht="12" hidden="false" customHeight="false" outlineLevel="0" collapsed="false">
      <c r="A134" s="417" t="n">
        <f aca="false">IF(B133+0.01&lt;=T_ini+ROUNDUP(Temps_fin_propu,0), 0.01, IF(K133&gt;0, 0.1, 0.0001))</f>
        <v>0.01</v>
      </c>
      <c r="B134" s="418" t="n">
        <f aca="false">B133+pas</f>
        <v>1.3</v>
      </c>
      <c r="C134" s="402"/>
      <c r="D134" s="419" t="n">
        <f aca="false">IF(AND(L133&lt;L_rampe,Poussee&lt;Poids*SIN(M133)),0,(-W133+Poussee)/m*COS(M133)-U133/m*SIN(M133))</f>
        <v>-0.893201369243426</v>
      </c>
      <c r="E134" s="420" t="n">
        <f aca="false">IF(AND(L133&lt;L_rampe,Poussee&lt;Poids*SIN(M133)),0,(-W133+Poussee)/m*SIN(M133)+U133/m*COS(M133)-Poids/m)</f>
        <v>-14.0523712497916</v>
      </c>
      <c r="F134" s="418" t="n">
        <f aca="false">SQRT(acc_x^2+acc_z^2)</f>
        <v>14.0807296127718</v>
      </c>
      <c r="G134" s="419" t="n">
        <f aca="false">G133+acc_x*pas</f>
        <v>15.9539573718472</v>
      </c>
      <c r="H134" s="420" t="n">
        <f aca="false">H133+acc_z*pas</f>
        <v>75.6772093594734</v>
      </c>
      <c r="I134" s="418" t="n">
        <f aca="false">SQRT(vit_x^2+vit_z^2)</f>
        <v>77.3406023525824</v>
      </c>
      <c r="J134" s="419" t="n">
        <f aca="false">J133+0.5*(vit_x+G133)*pas*(K133&gt;=0)</f>
        <v>14.6287637245499</v>
      </c>
      <c r="K134" s="420" t="n">
        <f aca="false">K133+0.5*(vit_z+H133)*pas</f>
        <v>74.085193535326</v>
      </c>
      <c r="L134" s="418" t="n">
        <f aca="false">SQRT(pos_x^2+pos_z^2)</f>
        <v>75.5156714151137</v>
      </c>
      <c r="M134" s="419" t="n">
        <f aca="false">IF(AND(L133&gt;L_rampe,G134&gt;0),ATAN2(G134,H134),$M$4)</f>
        <v>1.36302284299582</v>
      </c>
      <c r="N134" s="418" t="n">
        <f aca="false">DEGREES(Beta)</f>
        <v>78.095456283583</v>
      </c>
      <c r="O134" s="402"/>
      <c r="P134" s="421" t="n">
        <f aca="false">MATCH(t-pas/2-T_ini,CdP_t)</f>
        <v>13</v>
      </c>
      <c r="Q134" s="418" t="n">
        <f aca="false">(INDEX(CdP,2,i_P+1)-INDEX(CdP,2,i_P+0))/(INDEX(CdP,1,i_P+1)-INDEX(CdP,1,i_P+0))*(t-pas/2-T_ini-INDEX(CdP,1,i_P+0))+INDEX(CdP,2,i_P+0)</f>
        <v>0</v>
      </c>
      <c r="R134" s="419" t="n">
        <f aca="false">Poussee/(g*ISP)</f>
        <v>0</v>
      </c>
      <c r="S134" s="420" t="n">
        <f aca="false">S133-Débit*pas</f>
        <v>1.4843</v>
      </c>
      <c r="T134" s="418" t="n">
        <f aca="false">m*g</f>
        <v>14.560983</v>
      </c>
      <c r="U134" s="422" t="n">
        <f aca="false">IF(pos_xz&lt;L_rampe,Poids*COS(Beta),0)</f>
        <v>0</v>
      </c>
      <c r="V134" s="419" t="n">
        <f aca="false">Rho_moyen*(20000-Alt_rampe-pos_z)/(20000+Alt_rampe+pos_z)</f>
        <v>1.21595805749494</v>
      </c>
      <c r="W134" s="418" t="n">
        <f aca="false">1/2*Rho*Sref*Cx*vit_xz^2</f>
        <v>6.41139362144562</v>
      </c>
      <c r="X134" s="402"/>
      <c r="Y134" s="423" t="str">
        <f aca="false">IF(AND(pos_z&lt;=0,K133&gt;0),"Impact balistique","") &amp; IF(AND(H135&lt;0,vit_z&gt;=0),"Apogée","") &amp; IF(AND(Poussee=0,Q133&gt;0),"Fin de propulsion","") &amp; IF(AND(L135&gt;L_rampe,pos_xz&lt;=L_rampe),"Sortie de rampe","")</f>
        <v/>
      </c>
      <c r="Z134" s="424" t="str">
        <f aca="false">IF(ABS(t-T_para)&lt;pas/2,"Para","")</f>
        <v/>
      </c>
      <c r="AA134" s="425" t="str">
        <f aca="false">IF(ABS(t-T_satellite)&lt;pas/2,"Satellite","")</f>
        <v/>
      </c>
      <c r="AB134" s="413"/>
      <c r="AC134" s="421" t="e">
        <f aca="false">IF(ABS(t-ROUND(t,0))&lt;0.001,t,NA())</f>
        <v>#N/A</v>
      </c>
      <c r="AD134" s="426" t="e">
        <f aca="false">IF(ABS(t-ROUND(t,0))&lt;0.001,pos_x,NA())</f>
        <v>#N/A</v>
      </c>
      <c r="AE134" s="427" t="n">
        <f aca="false">IF(t&lt;T_para, pos_z, NA())</f>
        <v>74.085193535326</v>
      </c>
      <c r="AF134" s="413"/>
      <c r="AG134" s="419" t="n">
        <f aca="false">IF(AND(L133&lt;L_rampe,Poussee&lt;Poids*SIN(M133)),0,(-W133+Poussee)/m-Poids*SIN(M133)/m)</f>
        <v>-13.9349215126677</v>
      </c>
      <c r="AH134" s="418" t="n">
        <f aca="false">IF(AND(L133&lt;L_rampe,Poussee&lt;Poids*SIN(M133)), g*SIN(M133), (-W133+Poussee)/m)</f>
        <v>-4.33538031861991</v>
      </c>
    </row>
    <row r="135" customFormat="false" ht="12" hidden="false" customHeight="false" outlineLevel="0" collapsed="false">
      <c r="A135" s="417" t="n">
        <f aca="false">IF(B134+0.01&lt;=T_ini+ROUNDUP(Temps_fin_propu,0), 0.01, IF(K134&gt;0, 0.1, 0.0001))</f>
        <v>0.01</v>
      </c>
      <c r="B135" s="418" t="n">
        <f aca="false">B134+pas</f>
        <v>1.31</v>
      </c>
      <c r="C135" s="402"/>
      <c r="D135" s="419" t="n">
        <f aca="false">IF(AND(L134&lt;L_rampe,Poussee&lt;Poids*SIN(M134)),0,(-W134+Poussee)/m*COS(M134)-U134/m*SIN(M134))</f>
        <v>-0.891028572004551</v>
      </c>
      <c r="E135" s="420" t="n">
        <f aca="false">IF(AND(L134&lt;L_rampe,Poussee&lt;Poids*SIN(M134)),0,(-W134+Poussee)/m*SIN(M134)+U134/m*COS(M134)-Poids/m)</f>
        <v>-14.0365723931199</v>
      </c>
      <c r="F135" s="418" t="n">
        <f aca="false">SQRT(acc_x^2+acc_z^2)</f>
        <v>14.0648247932004</v>
      </c>
      <c r="G135" s="419" t="n">
        <f aca="false">G134+acc_x*pas</f>
        <v>15.9450470861272</v>
      </c>
      <c r="H135" s="420" t="n">
        <f aca="false">H134+acc_z*pas</f>
        <v>75.5368436355422</v>
      </c>
      <c r="I135" s="418" t="n">
        <f aca="false">SQRT(vit_x^2+vit_z^2)</f>
        <v>77.2014201488493</v>
      </c>
      <c r="J135" s="419" t="n">
        <f aca="false">J134+0.5*(vit_x+G134)*pas*(K134&gt;=0)</f>
        <v>14.7882587468398</v>
      </c>
      <c r="K135" s="420" t="n">
        <f aca="false">K134+0.5*(vit_z+H134)*pas</f>
        <v>74.8412638003011</v>
      </c>
      <c r="L135" s="418" t="n">
        <f aca="false">SQRT(pos_x^2+pos_z^2)</f>
        <v>76.2883173493146</v>
      </c>
      <c r="M135" s="419" t="n">
        <f aca="false">IF(AND(L134&gt;L_rampe,G135&gt;0),ATAN2(G135,H135),$M$4)</f>
        <v>1.36276072031555</v>
      </c>
      <c r="N135" s="418" t="n">
        <f aca="false">DEGREES(Beta)</f>
        <v>78.0804377602891</v>
      </c>
      <c r="O135" s="402"/>
      <c r="P135" s="421" t="n">
        <f aca="false">MATCH(t-pas/2-T_ini,CdP_t)</f>
        <v>13</v>
      </c>
      <c r="Q135" s="418" t="n">
        <f aca="false">(INDEX(CdP,2,i_P+1)-INDEX(CdP,2,i_P+0))/(INDEX(CdP,1,i_P+1)-INDEX(CdP,1,i_P+0))*(t-pas/2-T_ini-INDEX(CdP,1,i_P+0))+INDEX(CdP,2,i_P+0)</f>
        <v>0</v>
      </c>
      <c r="R135" s="419" t="n">
        <f aca="false">Poussee/(g*ISP)</f>
        <v>0</v>
      </c>
      <c r="S135" s="420" t="n">
        <f aca="false">S134-Débit*pas</f>
        <v>1.4843</v>
      </c>
      <c r="T135" s="418" t="n">
        <f aca="false">m*g</f>
        <v>14.560983</v>
      </c>
      <c r="U135" s="422" t="n">
        <f aca="false">IF(pos_xz&lt;L_rampe,Poids*COS(Beta),0)</f>
        <v>0</v>
      </c>
      <c r="V135" s="419" t="n">
        <f aca="false">Rho_moyen*(20000-Alt_rampe-pos_z)/(20000+Alt_rampe+pos_z)</f>
        <v>1.21586612472292</v>
      </c>
      <c r="W135" s="418" t="n">
        <f aca="false">1/2*Rho*Sref*Cx*vit_xz^2</f>
        <v>6.38785549626893</v>
      </c>
      <c r="X135" s="402"/>
      <c r="Y135" s="423" t="str">
        <f aca="false">IF(AND(pos_z&lt;=0,K134&gt;0),"Impact balistique","") &amp; IF(AND(H136&lt;0,vit_z&gt;=0),"Apogée","") &amp; IF(AND(Poussee=0,Q134&gt;0),"Fin de propulsion","") &amp; IF(AND(L136&gt;L_rampe,pos_xz&lt;=L_rampe),"Sortie de rampe","")</f>
        <v/>
      </c>
      <c r="Z135" s="424" t="str">
        <f aca="false">IF(ABS(t-T_para)&lt;pas/2,"Para","")</f>
        <v/>
      </c>
      <c r="AA135" s="425" t="str">
        <f aca="false">IF(ABS(t-T_satellite)&lt;pas/2,"Satellite","")</f>
        <v/>
      </c>
      <c r="AB135" s="413"/>
      <c r="AC135" s="421" t="e">
        <f aca="false">IF(ABS(t-ROUND(t,0))&lt;0.001,t,NA())</f>
        <v>#N/A</v>
      </c>
      <c r="AD135" s="426" t="e">
        <f aca="false">IF(ABS(t-ROUND(t,0))&lt;0.001,pos_x,NA())</f>
        <v>#N/A</v>
      </c>
      <c r="AE135" s="427" t="n">
        <f aca="false">IF(t&lt;T_para, pos_z, NA())</f>
        <v>74.8412638003011</v>
      </c>
      <c r="AF135" s="413"/>
      <c r="AG135" s="419" t="n">
        <f aca="false">IF(AND(L134&lt;L_rampe,Poussee&lt;Poids*SIN(M134)),0,(-W134+Poussee)/m-Poids*SIN(M134)/m)</f>
        <v>-13.9184855922247</v>
      </c>
      <c r="AH135" s="418" t="n">
        <f aca="false">IF(AND(L134&lt;L_rampe,Poussee&lt;Poids*SIN(M134)), g*SIN(M134), (-W134+Poussee)/m)</f>
        <v>-4.3194728972887</v>
      </c>
    </row>
    <row r="136" customFormat="false" ht="12" hidden="false" customHeight="false" outlineLevel="0" collapsed="false">
      <c r="A136" s="417" t="n">
        <f aca="false">IF(B135+0.01&lt;=T_ini+ROUNDUP(Temps_fin_propu,0), 0.01, IF(K135&gt;0, 0.1, 0.0001))</f>
        <v>0.01</v>
      </c>
      <c r="B136" s="418" t="n">
        <f aca="false">B135+pas</f>
        <v>1.32</v>
      </c>
      <c r="C136" s="402"/>
      <c r="D136" s="419" t="n">
        <f aca="false">IF(AND(L135&lt;L_rampe,Poussee&lt;Poids*SIN(M135)),0,(-W135+Poussee)/m*COS(M135)-U135/m*SIN(M135))</f>
        <v>-0.888861124790738</v>
      </c>
      <c r="E136" s="420" t="n">
        <f aca="false">IF(AND(L135&lt;L_rampe,Poussee&lt;Poids*SIN(M135)),0,(-W135+Poussee)/m*SIN(M135)+U135/m*COS(M135)-Poids/m)</f>
        <v>-14.0208225478648</v>
      </c>
      <c r="F136" s="418" t="n">
        <f aca="false">SQRT(acc_x^2+acc_z^2)</f>
        <v>14.0489693222627</v>
      </c>
      <c r="G136" s="419" t="n">
        <f aca="false">G135+acc_x*pas</f>
        <v>15.9361584748793</v>
      </c>
      <c r="H136" s="420" t="n">
        <f aca="false">H135+acc_z*pas</f>
        <v>75.3966354100635</v>
      </c>
      <c r="I136" s="418" t="n">
        <f aca="false">SQRT(vit_x^2+vit_z^2)</f>
        <v>77.0624018448329</v>
      </c>
      <c r="J136" s="419" t="n">
        <f aca="false">J135+0.5*(vit_x+G135)*pas*(K135&gt;=0)</f>
        <v>14.9476647746448</v>
      </c>
      <c r="K136" s="420" t="n">
        <f aca="false">K135+0.5*(vit_z+H135)*pas</f>
        <v>75.5959311955291</v>
      </c>
      <c r="L136" s="418" t="n">
        <f aca="false">SQRT(pos_x^2+pos_z^2)</f>
        <v>77.0595710832491</v>
      </c>
      <c r="M136" s="419" t="n">
        <f aca="false">IF(AND(L135&gt;L_rampe,G136&gt;0),ATAN2(G136,H136),$M$4)</f>
        <v>1.3624977982786</v>
      </c>
      <c r="N136" s="418" t="n">
        <f aca="false">DEGREES(Beta)</f>
        <v>78.0653734372309</v>
      </c>
      <c r="O136" s="402"/>
      <c r="P136" s="421" t="n">
        <f aca="false">MATCH(t-pas/2-T_ini,CdP_t)</f>
        <v>13</v>
      </c>
      <c r="Q136" s="418" t="n">
        <f aca="false">(INDEX(CdP,2,i_P+1)-INDEX(CdP,2,i_P+0))/(INDEX(CdP,1,i_P+1)-INDEX(CdP,1,i_P+0))*(t-pas/2-T_ini-INDEX(CdP,1,i_P+0))+INDEX(CdP,2,i_P+0)</f>
        <v>0</v>
      </c>
      <c r="R136" s="419" t="n">
        <f aca="false">Poussee/(g*ISP)</f>
        <v>0</v>
      </c>
      <c r="S136" s="420" t="n">
        <f aca="false">S135-Débit*pas</f>
        <v>1.4843</v>
      </c>
      <c r="T136" s="418" t="n">
        <f aca="false">m*g</f>
        <v>14.560983</v>
      </c>
      <c r="U136" s="422" t="n">
        <f aca="false">IF(pos_xz&lt;L_rampe,Poids*COS(Beta),0)</f>
        <v>0</v>
      </c>
      <c r="V136" s="419" t="n">
        <f aca="false">Rho_moyen*(20000-Alt_rampe-pos_z)/(20000+Alt_rampe+pos_z)</f>
        <v>1.21577436943522</v>
      </c>
      <c r="W136" s="418" t="n">
        <f aca="false">1/2*Rho*Sref*Cx*vit_xz^2</f>
        <v>6.3643903795935</v>
      </c>
      <c r="X136" s="402"/>
      <c r="Y136" s="423" t="str">
        <f aca="false">IF(AND(pos_z&lt;=0,K135&gt;0),"Impact balistique","") &amp; IF(AND(H137&lt;0,vit_z&gt;=0),"Apogée","") &amp; IF(AND(Poussee=0,Q135&gt;0),"Fin de propulsion","") &amp; IF(AND(L137&gt;L_rampe,pos_xz&lt;=L_rampe),"Sortie de rampe","")</f>
        <v/>
      </c>
      <c r="Z136" s="424" t="str">
        <f aca="false">IF(ABS(t-T_para)&lt;pas/2,"Para","")</f>
        <v/>
      </c>
      <c r="AA136" s="425" t="str">
        <f aca="false">IF(ABS(t-T_satellite)&lt;pas/2,"Satellite","")</f>
        <v/>
      </c>
      <c r="AB136" s="413"/>
      <c r="AC136" s="421" t="e">
        <f aca="false">IF(ABS(t-ROUND(t,0))&lt;0.001,t,NA())</f>
        <v>#N/A</v>
      </c>
      <c r="AD136" s="426" t="e">
        <f aca="false">IF(ABS(t-ROUND(t,0))&lt;0.001,pos_x,NA())</f>
        <v>#N/A</v>
      </c>
      <c r="AE136" s="427" t="n">
        <f aca="false">IF(t&lt;T_para, pos_z, NA())</f>
        <v>75.5959311955291</v>
      </c>
      <c r="AF136" s="413"/>
      <c r="AG136" s="419" t="n">
        <f aca="false">IF(AND(L135&lt;L_rampe,Poussee&lt;Poids*SIN(M135)),0,(-W135+Poussee)/m-Poids*SIN(M135)/m)</f>
        <v>-13.9020967601146</v>
      </c>
      <c r="AH136" s="418" t="n">
        <f aca="false">IF(AND(L135&lt;L_rampe,Poussee&lt;Poids*SIN(M135)), g*SIN(M135), (-W135+Poussee)/m)</f>
        <v>-4.3036148327622</v>
      </c>
    </row>
    <row r="137" customFormat="false" ht="12" hidden="false" customHeight="false" outlineLevel="0" collapsed="false">
      <c r="A137" s="417" t="n">
        <f aca="false">IF(B136+0.01&lt;=T_ini+ROUNDUP(Temps_fin_propu,0), 0.01, IF(K136&gt;0, 0.1, 0.0001))</f>
        <v>0.01</v>
      </c>
      <c r="B137" s="418" t="n">
        <f aca="false">B136+pas</f>
        <v>1.33</v>
      </c>
      <c r="C137" s="402"/>
      <c r="D137" s="419" t="n">
        <f aca="false">IF(AND(L136&lt;L_rampe,Poussee&lt;Poids*SIN(M136)),0,(-W136+Poussee)/m*COS(M136)-U136/m*SIN(M136))</f>
        <v>-0.886699007283733</v>
      </c>
      <c r="E137" s="420" t="n">
        <f aca="false">IF(AND(L136&lt;L_rampe,Poussee&lt;Poids*SIN(M136)),0,(-W136+Poussee)/m*SIN(M136)+U136/m*COS(M136)-Poids/m)</f>
        <v>-14.0051215455106</v>
      </c>
      <c r="F137" s="418" t="n">
        <f aca="false">SQRT(acc_x^2+acc_z^2)</f>
        <v>14.0331630302666</v>
      </c>
      <c r="G137" s="419" t="n">
        <f aca="false">G136+acc_x*pas</f>
        <v>15.9272914848064</v>
      </c>
      <c r="H137" s="420" t="n">
        <f aca="false">H136+acc_z*pas</f>
        <v>75.2565841946084</v>
      </c>
      <c r="I137" s="418" t="n">
        <f aca="false">SQRT(vit_x^2+vit_z^2)</f>
        <v>76.9235469715364</v>
      </c>
      <c r="J137" s="419" t="n">
        <f aca="false">J136+0.5*(vit_x+G136)*pas*(K136&gt;=0)</f>
        <v>15.1069820244432</v>
      </c>
      <c r="K137" s="420" t="n">
        <f aca="false">K136+0.5*(vit_z+H136)*pas</f>
        <v>76.3491972935525</v>
      </c>
      <c r="L137" s="418" t="n">
        <f aca="false">SQRT(pos_x^2+pos_z^2)</f>
        <v>77.8294342344633</v>
      </c>
      <c r="M137" s="419" t="n">
        <f aca="false">IF(AND(L136&gt;L_rampe,G137&gt;0),ATAN2(G137,H137),$M$4)</f>
        <v>1.36223407357675</v>
      </c>
      <c r="N137" s="418" t="n">
        <f aca="false">DEGREES(Beta)</f>
        <v>78.0502631248613</v>
      </c>
      <c r="O137" s="402"/>
      <c r="P137" s="421" t="n">
        <f aca="false">MATCH(t-pas/2-T_ini,CdP_t)</f>
        <v>13</v>
      </c>
      <c r="Q137" s="418" t="n">
        <f aca="false">(INDEX(CdP,2,i_P+1)-INDEX(CdP,2,i_P+0))/(INDEX(CdP,1,i_P+1)-INDEX(CdP,1,i_P+0))*(t-pas/2-T_ini-INDEX(CdP,1,i_P+0))+INDEX(CdP,2,i_P+0)</f>
        <v>0</v>
      </c>
      <c r="R137" s="419" t="n">
        <f aca="false">Poussee/(g*ISP)</f>
        <v>0</v>
      </c>
      <c r="S137" s="420" t="n">
        <f aca="false">S136-Débit*pas</f>
        <v>1.4843</v>
      </c>
      <c r="T137" s="418" t="n">
        <f aca="false">m*g</f>
        <v>14.560983</v>
      </c>
      <c r="U137" s="422" t="n">
        <f aca="false">IF(pos_xz&lt;L_rampe,Poids*COS(Beta),0)</f>
        <v>0</v>
      </c>
      <c r="V137" s="419" t="n">
        <f aca="false">Rho_moyen*(20000-Alt_rampe-pos_z)/(20000+Alt_rampe+pos_z)</f>
        <v>1.21568279140142</v>
      </c>
      <c r="W137" s="418" t="n">
        <f aca="false">1/2*Rho*Sref*Cx*vit_xz^2</f>
        <v>6.34099802079953</v>
      </c>
      <c r="X137" s="402"/>
      <c r="Y137" s="423" t="str">
        <f aca="false">IF(AND(pos_z&lt;=0,K136&gt;0),"Impact balistique","") &amp; IF(AND(H138&lt;0,vit_z&gt;=0),"Apogée","") &amp; IF(AND(Poussee=0,Q136&gt;0),"Fin de propulsion","") &amp; IF(AND(L138&gt;L_rampe,pos_xz&lt;=L_rampe),"Sortie de rampe","")</f>
        <v/>
      </c>
      <c r="Z137" s="424" t="str">
        <f aca="false">IF(ABS(t-T_para)&lt;pas/2,"Para","")</f>
        <v/>
      </c>
      <c r="AA137" s="425" t="str">
        <f aca="false">IF(ABS(t-T_satellite)&lt;pas/2,"Satellite","")</f>
        <v/>
      </c>
      <c r="AB137" s="413"/>
      <c r="AC137" s="421" t="e">
        <f aca="false">IF(ABS(t-ROUND(t,0))&lt;0.001,t,NA())</f>
        <v>#N/A</v>
      </c>
      <c r="AD137" s="426" t="e">
        <f aca="false">IF(ABS(t-ROUND(t,0))&lt;0.001,pos_x,NA())</f>
        <v>#N/A</v>
      </c>
      <c r="AE137" s="427" t="n">
        <f aca="false">IF(t&lt;T_para, pos_z, NA())</f>
        <v>76.3491972935525</v>
      </c>
      <c r="AF137" s="413"/>
      <c r="AG137" s="419" t="n">
        <f aca="false">IF(AND(L136&lt;L_rampe,Poussee&lt;Poids*SIN(M136)),0,(-W136+Poussee)/m-Poids*SIN(M136)/m)</f>
        <v>-13.8857548340459</v>
      </c>
      <c r="AH137" s="418" t="n">
        <f aca="false">IF(AND(L136&lt;L_rampe,Poussee&lt;Poids*SIN(M136)), g*SIN(M136), (-W136+Poussee)/m)</f>
        <v>-4.28780595539548</v>
      </c>
    </row>
    <row r="138" customFormat="false" ht="12" hidden="false" customHeight="false" outlineLevel="0" collapsed="false">
      <c r="A138" s="417" t="n">
        <f aca="false">IF(B137+0.01&lt;=T_ini+ROUNDUP(Temps_fin_propu,0), 0.01, IF(K137&gt;0, 0.1, 0.0001))</f>
        <v>0.01</v>
      </c>
      <c r="B138" s="418" t="n">
        <f aca="false">B137+pas</f>
        <v>1.34</v>
      </c>
      <c r="C138" s="402"/>
      <c r="D138" s="419" t="n">
        <f aca="false">IF(AND(L137&lt;L_rampe,Poussee&lt;Poids*SIN(M137)),0,(-W137+Poussee)/m*COS(M137)-U137/m*SIN(M137))</f>
        <v>-0.884542199258389</v>
      </c>
      <c r="E138" s="420" t="n">
        <f aca="false">IF(AND(L137&lt;L_rampe,Poussee&lt;Poids*SIN(M137)),0,(-W137+Poussee)/m*SIN(M137)+U137/m*COS(M137)-Poids/m)</f>
        <v>-13.9894692183335</v>
      </c>
      <c r="F138" s="418" t="n">
        <f aca="false">SQRT(acc_x^2+acc_z^2)</f>
        <v>14.0174057483176</v>
      </c>
      <c r="G138" s="419" t="n">
        <f aca="false">G137+acc_x*pas</f>
        <v>15.9184460628138</v>
      </c>
      <c r="H138" s="420" t="n">
        <f aca="false">H137+acc_z*pas</f>
        <v>75.1166895024251</v>
      </c>
      <c r="I138" s="418" t="n">
        <f aca="false">SQRT(vit_x^2+vit_z^2)</f>
        <v>76.7848550617793</v>
      </c>
      <c r="J138" s="419" t="n">
        <f aca="false">J137+0.5*(vit_x+G137)*pas*(K137&gt;=0)</f>
        <v>15.2662107121813</v>
      </c>
      <c r="K138" s="420" t="n">
        <f aca="false">K137+0.5*(vit_z+H137)*pas</f>
        <v>77.1010636620376</v>
      </c>
      <c r="L138" s="418" t="n">
        <f aca="false">SQRT(pos_x^2+pos_z^2)</f>
        <v>78.5979084157225</v>
      </c>
      <c r="M138" s="419" t="n">
        <f aca="false">IF(AND(L137&gt;L_rampe,G138&gt;0),ATAN2(G138,H138),$M$4)</f>
        <v>1.36196954288339</v>
      </c>
      <c r="N138" s="418" t="n">
        <f aca="false">DEGREES(Beta)</f>
        <v>78.0351066325804</v>
      </c>
      <c r="O138" s="402"/>
      <c r="P138" s="421" t="n">
        <f aca="false">MATCH(t-pas/2-T_ini,CdP_t)</f>
        <v>13</v>
      </c>
      <c r="Q138" s="418" t="n">
        <f aca="false">(INDEX(CdP,2,i_P+1)-INDEX(CdP,2,i_P+0))/(INDEX(CdP,1,i_P+1)-INDEX(CdP,1,i_P+0))*(t-pas/2-T_ini-INDEX(CdP,1,i_P+0))+INDEX(CdP,2,i_P+0)</f>
        <v>0</v>
      </c>
      <c r="R138" s="419" t="n">
        <f aca="false">Poussee/(g*ISP)</f>
        <v>0</v>
      </c>
      <c r="S138" s="420" t="n">
        <f aca="false">S137-Débit*pas</f>
        <v>1.4843</v>
      </c>
      <c r="T138" s="418" t="n">
        <f aca="false">m*g</f>
        <v>14.560983</v>
      </c>
      <c r="U138" s="422" t="n">
        <f aca="false">IF(pos_xz&lt;L_rampe,Poids*COS(Beta),0)</f>
        <v>0</v>
      </c>
      <c r="V138" s="419" t="n">
        <f aca="false">Rho_moyen*(20000-Alt_rampe-pos_z)/(20000+Alt_rampe+pos_z)</f>
        <v>1.21559139039182</v>
      </c>
      <c r="W138" s="418" t="n">
        <f aca="false">1/2*Rho*Sref*Cx*vit_xz^2</f>
        <v>6.31767817044486</v>
      </c>
      <c r="X138" s="402"/>
      <c r="Y138" s="423" t="str">
        <f aca="false">IF(AND(pos_z&lt;=0,K137&gt;0),"Impact balistique","") &amp; IF(AND(H139&lt;0,vit_z&gt;=0),"Apogée","") &amp; IF(AND(Poussee=0,Q137&gt;0),"Fin de propulsion","") &amp; IF(AND(L139&gt;L_rampe,pos_xz&lt;=L_rampe),"Sortie de rampe","")</f>
        <v/>
      </c>
      <c r="Z138" s="424" t="str">
        <f aca="false">IF(ABS(t-T_para)&lt;pas/2,"Para","")</f>
        <v/>
      </c>
      <c r="AA138" s="425" t="str">
        <f aca="false">IF(ABS(t-T_satellite)&lt;pas/2,"Satellite","")</f>
        <v/>
      </c>
      <c r="AB138" s="413"/>
      <c r="AC138" s="421" t="e">
        <f aca="false">IF(ABS(t-ROUND(t,0))&lt;0.001,t,NA())</f>
        <v>#N/A</v>
      </c>
      <c r="AD138" s="426" t="e">
        <f aca="false">IF(ABS(t-ROUND(t,0))&lt;0.001,pos_x,NA())</f>
        <v>#N/A</v>
      </c>
      <c r="AE138" s="427" t="n">
        <f aca="false">IF(t&lt;T_para, pos_z, NA())</f>
        <v>77.1010636620376</v>
      </c>
      <c r="AF138" s="413"/>
      <c r="AG138" s="419" t="n">
        <f aca="false">IF(AND(L137&lt;L_rampe,Poussee&lt;Poids*SIN(M137)),0,(-W137+Poussee)/m-Poids*SIN(M137)/m)</f>
        <v>-13.869459632437</v>
      </c>
      <c r="AH138" s="418" t="n">
        <f aca="false">IF(AND(L137&lt;L_rampe,Poussee&lt;Poids*SIN(M137)), g*SIN(M137), (-W137+Poussee)/m)</f>
        <v>-4.2720460963414</v>
      </c>
    </row>
    <row r="139" customFormat="false" ht="12" hidden="false" customHeight="false" outlineLevel="0" collapsed="false">
      <c r="A139" s="417" t="n">
        <f aca="false">IF(B138+0.01&lt;=T_ini+ROUNDUP(Temps_fin_propu,0), 0.01, IF(K138&gt;0, 0.1, 0.0001))</f>
        <v>0.01</v>
      </c>
      <c r="B139" s="418" t="n">
        <f aca="false">B138+pas</f>
        <v>1.35</v>
      </c>
      <c r="C139" s="402"/>
      <c r="D139" s="419" t="n">
        <f aca="false">IF(AND(L138&lt;L_rampe,Poussee&lt;Poids*SIN(M138)),0,(-W138+Poussee)/m*COS(M138)-U138/m*SIN(M138))</f>
        <v>-0.882390680582169</v>
      </c>
      <c r="E139" s="420" t="n">
        <f aca="false">IF(AND(L138&lt;L_rampe,Poussee&lt;Poids*SIN(M138)),0,(-W138+Poussee)/m*SIN(M138)+U138/m*COS(M138)-Poids/m)</f>
        <v>-13.9738653993974</v>
      </c>
      <c r="F139" s="418" t="n">
        <f aca="false">SQRT(acc_x^2+acc_z^2)</f>
        <v>14.0016973083142</v>
      </c>
      <c r="G139" s="419" t="n">
        <f aca="false">G138+acc_x*pas</f>
        <v>15.909622156008</v>
      </c>
      <c r="H139" s="420" t="n">
        <f aca="false">H138+acc_z*pas</f>
        <v>74.9769508484311</v>
      </c>
      <c r="I139" s="418" t="n">
        <f aca="false">SQRT(vit_x^2+vit_z^2)</f>
        <v>76.6463256501901</v>
      </c>
      <c r="J139" s="419" t="n">
        <f aca="false">J138+0.5*(vit_x+G138)*pas*(K138&gt;=0)</f>
        <v>15.4253510532754</v>
      </c>
      <c r="K139" s="420" t="n">
        <f aca="false">K138+0.5*(vit_z+H138)*pas</f>
        <v>77.8515318637919</v>
      </c>
      <c r="L139" s="418" t="n">
        <f aca="false">SQRT(pos_x^2+pos_z^2)</f>
        <v>79.3649952350266</v>
      </c>
      <c r="M139" s="419" t="n">
        <f aca="false">IF(AND(L138&gt;L_rampe,G139&gt;0),ATAN2(G139,H139),$M$4)</f>
        <v>1.36170420285344</v>
      </c>
      <c r="N139" s="418" t="n">
        <f aca="false">DEGREES(Beta)</f>
        <v>78.0199037687281</v>
      </c>
      <c r="O139" s="402"/>
      <c r="P139" s="421" t="n">
        <f aca="false">MATCH(t-pas/2-T_ini,CdP_t)</f>
        <v>13</v>
      </c>
      <c r="Q139" s="418" t="n">
        <f aca="false">(INDEX(CdP,2,i_P+1)-INDEX(CdP,2,i_P+0))/(INDEX(CdP,1,i_P+1)-INDEX(CdP,1,i_P+0))*(t-pas/2-T_ini-INDEX(CdP,1,i_P+0))+INDEX(CdP,2,i_P+0)</f>
        <v>0</v>
      </c>
      <c r="R139" s="419" t="n">
        <f aca="false">Poussee/(g*ISP)</f>
        <v>0</v>
      </c>
      <c r="S139" s="420" t="n">
        <f aca="false">S138-Débit*pas</f>
        <v>1.4843</v>
      </c>
      <c r="T139" s="418" t="n">
        <f aca="false">m*g</f>
        <v>14.560983</v>
      </c>
      <c r="U139" s="422" t="n">
        <f aca="false">IF(pos_xz&lt;L_rampe,Poids*COS(Beta),0)</f>
        <v>0</v>
      </c>
      <c r="V139" s="419" t="n">
        <f aca="false">Rho_moyen*(20000-Alt_rampe-pos_z)/(20000+Alt_rampe+pos_z)</f>
        <v>1.21550016617746</v>
      </c>
      <c r="W139" s="418" t="n">
        <f aca="false">1/2*Rho*Sref*Cx*vit_xz^2</f>
        <v>6.29443058025863</v>
      </c>
      <c r="X139" s="402"/>
      <c r="Y139" s="423" t="str">
        <f aca="false">IF(AND(pos_z&lt;=0,K138&gt;0),"Impact balistique","") &amp; IF(AND(H140&lt;0,vit_z&gt;=0),"Apogée","") &amp; IF(AND(Poussee=0,Q138&gt;0),"Fin de propulsion","") &amp; IF(AND(L140&gt;L_rampe,pos_xz&lt;=L_rampe),"Sortie de rampe","")</f>
        <v/>
      </c>
      <c r="Z139" s="424" t="str">
        <f aca="false">IF(ABS(t-T_para)&lt;pas/2,"Para","")</f>
        <v/>
      </c>
      <c r="AA139" s="425" t="str">
        <f aca="false">IF(ABS(t-T_satellite)&lt;pas/2,"Satellite","")</f>
        <v/>
      </c>
      <c r="AB139" s="413"/>
      <c r="AC139" s="421" t="e">
        <f aca="false">IF(ABS(t-ROUND(t,0))&lt;0.001,t,NA())</f>
        <v>#N/A</v>
      </c>
      <c r="AD139" s="426" t="e">
        <f aca="false">IF(ABS(t-ROUND(t,0))&lt;0.001,pos_x,NA())</f>
        <v>#N/A</v>
      </c>
      <c r="AE139" s="427" t="n">
        <f aca="false">IF(t&lt;T_para, pos_z, NA())</f>
        <v>77.8515318637919</v>
      </c>
      <c r="AF139" s="413"/>
      <c r="AG139" s="419" t="n">
        <f aca="false">IF(AND(L138&lt;L_rampe,Poussee&lt;Poids*SIN(M138)),0,(-W138+Poussee)/m-Poids*SIN(M138)/m)</f>
        <v>-13.8532109744109</v>
      </c>
      <c r="AH139" s="418" t="n">
        <f aca="false">IF(AND(L138&lt;L_rampe,Poussee&lt;Poids*SIN(M138)), g*SIN(M138), (-W138+Poussee)/m)</f>
        <v>-4.25633508754623</v>
      </c>
    </row>
    <row r="140" customFormat="false" ht="12" hidden="false" customHeight="false" outlineLevel="0" collapsed="false">
      <c r="A140" s="417" t="n">
        <f aca="false">IF(B139+0.01&lt;=T_ini+ROUNDUP(Temps_fin_propu,0), 0.01, IF(K139&gt;0, 0.1, 0.0001))</f>
        <v>0.01</v>
      </c>
      <c r="B140" s="418" t="n">
        <f aca="false">B139+pas</f>
        <v>1.36</v>
      </c>
      <c r="C140" s="402"/>
      <c r="D140" s="419" t="n">
        <f aca="false">IF(AND(L139&lt;L_rampe,Poussee&lt;Poids*SIN(M139)),0,(-W139+Poussee)/m*COS(M139)-U139/m*SIN(M139))</f>
        <v>-0.880244431214639</v>
      </c>
      <c r="E140" s="420" t="n">
        <f aca="false">IF(AND(L139&lt;L_rampe,Poussee&lt;Poids*SIN(M139)),0,(-W139+Poussee)/m*SIN(M139)+U139/m*COS(M139)-Poids/m)</f>
        <v>-13.9583099225497</v>
      </c>
      <c r="F140" s="418" t="n">
        <f aca="false">SQRT(acc_x^2+acc_z^2)</f>
        <v>13.9860375429439</v>
      </c>
      <c r="G140" s="419" t="n">
        <f aca="false">G139+acc_x*pas</f>
        <v>15.9008197116959</v>
      </c>
      <c r="H140" s="420" t="n">
        <f aca="false">H139+acc_z*pas</f>
        <v>74.8373677492056</v>
      </c>
      <c r="I140" s="418" t="n">
        <f aca="false">SQRT(vit_x^2+vit_z^2)</f>
        <v>76.5079582731999</v>
      </c>
      <c r="J140" s="419" t="n">
        <f aca="false">J139+0.5*(vit_x+G139)*pas*(K139&gt;=0)</f>
        <v>15.584403262614</v>
      </c>
      <c r="K140" s="420" t="n">
        <f aca="false">K139+0.5*(vit_z+H139)*pas</f>
        <v>78.6006034567801</v>
      </c>
      <c r="L140" s="418" t="n">
        <f aca="false">SQRT(pos_x^2+pos_z^2)</f>
        <v>80.1306962956255</v>
      </c>
      <c r="M140" s="419" t="n">
        <f aca="false">IF(AND(L139&gt;L_rampe,G140&gt;0),ATAN2(G140,H140),$M$4)</f>
        <v>1.36143805012315</v>
      </c>
      <c r="N140" s="418" t="n">
        <f aca="false">DEGREES(Beta)</f>
        <v>78.0046543405769</v>
      </c>
      <c r="O140" s="402"/>
      <c r="P140" s="421" t="n">
        <f aca="false">MATCH(t-pas/2-T_ini,CdP_t)</f>
        <v>13</v>
      </c>
      <c r="Q140" s="418" t="n">
        <f aca="false">(INDEX(CdP,2,i_P+1)-INDEX(CdP,2,i_P+0))/(INDEX(CdP,1,i_P+1)-INDEX(CdP,1,i_P+0))*(t-pas/2-T_ini-INDEX(CdP,1,i_P+0))+INDEX(CdP,2,i_P+0)</f>
        <v>0</v>
      </c>
      <c r="R140" s="419" t="n">
        <f aca="false">Poussee/(g*ISP)</f>
        <v>0</v>
      </c>
      <c r="S140" s="420" t="n">
        <f aca="false">S139-Débit*pas</f>
        <v>1.4843</v>
      </c>
      <c r="T140" s="418" t="n">
        <f aca="false">m*g</f>
        <v>14.560983</v>
      </c>
      <c r="U140" s="422" t="n">
        <f aca="false">IF(pos_xz&lt;L_rampe,Poids*COS(Beta),0)</f>
        <v>0</v>
      </c>
      <c r="V140" s="419" t="n">
        <f aca="false">Rho_moyen*(20000-Alt_rampe-pos_z)/(20000+Alt_rampe+pos_z)</f>
        <v>1.21540911853011</v>
      </c>
      <c r="W140" s="418" t="n">
        <f aca="false">1/2*Rho*Sref*Cx*vit_xz^2</f>
        <v>6.27125500313485</v>
      </c>
      <c r="X140" s="402"/>
      <c r="Y140" s="423" t="str">
        <f aca="false">IF(AND(pos_z&lt;=0,K139&gt;0),"Impact balistique","") &amp; IF(AND(H141&lt;0,vit_z&gt;=0),"Apogée","") &amp; IF(AND(Poussee=0,Q139&gt;0),"Fin de propulsion","") &amp; IF(AND(L141&gt;L_rampe,pos_xz&lt;=L_rampe),"Sortie de rampe","")</f>
        <v/>
      </c>
      <c r="Z140" s="424" t="str">
        <f aca="false">IF(ABS(t-T_para)&lt;pas/2,"Para","")</f>
        <v/>
      </c>
      <c r="AA140" s="425" t="str">
        <f aca="false">IF(ABS(t-T_satellite)&lt;pas/2,"Satellite","")</f>
        <v/>
      </c>
      <c r="AB140" s="413"/>
      <c r="AC140" s="421" t="e">
        <f aca="false">IF(ABS(t-ROUND(t,0))&lt;0.001,t,NA())</f>
        <v>#N/A</v>
      </c>
      <c r="AD140" s="426" t="e">
        <f aca="false">IF(ABS(t-ROUND(t,0))&lt;0.001,pos_x,NA())</f>
        <v>#N/A</v>
      </c>
      <c r="AE140" s="427" t="n">
        <f aca="false">IF(t&lt;T_para, pos_z, NA())</f>
        <v>78.6006034567801</v>
      </c>
      <c r="AF140" s="413"/>
      <c r="AG140" s="419" t="n">
        <f aca="false">IF(AND(L139&lt;L_rampe,Poussee&lt;Poids*SIN(M139)),0,(-W139+Poussee)/m-Poids*SIN(M139)/m)</f>
        <v>-13.8370086797906</v>
      </c>
      <c r="AH140" s="418" t="n">
        <f aca="false">IF(AND(L139&lt;L_rampe,Poussee&lt;Poids*SIN(M139)), g*SIN(M139), (-W139+Poussee)/m)</f>
        <v>-4.24067276174536</v>
      </c>
    </row>
    <row r="141" customFormat="false" ht="12" hidden="false" customHeight="false" outlineLevel="0" collapsed="false">
      <c r="A141" s="417" t="n">
        <f aca="false">IF(B140+0.01&lt;=T_ini+ROUNDUP(Temps_fin_propu,0), 0.01, IF(K140&gt;0, 0.1, 0.0001))</f>
        <v>0.01</v>
      </c>
      <c r="B141" s="418" t="n">
        <f aca="false">B140+pas</f>
        <v>1.37</v>
      </c>
      <c r="C141" s="402"/>
      <c r="D141" s="419" t="n">
        <f aca="false">IF(AND(L140&lt;L_rampe,Poussee&lt;Poids*SIN(M140)),0,(-W140+Poussee)/m*COS(M140)-U140/m*SIN(M140))</f>
        <v>-0.878103431206974</v>
      </c>
      <c r="E141" s="420" t="n">
        <f aca="false">IF(AND(L140&lt;L_rampe,Poussee&lt;Poids*SIN(M140)),0,(-W140+Poussee)/m*SIN(M140)+U140/m*COS(M140)-Poids/m)</f>
        <v>-13.9428026224169</v>
      </c>
      <c r="F141" s="418" t="n">
        <f aca="false">SQRT(acc_x^2+acc_z^2)</f>
        <v>13.9704262856784</v>
      </c>
      <c r="G141" s="419" t="n">
        <f aca="false">G140+acc_x*pas</f>
        <v>15.8920386773838</v>
      </c>
      <c r="H141" s="420" t="n">
        <f aca="false">H140+acc_z*pas</f>
        <v>74.6979397229814</v>
      </c>
      <c r="I141" s="418" t="n">
        <f aca="false">SQRT(vit_x^2+vit_z^2)</f>
        <v>76.3697524690347</v>
      </c>
      <c r="J141" s="419" t="n">
        <f aca="false">J140+0.5*(vit_x+G140)*pas*(K140&gt;=0)</f>
        <v>15.7433675545594</v>
      </c>
      <c r="K141" s="420" t="n">
        <f aca="false">K140+0.5*(vit_z+H140)*pas</f>
        <v>79.348279994141</v>
      </c>
      <c r="L141" s="418" t="n">
        <f aca="false">SQRT(pos_x^2+pos_z^2)</f>
        <v>80.8950131960342</v>
      </c>
      <c r="M141" s="419" t="n">
        <f aca="false">IF(AND(L140&gt;L_rampe,G141&gt;0),ATAN2(G141,H141),$M$4)</f>
        <v>1.36117108131006</v>
      </c>
      <c r="N141" s="418" t="n">
        <f aca="false">DEGREES(Beta)</f>
        <v>77.9893581543248</v>
      </c>
      <c r="O141" s="402"/>
      <c r="P141" s="421" t="n">
        <f aca="false">MATCH(t-pas/2-T_ini,CdP_t)</f>
        <v>13</v>
      </c>
      <c r="Q141" s="418" t="n">
        <f aca="false">(INDEX(CdP,2,i_P+1)-INDEX(CdP,2,i_P+0))/(INDEX(CdP,1,i_P+1)-INDEX(CdP,1,i_P+0))*(t-pas/2-T_ini-INDEX(CdP,1,i_P+0))+INDEX(CdP,2,i_P+0)</f>
        <v>0</v>
      </c>
      <c r="R141" s="419" t="n">
        <f aca="false">Poussee/(g*ISP)</f>
        <v>0</v>
      </c>
      <c r="S141" s="420" t="n">
        <f aca="false">S140-Débit*pas</f>
        <v>1.4843</v>
      </c>
      <c r="T141" s="418" t="n">
        <f aca="false">m*g</f>
        <v>14.560983</v>
      </c>
      <c r="U141" s="422" t="n">
        <f aca="false">IF(pos_xz&lt;L_rampe,Poids*COS(Beta),0)</f>
        <v>0</v>
      </c>
      <c r="V141" s="419" t="n">
        <f aca="false">Rho_moyen*(20000-Alt_rampe-pos_z)/(20000+Alt_rampe+pos_z)</f>
        <v>1.21531824722223</v>
      </c>
      <c r="W141" s="418" t="n">
        <f aca="false">1/2*Rho*Sref*Cx*vit_xz^2</f>
        <v>6.24815119312612</v>
      </c>
      <c r="X141" s="402"/>
      <c r="Y141" s="423" t="str">
        <f aca="false">IF(AND(pos_z&lt;=0,K140&gt;0),"Impact balistique","") &amp; IF(AND(H142&lt;0,vit_z&gt;=0),"Apogée","") &amp; IF(AND(Poussee=0,Q140&gt;0),"Fin de propulsion","") &amp; IF(AND(L142&gt;L_rampe,pos_xz&lt;=L_rampe),"Sortie de rampe","")</f>
        <v/>
      </c>
      <c r="Z141" s="424" t="str">
        <f aca="false">IF(ABS(t-T_para)&lt;pas/2,"Para","")</f>
        <v/>
      </c>
      <c r="AA141" s="425" t="str">
        <f aca="false">IF(ABS(t-T_satellite)&lt;pas/2,"Satellite","")</f>
        <v/>
      </c>
      <c r="AB141" s="413"/>
      <c r="AC141" s="421" t="e">
        <f aca="false">IF(ABS(t-ROUND(t,0))&lt;0.001,t,NA())</f>
        <v>#N/A</v>
      </c>
      <c r="AD141" s="426" t="e">
        <f aca="false">IF(ABS(t-ROUND(t,0))&lt;0.001,pos_x,NA())</f>
        <v>#N/A</v>
      </c>
      <c r="AE141" s="427" t="n">
        <f aca="false">IF(t&lt;T_para, pos_z, NA())</f>
        <v>79.348279994141</v>
      </c>
      <c r="AF141" s="413"/>
      <c r="AG141" s="419" t="n">
        <f aca="false">IF(AND(L140&lt;L_rampe,Poussee&lt;Poids*SIN(M140)),0,(-W140+Poussee)/m-Poids*SIN(M140)/m)</f>
        <v>-13.8208525690934</v>
      </c>
      <c r="AH141" s="418" t="n">
        <f aca="false">IF(AND(L140&lt;L_rampe,Poussee&lt;Poids*SIN(M140)), g*SIN(M140), (-W140+Poussee)/m)</f>
        <v>-4.22505895245898</v>
      </c>
    </row>
    <row r="142" customFormat="false" ht="12" hidden="false" customHeight="false" outlineLevel="0" collapsed="false">
      <c r="A142" s="417" t="n">
        <f aca="false">IF(B141+0.01&lt;=T_ini+ROUNDUP(Temps_fin_propu,0), 0.01, IF(K141&gt;0, 0.1, 0.0001))</f>
        <v>0.01</v>
      </c>
      <c r="B142" s="418" t="n">
        <f aca="false">B141+pas</f>
        <v>1.38</v>
      </c>
      <c r="C142" s="402"/>
      <c r="D142" s="419" t="n">
        <f aca="false">IF(AND(L141&lt;L_rampe,Poussee&lt;Poids*SIN(M141)),0,(-W141+Poussee)/m*COS(M141)-U141/m*SIN(M141))</f>
        <v>-0.875967660701461</v>
      </c>
      <c r="E142" s="420" t="n">
        <f aca="false">IF(AND(L141&lt;L_rampe,Poussee&lt;Poids*SIN(M141)),0,(-W141+Poussee)/m*SIN(M141)+U141/m*COS(M141)-Poids/m)</f>
        <v>-13.9273433344004</v>
      </c>
      <c r="F142" s="418" t="n">
        <f aca="false">SQRT(acc_x^2+acc_z^2)</f>
        <v>13.9548633707701</v>
      </c>
      <c r="G142" s="419" t="n">
        <f aca="false">G141+acc_x*pas</f>
        <v>15.8832790007768</v>
      </c>
      <c r="H142" s="420" t="n">
        <f aca="false">H141+acc_z*pas</f>
        <v>74.5586662896374</v>
      </c>
      <c r="I142" s="418" t="n">
        <f aca="false">SQRT(vit_x^2+vit_z^2)</f>
        <v>76.2317077777091</v>
      </c>
      <c r="J142" s="419" t="n">
        <f aca="false">J141+0.5*(vit_x+G141)*pas*(K141&gt;=0)</f>
        <v>15.9022441429502</v>
      </c>
      <c r="K142" s="420" t="n">
        <f aca="false">K141+0.5*(vit_z+H141)*pas</f>
        <v>80.0945630242041</v>
      </c>
      <c r="L142" s="418" t="n">
        <f aca="false">SQRT(pos_x^2+pos_z^2)</f>
        <v>81.6579475300488</v>
      </c>
      <c r="M142" s="419" t="n">
        <f aca="false">IF(AND(L141&gt;L_rampe,G142&gt;0),ATAN2(G142,H142),$M$4)</f>
        <v>1.36090329301278</v>
      </c>
      <c r="N142" s="418" t="n">
        <f aca="false">DEGREES(Beta)</f>
        <v>77.9740150150877</v>
      </c>
      <c r="O142" s="402"/>
      <c r="P142" s="421" t="n">
        <f aca="false">MATCH(t-pas/2-T_ini,CdP_t)</f>
        <v>13</v>
      </c>
      <c r="Q142" s="418" t="n">
        <f aca="false">(INDEX(CdP,2,i_P+1)-INDEX(CdP,2,i_P+0))/(INDEX(CdP,1,i_P+1)-INDEX(CdP,1,i_P+0))*(t-pas/2-T_ini-INDEX(CdP,1,i_P+0))+INDEX(CdP,2,i_P+0)</f>
        <v>0</v>
      </c>
      <c r="R142" s="419" t="n">
        <f aca="false">Poussee/(g*ISP)</f>
        <v>0</v>
      </c>
      <c r="S142" s="420" t="n">
        <f aca="false">S141-Débit*pas</f>
        <v>1.4843</v>
      </c>
      <c r="T142" s="418" t="n">
        <f aca="false">m*g</f>
        <v>14.560983</v>
      </c>
      <c r="U142" s="422" t="n">
        <f aca="false">IF(pos_xz&lt;L_rampe,Poids*COS(Beta),0)</f>
        <v>0</v>
      </c>
      <c r="V142" s="419" t="n">
        <f aca="false">Rho_moyen*(20000-Alt_rampe-pos_z)/(20000+Alt_rampe+pos_z)</f>
        <v>1.21522755202704</v>
      </c>
      <c r="W142" s="418" t="n">
        <f aca="false">1/2*Rho*Sref*Cx*vit_xz^2</f>
        <v>6.22511890543725</v>
      </c>
      <c r="X142" s="402"/>
      <c r="Y142" s="423" t="str">
        <f aca="false">IF(AND(pos_z&lt;=0,K141&gt;0),"Impact balistique","") &amp; IF(AND(H143&lt;0,vit_z&gt;=0),"Apogée","") &amp; IF(AND(Poussee=0,Q141&gt;0),"Fin de propulsion","") &amp; IF(AND(L143&gt;L_rampe,pos_xz&lt;=L_rampe),"Sortie de rampe","")</f>
        <v/>
      </c>
      <c r="Z142" s="424" t="str">
        <f aca="false">IF(ABS(t-T_para)&lt;pas/2,"Para","")</f>
        <v/>
      </c>
      <c r="AA142" s="425" t="str">
        <f aca="false">IF(ABS(t-T_satellite)&lt;pas/2,"Satellite","")</f>
        <v/>
      </c>
      <c r="AB142" s="413"/>
      <c r="AC142" s="421" t="e">
        <f aca="false">IF(ABS(t-ROUND(t,0))&lt;0.001,t,NA())</f>
        <v>#N/A</v>
      </c>
      <c r="AD142" s="426" t="e">
        <f aca="false">IF(ABS(t-ROUND(t,0))&lt;0.001,pos_x,NA())</f>
        <v>#N/A</v>
      </c>
      <c r="AE142" s="427" t="n">
        <f aca="false">IF(t&lt;T_para, pos_z, NA())</f>
        <v>80.0945630242041</v>
      </c>
      <c r="AF142" s="413"/>
      <c r="AG142" s="419" t="n">
        <f aca="false">IF(AND(L141&lt;L_rampe,Poussee&lt;Poids*SIN(M141)),0,(-W141+Poussee)/m-Poids*SIN(M141)/m)</f>
        <v>-13.8047424635267</v>
      </c>
      <c r="AH142" s="418" t="n">
        <f aca="false">IF(AND(L141&lt;L_rampe,Poussee&lt;Poids*SIN(M141)), g*SIN(M141), (-W141+Poussee)/m)</f>
        <v>-4.20949349398782</v>
      </c>
    </row>
    <row r="143" customFormat="false" ht="12" hidden="false" customHeight="false" outlineLevel="0" collapsed="false">
      <c r="A143" s="417" t="n">
        <f aca="false">IF(B142+0.01&lt;=T_ini+ROUNDUP(Temps_fin_propu,0), 0.01, IF(K142&gt;0, 0.1, 0.0001))</f>
        <v>0.01</v>
      </c>
      <c r="B143" s="418" t="n">
        <f aca="false">B142+pas</f>
        <v>1.39</v>
      </c>
      <c r="C143" s="402"/>
      <c r="D143" s="419" t="n">
        <f aca="false">IF(AND(L142&lt;L_rampe,Poussee&lt;Poids*SIN(M142)),0,(-W142+Poussee)/m*COS(M142)-U142/m*SIN(M142))</f>
        <v>-0.873837099931009</v>
      </c>
      <c r="E143" s="420" t="n">
        <f aca="false">IF(AND(L142&lt;L_rampe,Poussee&lt;Poids*SIN(M142)),0,(-W142+Poussee)/m*SIN(M142)+U142/m*COS(M142)-Poids/m)</f>
        <v>-13.911931894672</v>
      </c>
      <c r="F143" s="418" t="n">
        <f aca="false">SQRT(acc_x^2+acc_z^2)</f>
        <v>13.9393486332471</v>
      </c>
      <c r="G143" s="419" t="n">
        <f aca="false">G142+acc_x*pas</f>
        <v>15.8745406297775</v>
      </c>
      <c r="H143" s="420" t="n">
        <f aca="false">H142+acc_z*pas</f>
        <v>74.4195469706907</v>
      </c>
      <c r="I143" s="418" t="n">
        <f aca="false">SQRT(vit_x^2+vit_z^2)</f>
        <v>76.0938237410192</v>
      </c>
      <c r="J143" s="419" t="n">
        <f aca="false">J142+0.5*(vit_x+G142)*pas*(K142&gt;=0)</f>
        <v>16.0610332411029</v>
      </c>
      <c r="K143" s="420" t="n">
        <f aca="false">K142+0.5*(vit_z+H142)*pas</f>
        <v>80.8394540905058</v>
      </c>
      <c r="L143" s="418" t="n">
        <f aca="false">SQRT(pos_x^2+pos_z^2)</f>
        <v>82.419500886761</v>
      </c>
      <c r="M143" s="419" t="n">
        <f aca="false">IF(AND(L142&gt;L_rampe,G143&gt;0),ATAN2(G143,H143),$M$4)</f>
        <v>1.36063468181094</v>
      </c>
      <c r="N143" s="418" t="n">
        <f aca="false">DEGREES(Beta)</f>
        <v>77.9586247268923</v>
      </c>
      <c r="O143" s="402"/>
      <c r="P143" s="421" t="n">
        <f aca="false">MATCH(t-pas/2-T_ini,CdP_t)</f>
        <v>13</v>
      </c>
      <c r="Q143" s="418" t="n">
        <f aca="false">(INDEX(CdP,2,i_P+1)-INDEX(CdP,2,i_P+0))/(INDEX(CdP,1,i_P+1)-INDEX(CdP,1,i_P+0))*(t-pas/2-T_ini-INDEX(CdP,1,i_P+0))+INDEX(CdP,2,i_P+0)</f>
        <v>0</v>
      </c>
      <c r="R143" s="419" t="n">
        <f aca="false">Poussee/(g*ISP)</f>
        <v>0</v>
      </c>
      <c r="S143" s="420" t="n">
        <f aca="false">S142-Débit*pas</f>
        <v>1.4843</v>
      </c>
      <c r="T143" s="418" t="n">
        <f aca="false">m*g</f>
        <v>14.560983</v>
      </c>
      <c r="U143" s="422" t="n">
        <f aca="false">IF(pos_xz&lt;L_rampe,Poids*COS(Beta),0)</f>
        <v>0</v>
      </c>
      <c r="V143" s="419" t="n">
        <f aca="false">Rho_moyen*(20000-Alt_rampe-pos_z)/(20000+Alt_rampe+pos_z)</f>
        <v>1.21513703271845</v>
      </c>
      <c r="W143" s="418" t="n">
        <f aca="false">1/2*Rho*Sref*Cx*vit_xz^2</f>
        <v>6.20215789641913</v>
      </c>
      <c r="X143" s="402"/>
      <c r="Y143" s="423" t="str">
        <f aca="false">IF(AND(pos_z&lt;=0,K142&gt;0),"Impact balistique","") &amp; IF(AND(H144&lt;0,vit_z&gt;=0),"Apogée","") &amp; IF(AND(Poussee=0,Q142&gt;0),"Fin de propulsion","") &amp; IF(AND(L144&gt;L_rampe,pos_xz&lt;=L_rampe),"Sortie de rampe","")</f>
        <v/>
      </c>
      <c r="Z143" s="424" t="str">
        <f aca="false">IF(ABS(t-T_para)&lt;pas/2,"Para","")</f>
        <v/>
      </c>
      <c r="AA143" s="425" t="str">
        <f aca="false">IF(ABS(t-T_satellite)&lt;pas/2,"Satellite","")</f>
        <v/>
      </c>
      <c r="AB143" s="413"/>
      <c r="AC143" s="421" t="e">
        <f aca="false">IF(ABS(t-ROUND(t,0))&lt;0.001,t,NA())</f>
        <v>#N/A</v>
      </c>
      <c r="AD143" s="426" t="e">
        <f aca="false">IF(ABS(t-ROUND(t,0))&lt;0.001,pos_x,NA())</f>
        <v>#N/A</v>
      </c>
      <c r="AE143" s="427" t="n">
        <f aca="false">IF(t&lt;T_para, pos_z, NA())</f>
        <v>80.8394540905058</v>
      </c>
      <c r="AF143" s="413"/>
      <c r="AG143" s="419" t="n">
        <f aca="false">IF(AND(L142&lt;L_rampe,Poussee&lt;Poids*SIN(M142)),0,(-W142+Poussee)/m-Poids*SIN(M142)/m)</f>
        <v>-13.7886781849824</v>
      </c>
      <c r="AH143" s="418" t="n">
        <f aca="false">IF(AND(L142&lt;L_rampe,Poussee&lt;Poids*SIN(M142)), g*SIN(M142), (-W142+Poussee)/m)</f>
        <v>-4.19397622140892</v>
      </c>
    </row>
    <row r="144" customFormat="false" ht="12" hidden="false" customHeight="false" outlineLevel="0" collapsed="false">
      <c r="A144" s="417" t="n">
        <f aca="false">IF(B143+0.01&lt;=T_ini+ROUNDUP(Temps_fin_propu,0), 0.01, IF(K143&gt;0, 0.1, 0.0001))</f>
        <v>0.01</v>
      </c>
      <c r="B144" s="418" t="n">
        <f aca="false">B143+pas</f>
        <v>1.4</v>
      </c>
      <c r="C144" s="402"/>
      <c r="D144" s="419" t="n">
        <f aca="false">IF(AND(L143&lt;L_rampe,Poussee&lt;Poids*SIN(M143)),0,(-W143+Poussee)/m*COS(M143)-U143/m*SIN(M143))</f>
        <v>-0.871711729218665</v>
      </c>
      <c r="E144" s="420" t="n">
        <f aca="false">IF(AND(L143&lt;L_rampe,Poussee&lt;Poids*SIN(M143)),0,(-W143+Poussee)/m*SIN(M143)+U143/m*COS(M143)-Poids/m)</f>
        <v>-13.8965681401705</v>
      </c>
      <c r="F144" s="418" t="n">
        <f aca="false">SQRT(acc_x^2+acc_z^2)</f>
        <v>13.9238819089095</v>
      </c>
      <c r="G144" s="419" t="n">
        <f aca="false">G143+acc_x*pas</f>
        <v>15.8658235124853</v>
      </c>
      <c r="H144" s="420" t="n">
        <f aca="false">H143+acc_z*pas</f>
        <v>74.280581289289</v>
      </c>
      <c r="I144" s="418" t="n">
        <f aca="false">SQRT(vit_x^2+vit_z^2)</f>
        <v>75.9560999025358</v>
      </c>
      <c r="J144" s="419" t="n">
        <f aca="false">J143+0.5*(vit_x+G143)*pas*(K143&gt;=0)</f>
        <v>16.2197350618142</v>
      </c>
      <c r="K144" s="420" t="n">
        <f aca="false">K143+0.5*(vit_z+H143)*pas</f>
        <v>81.5829547318057</v>
      </c>
      <c r="L144" s="418" t="n">
        <f aca="false">SQRT(pos_x^2+pos_z^2)</f>
        <v>83.1796748505745</v>
      </c>
      <c r="M144" s="419" t="n">
        <f aca="false">IF(AND(L143&gt;L_rampe,G144&gt;0),ATAN2(G144,H144),$M$4)</f>
        <v>1.360365244265</v>
      </c>
      <c r="N144" s="418" t="n">
        <f aca="false">DEGREES(Beta)</f>
        <v>77.943187092668</v>
      </c>
      <c r="O144" s="402"/>
      <c r="P144" s="421" t="n">
        <f aca="false">MATCH(t-pas/2-T_ini,CdP_t)</f>
        <v>13</v>
      </c>
      <c r="Q144" s="418" t="n">
        <f aca="false">(INDEX(CdP,2,i_P+1)-INDEX(CdP,2,i_P+0))/(INDEX(CdP,1,i_P+1)-INDEX(CdP,1,i_P+0))*(t-pas/2-T_ini-INDEX(CdP,1,i_P+0))+INDEX(CdP,2,i_P+0)</f>
        <v>0</v>
      </c>
      <c r="R144" s="419" t="n">
        <f aca="false">Poussee/(g*ISP)</f>
        <v>0</v>
      </c>
      <c r="S144" s="420" t="n">
        <f aca="false">S143-Débit*pas</f>
        <v>1.4843</v>
      </c>
      <c r="T144" s="418" t="n">
        <f aca="false">m*g</f>
        <v>14.560983</v>
      </c>
      <c r="U144" s="422" t="n">
        <f aca="false">IF(pos_xz&lt;L_rampe,Poids*COS(Beta),0)</f>
        <v>0</v>
      </c>
      <c r="V144" s="419" t="n">
        <f aca="false">Rho_moyen*(20000-Alt_rampe-pos_z)/(20000+Alt_rampe+pos_z)</f>
        <v>1.2150466890711</v>
      </c>
      <c r="W144" s="418" t="n">
        <f aca="false">1/2*Rho*Sref*Cx*vit_xz^2</f>
        <v>6.17926792356239</v>
      </c>
      <c r="X144" s="402"/>
      <c r="Y144" s="423" t="str">
        <f aca="false">IF(AND(pos_z&lt;=0,K143&gt;0),"Impact balistique","") &amp; IF(AND(H145&lt;0,vit_z&gt;=0),"Apogée","") &amp; IF(AND(Poussee=0,Q143&gt;0),"Fin de propulsion","") &amp; IF(AND(L145&gt;L_rampe,pos_xz&lt;=L_rampe),"Sortie de rampe","")</f>
        <v/>
      </c>
      <c r="Z144" s="424" t="str">
        <f aca="false">IF(ABS(t-T_para)&lt;pas/2,"Para","")</f>
        <v/>
      </c>
      <c r="AA144" s="425" t="str">
        <f aca="false">IF(ABS(t-T_satellite)&lt;pas/2,"Satellite","")</f>
        <v/>
      </c>
      <c r="AB144" s="413"/>
      <c r="AC144" s="421" t="e">
        <f aca="false">IF(ABS(t-ROUND(t,0))&lt;0.001,t,NA())</f>
        <v>#N/A</v>
      </c>
      <c r="AD144" s="426" t="e">
        <f aca="false">IF(ABS(t-ROUND(t,0))&lt;0.001,pos_x,NA())</f>
        <v>#N/A</v>
      </c>
      <c r="AE144" s="427" t="n">
        <f aca="false">IF(t&lt;T_para, pos_z, NA())</f>
        <v>81.5829547318057</v>
      </c>
      <c r="AF144" s="413"/>
      <c r="AG144" s="419" t="n">
        <f aca="false">IF(AND(L143&lt;L_rampe,Poussee&lt;Poids*SIN(M143)),0,(-W143+Poussee)/m-Poids*SIN(M143)/m)</f>
        <v>-13.7726595560319</v>
      </c>
      <c r="AH144" s="418" t="n">
        <f aca="false">IF(AND(L143&lt;L_rampe,Poussee&lt;Poids*SIN(M143)), g*SIN(M143), (-W143+Poussee)/m)</f>
        <v>-4.1785069705714</v>
      </c>
    </row>
    <row r="145" customFormat="false" ht="12" hidden="false" customHeight="false" outlineLevel="0" collapsed="false">
      <c r="A145" s="417" t="n">
        <f aca="false">IF(B144+0.01&lt;=T_ini+ROUNDUP(Temps_fin_propu,0), 0.01, IF(K144&gt;0, 0.1, 0.0001))</f>
        <v>0.01</v>
      </c>
      <c r="B145" s="418" t="n">
        <f aca="false">B144+pas</f>
        <v>1.41</v>
      </c>
      <c r="C145" s="402"/>
      <c r="D145" s="419" t="n">
        <f aca="false">IF(AND(L144&lt;L_rampe,Poussee&lt;Poids*SIN(M144)),0,(-W144+Poussee)/m*COS(M144)-U144/m*SIN(M144))</f>
        <v>-0.869591528977122</v>
      </c>
      <c r="E145" s="420" t="n">
        <f aca="false">IF(AND(L144&lt;L_rampe,Poussee&lt;Poids*SIN(M144)),0,(-W144+Poussee)/m*SIN(M144)+U144/m*COS(M144)-Poids/m)</f>
        <v>-13.8812519085966</v>
      </c>
      <c r="F145" s="418" t="n">
        <f aca="false">SQRT(acc_x^2+acc_z^2)</f>
        <v>13.908463034325</v>
      </c>
      <c r="G145" s="419" t="n">
        <f aca="false">G144+acc_x*pas</f>
        <v>15.8571275971955</v>
      </c>
      <c r="H145" s="420" t="n">
        <f aca="false">H144+acc_z*pas</f>
        <v>74.141768770203</v>
      </c>
      <c r="I145" s="418" t="n">
        <f aca="false">SQRT(vit_x^2+vit_z^2)</f>
        <v>75.8185358075978</v>
      </c>
      <c r="J145" s="419" t="n">
        <f aca="false">J144+0.5*(vit_x+G144)*pas*(K144&gt;=0)</f>
        <v>16.3783498173626</v>
      </c>
      <c r="K145" s="420" t="n">
        <f aca="false">K144+0.5*(vit_z+H144)*pas</f>
        <v>82.3250664821031</v>
      </c>
      <c r="L145" s="418" t="n">
        <f aca="false">SQRT(pos_x^2+pos_z^2)</f>
        <v>83.9384710012197</v>
      </c>
      <c r="M145" s="419" t="n">
        <f aca="false">IF(AND(L144&gt;L_rampe,G145&gt;0),ATAN2(G145,H145),$M$4)</f>
        <v>1.36009497691618</v>
      </c>
      <c r="N145" s="418" t="n">
        <f aca="false">DEGREES(Beta)</f>
        <v>77.9277019142404</v>
      </c>
      <c r="O145" s="402"/>
      <c r="P145" s="421" t="n">
        <f aca="false">MATCH(t-pas/2-T_ini,CdP_t)</f>
        <v>13</v>
      </c>
      <c r="Q145" s="418" t="n">
        <f aca="false">(INDEX(CdP,2,i_P+1)-INDEX(CdP,2,i_P+0))/(INDEX(CdP,1,i_P+1)-INDEX(CdP,1,i_P+0))*(t-pas/2-T_ini-INDEX(CdP,1,i_P+0))+INDEX(CdP,2,i_P+0)</f>
        <v>0</v>
      </c>
      <c r="R145" s="419" t="n">
        <f aca="false">Poussee/(g*ISP)</f>
        <v>0</v>
      </c>
      <c r="S145" s="420" t="n">
        <f aca="false">S144-Débit*pas</f>
        <v>1.4843</v>
      </c>
      <c r="T145" s="418" t="n">
        <f aca="false">m*g</f>
        <v>14.560983</v>
      </c>
      <c r="U145" s="422" t="n">
        <f aca="false">IF(pos_xz&lt;L_rampe,Poids*COS(Beta),0)</f>
        <v>0</v>
      </c>
      <c r="V145" s="419" t="n">
        <f aca="false">Rho_moyen*(20000-Alt_rampe-pos_z)/(20000+Alt_rampe+pos_z)</f>
        <v>1.21495652086034</v>
      </c>
      <c r="W145" s="418" t="n">
        <f aca="false">1/2*Rho*Sref*Cx*vit_xz^2</f>
        <v>6.15644874549133</v>
      </c>
      <c r="X145" s="402"/>
      <c r="Y145" s="423" t="str">
        <f aca="false">IF(AND(pos_z&lt;=0,K144&gt;0),"Impact balistique","") &amp; IF(AND(H146&lt;0,vit_z&gt;=0),"Apogée","") &amp; IF(AND(Poussee=0,Q144&gt;0),"Fin de propulsion","") &amp; IF(AND(L146&gt;L_rampe,pos_xz&lt;=L_rampe),"Sortie de rampe","")</f>
        <v/>
      </c>
      <c r="Z145" s="424" t="str">
        <f aca="false">IF(ABS(t-T_para)&lt;pas/2,"Para","")</f>
        <v/>
      </c>
      <c r="AA145" s="425" t="str">
        <f aca="false">IF(ABS(t-T_satellite)&lt;pas/2,"Satellite","")</f>
        <v/>
      </c>
      <c r="AB145" s="413"/>
      <c r="AC145" s="421" t="e">
        <f aca="false">IF(ABS(t-ROUND(t,0))&lt;0.001,t,NA())</f>
        <v>#N/A</v>
      </c>
      <c r="AD145" s="426" t="e">
        <f aca="false">IF(ABS(t-ROUND(t,0))&lt;0.001,pos_x,NA())</f>
        <v>#N/A</v>
      </c>
      <c r="AE145" s="427" t="n">
        <f aca="false">IF(t&lt;T_para, pos_z, NA())</f>
        <v>82.3250664821031</v>
      </c>
      <c r="AF145" s="413"/>
      <c r="AG145" s="419" t="n">
        <f aca="false">IF(AND(L144&lt;L_rampe,Poussee&lt;Poids*SIN(M144)),0,(-W144+Poussee)/m-Poids*SIN(M144)/m)</f>
        <v>-13.7566863999217</v>
      </c>
      <c r="AH145" s="418" t="n">
        <f aca="false">IF(AND(L144&lt;L_rampe,Poussee&lt;Poids*SIN(M144)), g*SIN(M144), (-W144+Poussee)/m)</f>
        <v>-4.1630855780923</v>
      </c>
    </row>
    <row r="146" customFormat="false" ht="12" hidden="false" customHeight="false" outlineLevel="0" collapsed="false">
      <c r="A146" s="417" t="n">
        <f aca="false">IF(B145+0.01&lt;=T_ini+ROUNDUP(Temps_fin_propu,0), 0.01, IF(K145&gt;0, 0.1, 0.0001))</f>
        <v>0.01</v>
      </c>
      <c r="B146" s="418" t="n">
        <f aca="false">B145+pas</f>
        <v>1.42</v>
      </c>
      <c r="C146" s="402"/>
      <c r="D146" s="419" t="n">
        <f aca="false">IF(AND(L145&lt;L_rampe,Poussee&lt;Poids*SIN(M145)),0,(-W145+Poussee)/m*COS(M145)-U145/m*SIN(M145))</f>
        <v>-0.867476479708245</v>
      </c>
      <c r="E146" s="420" t="n">
        <f aca="false">IF(AND(L145&lt;L_rampe,Poussee&lt;Poids*SIN(M145)),0,(-W145+Poussee)/m*SIN(M145)+U145/m*COS(M145)-Poids/m)</f>
        <v>-13.8659830384094</v>
      </c>
      <c r="F146" s="418" t="n">
        <f aca="false">SQRT(acc_x^2+acc_z^2)</f>
        <v>13.8930918468246</v>
      </c>
      <c r="G146" s="419" t="n">
        <f aca="false">G145+acc_x*pas</f>
        <v>15.8484528323984</v>
      </c>
      <c r="H146" s="420" t="n">
        <f aca="false">H145+acc_z*pas</f>
        <v>74.0031089398189</v>
      </c>
      <c r="I146" s="418" t="n">
        <f aca="false">SQRT(vit_x^2+vit_z^2)</f>
        <v>75.6811310033054</v>
      </c>
      <c r="J146" s="419" t="n">
        <f aca="false">J145+0.5*(vit_x+G145)*pas*(K145&gt;=0)</f>
        <v>16.5368777195106</v>
      </c>
      <c r="K146" s="420" t="n">
        <f aca="false">K145+0.5*(vit_z+H145)*pas</f>
        <v>83.0657908706532</v>
      </c>
      <c r="L146" s="418" t="n">
        <f aca="false">SQRT(pos_x^2+pos_z^2)</f>
        <v>84.6958909137695</v>
      </c>
      <c r="M146" s="419" t="n">
        <f aca="false">IF(AND(L145&gt;L_rampe,G146&gt;0),ATAN2(G146,H146),$M$4)</f>
        <v>1.35982387628626</v>
      </c>
      <c r="N146" s="418" t="n">
        <f aca="false">DEGREES(Beta)</f>
        <v>77.9121689923228</v>
      </c>
      <c r="O146" s="402"/>
      <c r="P146" s="421" t="n">
        <f aca="false">MATCH(t-pas/2-T_ini,CdP_t)</f>
        <v>13</v>
      </c>
      <c r="Q146" s="418" t="n">
        <f aca="false">(INDEX(CdP,2,i_P+1)-INDEX(CdP,2,i_P+0))/(INDEX(CdP,1,i_P+1)-INDEX(CdP,1,i_P+0))*(t-pas/2-T_ini-INDEX(CdP,1,i_P+0))+INDEX(CdP,2,i_P+0)</f>
        <v>0</v>
      </c>
      <c r="R146" s="419" t="n">
        <f aca="false">Poussee/(g*ISP)</f>
        <v>0</v>
      </c>
      <c r="S146" s="420" t="n">
        <f aca="false">S145-Débit*pas</f>
        <v>1.4843</v>
      </c>
      <c r="T146" s="418" t="n">
        <f aca="false">m*g</f>
        <v>14.560983</v>
      </c>
      <c r="U146" s="422" t="n">
        <f aca="false">IF(pos_xz&lt;L_rampe,Poids*COS(Beta),0)</f>
        <v>0</v>
      </c>
      <c r="V146" s="419" t="n">
        <f aca="false">Rho_moyen*(20000-Alt_rampe-pos_z)/(20000+Alt_rampe+pos_z)</f>
        <v>1.21486652786221</v>
      </c>
      <c r="W146" s="418" t="n">
        <f aca="false">1/2*Rho*Sref*Cx*vit_xz^2</f>
        <v>6.13370012195773</v>
      </c>
      <c r="X146" s="402"/>
      <c r="Y146" s="423" t="str">
        <f aca="false">IF(AND(pos_z&lt;=0,K145&gt;0),"Impact balistique","") &amp; IF(AND(H147&lt;0,vit_z&gt;=0),"Apogée","") &amp; IF(AND(Poussee=0,Q145&gt;0),"Fin de propulsion","") &amp; IF(AND(L147&gt;L_rampe,pos_xz&lt;=L_rampe),"Sortie de rampe","")</f>
        <v/>
      </c>
      <c r="Z146" s="424" t="str">
        <f aca="false">IF(ABS(t-T_para)&lt;pas/2,"Para","")</f>
        <v/>
      </c>
      <c r="AA146" s="425" t="str">
        <f aca="false">IF(ABS(t-T_satellite)&lt;pas/2,"Satellite","")</f>
        <v/>
      </c>
      <c r="AB146" s="413"/>
      <c r="AC146" s="421" t="e">
        <f aca="false">IF(ABS(t-ROUND(t,0))&lt;0.001,t,NA())</f>
        <v>#N/A</v>
      </c>
      <c r="AD146" s="426" t="e">
        <f aca="false">IF(ABS(t-ROUND(t,0))&lt;0.001,pos_x,NA())</f>
        <v>#N/A</v>
      </c>
      <c r="AE146" s="427" t="n">
        <f aca="false">IF(t&lt;T_para, pos_z, NA())</f>
        <v>83.0657908706532</v>
      </c>
      <c r="AF146" s="413"/>
      <c r="AG146" s="419" t="n">
        <f aca="false">IF(AND(L145&lt;L_rampe,Poussee&lt;Poids*SIN(M145)),0,(-W145+Poussee)/m-Poids*SIN(M145)/m)</f>
        <v>-13.7407585405679</v>
      </c>
      <c r="AH146" s="418" t="n">
        <f aca="false">IF(AND(L145&lt;L_rampe,Poussee&lt;Poids*SIN(M145)), g*SIN(M145), (-W145+Poussee)/m)</f>
        <v>-4.14771188135238</v>
      </c>
    </row>
    <row r="147" customFormat="false" ht="12" hidden="false" customHeight="false" outlineLevel="0" collapsed="false">
      <c r="A147" s="417" t="n">
        <f aca="false">IF(B146+0.01&lt;=T_ini+ROUNDUP(Temps_fin_propu,0), 0.01, IF(K146&gt;0, 0.1, 0.0001))</f>
        <v>0.01</v>
      </c>
      <c r="B147" s="418" t="n">
        <f aca="false">B146+pas</f>
        <v>1.43</v>
      </c>
      <c r="C147" s="402"/>
      <c r="D147" s="419" t="n">
        <f aca="false">IF(AND(L146&lt;L_rampe,Poussee&lt;Poids*SIN(M146)),0,(-W146+Poussee)/m*COS(M146)-U146/m*SIN(M146))</f>
        <v>-0.86536656200259</v>
      </c>
      <c r="E147" s="420" t="n">
        <f aca="false">IF(AND(L146&lt;L_rampe,Poussee&lt;Poids*SIN(M146)),0,(-W146+Poussee)/m*SIN(M146)+U146/m*COS(M146)-Poids/m)</f>
        <v>-13.8507613688221</v>
      </c>
      <c r="F147" s="418" t="n">
        <f aca="false">SQRT(acc_x^2+acc_z^2)</f>
        <v>13.8777681844988</v>
      </c>
      <c r="G147" s="419" t="n">
        <f aca="false">G146+acc_x*pas</f>
        <v>15.8397991667784</v>
      </c>
      <c r="H147" s="420" t="n">
        <f aca="false">H146+acc_z*pas</f>
        <v>73.8646013261307</v>
      </c>
      <c r="I147" s="418" t="n">
        <f aca="false">SQRT(vit_x^2+vit_z^2)</f>
        <v>75.5438850385133</v>
      </c>
      <c r="J147" s="419" t="n">
        <f aca="false">J146+0.5*(vit_x+G146)*pas*(K146&gt;=0)</f>
        <v>16.6953189795065</v>
      </c>
      <c r="K147" s="420" t="n">
        <f aca="false">K146+0.5*(vit_z+H146)*pas</f>
        <v>83.805129421983</v>
      </c>
      <c r="L147" s="418" t="n">
        <f aca="false">SQRT(pos_x^2+pos_z^2)</f>
        <v>85.4519361586546</v>
      </c>
      <c r="M147" s="419" t="n">
        <f aca="false">IF(AND(L146&gt;L_rampe,G147&gt;0),ATAN2(G147,H147),$M$4)</f>
        <v>1.3595519388775</v>
      </c>
      <c r="N147" s="418" t="n">
        <f aca="false">DEGREES(Beta)</f>
        <v>77.8965881265088</v>
      </c>
      <c r="O147" s="402"/>
      <c r="P147" s="421" t="n">
        <f aca="false">MATCH(t-pas/2-T_ini,CdP_t)</f>
        <v>13</v>
      </c>
      <c r="Q147" s="418" t="n">
        <f aca="false">(INDEX(CdP,2,i_P+1)-INDEX(CdP,2,i_P+0))/(INDEX(CdP,1,i_P+1)-INDEX(CdP,1,i_P+0))*(t-pas/2-T_ini-INDEX(CdP,1,i_P+0))+INDEX(CdP,2,i_P+0)</f>
        <v>0</v>
      </c>
      <c r="R147" s="419" t="n">
        <f aca="false">Poussee/(g*ISP)</f>
        <v>0</v>
      </c>
      <c r="S147" s="420" t="n">
        <f aca="false">S146-Débit*pas</f>
        <v>1.4843</v>
      </c>
      <c r="T147" s="418" t="n">
        <f aca="false">m*g</f>
        <v>14.560983</v>
      </c>
      <c r="U147" s="422" t="n">
        <f aca="false">IF(pos_xz&lt;L_rampe,Poids*COS(Beta),0)</f>
        <v>0</v>
      </c>
      <c r="V147" s="419" t="n">
        <f aca="false">Rho_moyen*(20000-Alt_rampe-pos_z)/(20000+Alt_rampe+pos_z)</f>
        <v>1.2147767098535</v>
      </c>
      <c r="W147" s="418" t="n">
        <f aca="false">1/2*Rho*Sref*Cx*vit_xz^2</f>
        <v>6.11102181383477</v>
      </c>
      <c r="X147" s="402"/>
      <c r="Y147" s="423" t="str">
        <f aca="false">IF(AND(pos_z&lt;=0,K146&gt;0),"Impact balistique","") &amp; IF(AND(H148&lt;0,vit_z&gt;=0),"Apogée","") &amp; IF(AND(Poussee=0,Q146&gt;0),"Fin de propulsion","") &amp; IF(AND(L148&gt;L_rampe,pos_xz&lt;=L_rampe),"Sortie de rampe","")</f>
        <v/>
      </c>
      <c r="Z147" s="424" t="str">
        <f aca="false">IF(ABS(t-T_para)&lt;pas/2,"Para","")</f>
        <v/>
      </c>
      <c r="AA147" s="425" t="str">
        <f aca="false">IF(ABS(t-T_satellite)&lt;pas/2,"Satellite","")</f>
        <v/>
      </c>
      <c r="AB147" s="413"/>
      <c r="AC147" s="421" t="e">
        <f aca="false">IF(ABS(t-ROUND(t,0))&lt;0.001,t,NA())</f>
        <v>#N/A</v>
      </c>
      <c r="AD147" s="426" t="e">
        <f aca="false">IF(ABS(t-ROUND(t,0))&lt;0.001,pos_x,NA())</f>
        <v>#N/A</v>
      </c>
      <c r="AE147" s="427" t="n">
        <f aca="false">IF(t&lt;T_para, pos_z, NA())</f>
        <v>83.805129421983</v>
      </c>
      <c r="AF147" s="413"/>
      <c r="AG147" s="419" t="n">
        <f aca="false">IF(AND(L146&lt;L_rampe,Poussee&lt;Poids*SIN(M146)),0,(-W146+Poussee)/m-Poids*SIN(M146)/m)</f>
        <v>-13.7248758025517</v>
      </c>
      <c r="AH147" s="418" t="n">
        <f aca="false">IF(AND(L146&lt;L_rampe,Poussee&lt;Poids*SIN(M146)), g*SIN(M146), (-W146+Poussee)/m)</f>
        <v>-4.13238571849204</v>
      </c>
    </row>
    <row r="148" customFormat="false" ht="12" hidden="false" customHeight="false" outlineLevel="0" collapsed="false">
      <c r="A148" s="417" t="n">
        <f aca="false">IF(B147+0.01&lt;=T_ini+ROUNDUP(Temps_fin_propu,0), 0.01, IF(K147&gt;0, 0.1, 0.0001))</f>
        <v>0.01</v>
      </c>
      <c r="B148" s="418" t="n">
        <f aca="false">B147+pas</f>
        <v>1.44</v>
      </c>
      <c r="C148" s="402"/>
      <c r="D148" s="419" t="n">
        <f aca="false">IF(AND(L147&lt;L_rampe,Poussee&lt;Poids*SIN(M147)),0,(-W147+Poussee)/m*COS(M147)-U147/m*SIN(M147))</f>
        <v>-0.863261756538926</v>
      </c>
      <c r="E148" s="420" t="n">
        <f aca="false">IF(AND(L147&lt;L_rampe,Poussee&lt;Poids*SIN(M147)),0,(-W147+Poussee)/m*SIN(M147)+U147/m*COS(M147)-Poids/m)</f>
        <v>-13.8355867397978</v>
      </c>
      <c r="F148" s="418" t="n">
        <f aca="false">SQRT(acc_x^2+acc_z^2)</f>
        <v>13.8624918861932</v>
      </c>
      <c r="G148" s="419" t="n">
        <f aca="false">G147+acc_x*pas</f>
        <v>15.831166549213</v>
      </c>
      <c r="H148" s="420" t="n">
        <f aca="false">H147+acc_z*pas</f>
        <v>73.7262454587328</v>
      </c>
      <c r="I148" s="418" t="n">
        <f aca="false">SQRT(vit_x^2+vit_z^2)</f>
        <v>75.4067974638244</v>
      </c>
      <c r="J148" s="419" t="n">
        <f aca="false">J147+0.5*(vit_x+G147)*pas*(K147&gt;=0)</f>
        <v>16.8536738080865</v>
      </c>
      <c r="K148" s="420" t="n">
        <f aca="false">K147+0.5*(vit_z+H147)*pas</f>
        <v>84.5430836559073</v>
      </c>
      <c r="L148" s="418" t="n">
        <f aca="false">SQRT(pos_x^2+pos_z^2)</f>
        <v>86.2066083016791</v>
      </c>
      <c r="M148" s="419" t="n">
        <f aca="false">IF(AND(L147&gt;L_rampe,G148&gt;0),ATAN2(G148,H148),$M$4)</f>
        <v>1.35927916117246</v>
      </c>
      <c r="N148" s="418" t="n">
        <f aca="false">DEGREES(Beta)</f>
        <v>77.8809591152649</v>
      </c>
      <c r="O148" s="402"/>
      <c r="P148" s="421" t="n">
        <f aca="false">MATCH(t-pas/2-T_ini,CdP_t)</f>
        <v>13</v>
      </c>
      <c r="Q148" s="418" t="n">
        <f aca="false">(INDEX(CdP,2,i_P+1)-INDEX(CdP,2,i_P+0))/(INDEX(CdP,1,i_P+1)-INDEX(CdP,1,i_P+0))*(t-pas/2-T_ini-INDEX(CdP,1,i_P+0))+INDEX(CdP,2,i_P+0)</f>
        <v>0</v>
      </c>
      <c r="R148" s="419" t="n">
        <f aca="false">Poussee/(g*ISP)</f>
        <v>0</v>
      </c>
      <c r="S148" s="420" t="n">
        <f aca="false">S147-Débit*pas</f>
        <v>1.4843</v>
      </c>
      <c r="T148" s="418" t="n">
        <f aca="false">m*g</f>
        <v>14.560983</v>
      </c>
      <c r="U148" s="422" t="n">
        <f aca="false">IF(pos_xz&lt;L_rampe,Poids*COS(Beta),0)</f>
        <v>0</v>
      </c>
      <c r="V148" s="419" t="n">
        <f aca="false">Rho_moyen*(20000-Alt_rampe-pos_z)/(20000+Alt_rampe+pos_z)</f>
        <v>1.21468706661166</v>
      </c>
      <c r="W148" s="418" t="n">
        <f aca="false">1/2*Rho*Sref*Cx*vit_xz^2</f>
        <v>6.088413583111</v>
      </c>
      <c r="X148" s="402"/>
      <c r="Y148" s="423" t="str">
        <f aca="false">IF(AND(pos_z&lt;=0,K147&gt;0),"Impact balistique","") &amp; IF(AND(H149&lt;0,vit_z&gt;=0),"Apogée","") &amp; IF(AND(Poussee=0,Q147&gt;0),"Fin de propulsion","") &amp; IF(AND(L149&gt;L_rampe,pos_xz&lt;=L_rampe),"Sortie de rampe","")</f>
        <v/>
      </c>
      <c r="Z148" s="424" t="str">
        <f aca="false">IF(ABS(t-T_para)&lt;pas/2,"Para","")</f>
        <v/>
      </c>
      <c r="AA148" s="425" t="str">
        <f aca="false">IF(ABS(t-T_satellite)&lt;pas/2,"Satellite","")</f>
        <v/>
      </c>
      <c r="AB148" s="413"/>
      <c r="AC148" s="421" t="e">
        <f aca="false">IF(ABS(t-ROUND(t,0))&lt;0.001,t,NA())</f>
        <v>#N/A</v>
      </c>
      <c r="AD148" s="426" t="e">
        <f aca="false">IF(ABS(t-ROUND(t,0))&lt;0.001,pos_x,NA())</f>
        <v>#N/A</v>
      </c>
      <c r="AE148" s="427" t="n">
        <f aca="false">IF(t&lt;T_para, pos_z, NA())</f>
        <v>84.5430836559073</v>
      </c>
      <c r="AF148" s="413"/>
      <c r="AG148" s="419" t="n">
        <f aca="false">IF(AND(L147&lt;L_rampe,Poussee&lt;Poids*SIN(M147)),0,(-W147+Poussee)/m-Poids*SIN(M147)/m)</f>
        <v>-13.709038011114</v>
      </c>
      <c r="AH148" s="418" t="n">
        <f aca="false">IF(AND(L147&lt;L_rampe,Poussee&lt;Poids*SIN(M147)), g*SIN(M147), (-W147+Poussee)/m)</f>
        <v>-4.11710692840718</v>
      </c>
    </row>
    <row r="149" customFormat="false" ht="12" hidden="false" customHeight="false" outlineLevel="0" collapsed="false">
      <c r="A149" s="417" t="n">
        <f aca="false">IF(B148+0.01&lt;=T_ini+ROUNDUP(Temps_fin_propu,0), 0.01, IF(K148&gt;0, 0.1, 0.0001))</f>
        <v>0.01</v>
      </c>
      <c r="B149" s="418" t="n">
        <f aca="false">B148+pas</f>
        <v>1.45</v>
      </c>
      <c r="C149" s="402"/>
      <c r="D149" s="419" t="n">
        <f aca="false">IF(AND(L148&lt;L_rampe,Poussee&lt;Poids*SIN(M148)),0,(-W148+Poussee)/m*COS(M148)-U148/m*SIN(M148))</f>
        <v>-0.861162044083769</v>
      </c>
      <c r="E149" s="420" t="n">
        <f aca="false">IF(AND(L148&lt;L_rampe,Poussee&lt;Poids*SIN(M148)),0,(-W148+Poussee)/m*SIN(M148)+U148/m*COS(M148)-Poids/m)</f>
        <v>-13.8204589920457</v>
      </c>
      <c r="F149" s="418" t="n">
        <f aca="false">SQRT(acc_x^2+acc_z^2)</f>
        <v>13.8472627915046</v>
      </c>
      <c r="G149" s="419" t="n">
        <f aca="false">G148+acc_x*pas</f>
        <v>15.8225549287722</v>
      </c>
      <c r="H149" s="420" t="n">
        <f aca="false">H148+acc_z*pas</f>
        <v>73.5880408688123</v>
      </c>
      <c r="I149" s="418" t="n">
        <f aca="false">SQRT(vit_x^2+vit_z^2)</f>
        <v>75.2698678315832</v>
      </c>
      <c r="J149" s="419" t="n">
        <f aca="false">J148+0.5*(vit_x+G148)*pas*(K148&gt;=0)</f>
        <v>17.0119424154764</v>
      </c>
      <c r="K149" s="420" t="n">
        <f aca="false">K148+0.5*(vit_z+H148)*pas</f>
        <v>85.279655087545</v>
      </c>
      <c r="L149" s="418" t="n">
        <f aca="false">SQRT(pos_x^2+pos_z^2)</f>
        <v>86.9599089040354</v>
      </c>
      <c r="M149" s="419" t="n">
        <f aca="false">IF(AND(L148&gt;L_rampe,G149&gt;0),ATAN2(G149,H149),$M$4)</f>
        <v>1.35900553963392</v>
      </c>
      <c r="N149" s="418" t="n">
        <f aca="false">DEGREES(Beta)</f>
        <v>77.8652817559223</v>
      </c>
      <c r="O149" s="402"/>
      <c r="P149" s="421" t="n">
        <f aca="false">MATCH(t-pas/2-T_ini,CdP_t)</f>
        <v>13</v>
      </c>
      <c r="Q149" s="418" t="n">
        <f aca="false">(INDEX(CdP,2,i_P+1)-INDEX(CdP,2,i_P+0))/(INDEX(CdP,1,i_P+1)-INDEX(CdP,1,i_P+0))*(t-pas/2-T_ini-INDEX(CdP,1,i_P+0))+INDEX(CdP,2,i_P+0)</f>
        <v>0</v>
      </c>
      <c r="R149" s="419" t="n">
        <f aca="false">Poussee/(g*ISP)</f>
        <v>0</v>
      </c>
      <c r="S149" s="420" t="n">
        <f aca="false">S148-Débit*pas</f>
        <v>1.4843</v>
      </c>
      <c r="T149" s="418" t="n">
        <f aca="false">m*g</f>
        <v>14.560983</v>
      </c>
      <c r="U149" s="422" t="n">
        <f aca="false">IF(pos_xz&lt;L_rampe,Poids*COS(Beta),0)</f>
        <v>0</v>
      </c>
      <c r="V149" s="419" t="n">
        <f aca="false">Rho_moyen*(20000-Alt_rampe-pos_z)/(20000+Alt_rampe+pos_z)</f>
        <v>1.21459759791487</v>
      </c>
      <c r="W149" s="418" t="n">
        <f aca="false">1/2*Rho*Sref*Cx*vit_xz^2</f>
        <v>6.06587519288428</v>
      </c>
      <c r="X149" s="402"/>
      <c r="Y149" s="423" t="str">
        <f aca="false">IF(AND(pos_z&lt;=0,K148&gt;0),"Impact balistique","") &amp; IF(AND(H150&lt;0,vit_z&gt;=0),"Apogée","") &amp; IF(AND(Poussee=0,Q148&gt;0),"Fin de propulsion","") &amp; IF(AND(L150&gt;L_rampe,pos_xz&lt;=L_rampe),"Sortie de rampe","")</f>
        <v/>
      </c>
      <c r="Z149" s="424" t="str">
        <f aca="false">IF(ABS(t-T_para)&lt;pas/2,"Para","")</f>
        <v/>
      </c>
      <c r="AA149" s="425" t="str">
        <f aca="false">IF(ABS(t-T_satellite)&lt;pas/2,"Satellite","")</f>
        <v/>
      </c>
      <c r="AB149" s="413"/>
      <c r="AC149" s="421" t="e">
        <f aca="false">IF(ABS(t-ROUND(t,0))&lt;0.001,t,NA())</f>
        <v>#N/A</v>
      </c>
      <c r="AD149" s="426" t="e">
        <f aca="false">IF(ABS(t-ROUND(t,0))&lt;0.001,pos_x,NA())</f>
        <v>#N/A</v>
      </c>
      <c r="AE149" s="427" t="n">
        <f aca="false">IF(t&lt;T_para, pos_z, NA())</f>
        <v>85.279655087545</v>
      </c>
      <c r="AF149" s="413"/>
      <c r="AG149" s="419" t="n">
        <f aca="false">IF(AND(L148&lt;L_rampe,Poussee&lt;Poids*SIN(M148)),0,(-W148+Poussee)/m-Poids*SIN(M148)/m)</f>
        <v>-13.693244992151</v>
      </c>
      <c r="AH149" s="418" t="n">
        <f aca="false">IF(AND(L148&lt;L_rampe,Poussee&lt;Poids*SIN(M148)), g*SIN(M148), (-W148+Poussee)/m)</f>
        <v>-4.10187535074514</v>
      </c>
    </row>
    <row r="150" customFormat="false" ht="12" hidden="false" customHeight="false" outlineLevel="0" collapsed="false">
      <c r="A150" s="417" t="n">
        <f aca="false">IF(B149+0.01&lt;=T_ini+ROUNDUP(Temps_fin_propu,0), 0.01, IF(K149&gt;0, 0.1, 0.0001))</f>
        <v>0.01</v>
      </c>
      <c r="B150" s="418" t="n">
        <f aca="false">B149+pas</f>
        <v>1.46</v>
      </c>
      <c r="C150" s="402"/>
      <c r="D150" s="419" t="n">
        <f aca="false">IF(AND(L149&lt;L_rampe,Poussee&lt;Poids*SIN(M149)),0,(-W149+Poussee)/m*COS(M149)-U149/m*SIN(M149))</f>
        <v>-0.859067405490909</v>
      </c>
      <c r="E150" s="420" t="n">
        <f aca="false">IF(AND(L149&lt;L_rampe,Poussee&lt;Poids*SIN(M149)),0,(-W149+Poussee)/m*SIN(M149)+U149/m*COS(M149)-Poids/m)</f>
        <v>-13.8053779670168</v>
      </c>
      <c r="F150" s="418" t="n">
        <f aca="false">SQRT(acc_x^2+acc_z^2)</f>
        <v>13.8320807407769</v>
      </c>
      <c r="G150" s="419" t="n">
        <f aca="false">G149+acc_x*pas</f>
        <v>15.8139642547173</v>
      </c>
      <c r="H150" s="420" t="n">
        <f aca="false">H149+acc_z*pas</f>
        <v>73.4499870891421</v>
      </c>
      <c r="I150" s="418" t="n">
        <f aca="false">SQRT(vit_x^2+vit_z^2)</f>
        <v>75.1330956958691</v>
      </c>
      <c r="J150" s="419" t="n">
        <f aca="false">J149+0.5*(vit_x+G149)*pas*(K149&gt;=0)</f>
        <v>17.1701250113938</v>
      </c>
      <c r="K150" s="420" t="n">
        <f aca="false">K149+0.5*(vit_z+H149)*pas</f>
        <v>86.0148452273348</v>
      </c>
      <c r="L150" s="418" t="n">
        <f aca="false">SQRT(pos_x^2+pos_z^2)</f>
        <v>87.7118395223202</v>
      </c>
      <c r="M150" s="419" t="n">
        <f aca="false">IF(AND(L149&gt;L_rampe,G150&gt;0),ATAN2(G150,H150),$M$4)</f>
        <v>1.35873107070468</v>
      </c>
      <c r="N150" s="418" t="n">
        <f aca="false">DEGREES(Beta)</f>
        <v>77.8495558446695</v>
      </c>
      <c r="O150" s="402"/>
      <c r="P150" s="421" t="n">
        <f aca="false">MATCH(t-pas/2-T_ini,CdP_t)</f>
        <v>13</v>
      </c>
      <c r="Q150" s="418" t="n">
        <f aca="false">(INDEX(CdP,2,i_P+1)-INDEX(CdP,2,i_P+0))/(INDEX(CdP,1,i_P+1)-INDEX(CdP,1,i_P+0))*(t-pas/2-T_ini-INDEX(CdP,1,i_P+0))+INDEX(CdP,2,i_P+0)</f>
        <v>0</v>
      </c>
      <c r="R150" s="419" t="n">
        <f aca="false">Poussee/(g*ISP)</f>
        <v>0</v>
      </c>
      <c r="S150" s="420" t="n">
        <f aca="false">S149-Débit*pas</f>
        <v>1.4843</v>
      </c>
      <c r="T150" s="418" t="n">
        <f aca="false">m*g</f>
        <v>14.560983</v>
      </c>
      <c r="U150" s="422" t="n">
        <f aca="false">IF(pos_xz&lt;L_rampe,Poids*COS(Beta),0)</f>
        <v>0</v>
      </c>
      <c r="V150" s="419" t="n">
        <f aca="false">Rho_moyen*(20000-Alt_rampe-pos_z)/(20000+Alt_rampe+pos_z)</f>
        <v>1.214508303542</v>
      </c>
      <c r="W150" s="418" t="n">
        <f aca="false">1/2*Rho*Sref*Cx*vit_xz^2</f>
        <v>6.04340640735585</v>
      </c>
      <c r="X150" s="402"/>
      <c r="Y150" s="423" t="str">
        <f aca="false">IF(AND(pos_z&lt;=0,K149&gt;0),"Impact balistique","") &amp; IF(AND(H151&lt;0,vit_z&gt;=0),"Apogée","") &amp; IF(AND(Poussee=0,Q149&gt;0),"Fin de propulsion","") &amp; IF(AND(L151&gt;L_rampe,pos_xz&lt;=L_rampe),"Sortie de rampe","")</f>
        <v/>
      </c>
      <c r="Z150" s="424" t="str">
        <f aca="false">IF(ABS(t-T_para)&lt;pas/2,"Para","")</f>
        <v/>
      </c>
      <c r="AA150" s="425" t="str">
        <f aca="false">IF(ABS(t-T_satellite)&lt;pas/2,"Satellite","")</f>
        <v/>
      </c>
      <c r="AB150" s="413"/>
      <c r="AC150" s="421" t="e">
        <f aca="false">IF(ABS(t-ROUND(t,0))&lt;0.001,t,NA())</f>
        <v>#N/A</v>
      </c>
      <c r="AD150" s="426" t="e">
        <f aca="false">IF(ABS(t-ROUND(t,0))&lt;0.001,pos_x,NA())</f>
        <v>#N/A</v>
      </c>
      <c r="AE150" s="427" t="n">
        <f aca="false">IF(t&lt;T_para, pos_z, NA())</f>
        <v>86.0148452273348</v>
      </c>
      <c r="AF150" s="413"/>
      <c r="AG150" s="419" t="n">
        <f aca="false">IF(AND(L149&lt;L_rampe,Poussee&lt;Poids*SIN(M149)),0,(-W149+Poussee)/m-Poids*SIN(M149)/m)</f>
        <v>-13.6774965722094</v>
      </c>
      <c r="AH150" s="418" t="n">
        <f aca="false">IF(AND(L149&lt;L_rampe,Poussee&lt;Poids*SIN(M149)), g*SIN(M149), (-W149+Poussee)/m)</f>
        <v>-4.08669082590062</v>
      </c>
    </row>
    <row r="151" customFormat="false" ht="12" hidden="false" customHeight="false" outlineLevel="0" collapsed="false">
      <c r="A151" s="417" t="n">
        <f aca="false">IF(B150+0.01&lt;=T_ini+ROUNDUP(Temps_fin_propu,0), 0.01, IF(K150&gt;0, 0.1, 0.0001))</f>
        <v>0.01</v>
      </c>
      <c r="B151" s="418" t="n">
        <f aca="false">B150+pas</f>
        <v>1.47</v>
      </c>
      <c r="C151" s="402"/>
      <c r="D151" s="419" t="n">
        <f aca="false">IF(AND(L150&lt;L_rampe,Poussee&lt;Poids*SIN(M150)),0,(-W150+Poussee)/m*COS(M150)-U150/m*SIN(M150))</f>
        <v>-0.856977821700949</v>
      </c>
      <c r="E151" s="420" t="n">
        <f aca="false">IF(AND(L150&lt;L_rampe,Poussee&lt;Poids*SIN(M150)),0,(-W150+Poussee)/m*SIN(M150)+U150/m*COS(M150)-Poids/m)</f>
        <v>-13.7903435069002</v>
      </c>
      <c r="F151" s="418" t="n">
        <f aca="false">SQRT(acc_x^2+acc_z^2)</f>
        <v>13.816945575097</v>
      </c>
      <c r="G151" s="419" t="n">
        <f aca="false">G150+acc_x*pas</f>
        <v>15.8053944765003</v>
      </c>
      <c r="H151" s="420" t="n">
        <f aca="false">H150+acc_z*pas</f>
        <v>73.3120836540731</v>
      </c>
      <c r="I151" s="418" t="n">
        <f aca="false">SQRT(vit_x^2+vit_z^2)</f>
        <v>74.9964806124901</v>
      </c>
      <c r="J151" s="419" t="n">
        <f aca="false">J150+0.5*(vit_x+G150)*pas*(K150&gt;=0)</f>
        <v>17.3282218050499</v>
      </c>
      <c r="K151" s="420" t="n">
        <f aca="false">K150+0.5*(vit_z+H150)*pas</f>
        <v>86.7486555810509</v>
      </c>
      <c r="L151" s="418" t="n">
        <f aca="false">SQRT(pos_x^2+pos_z^2)</f>
        <v>88.4624017085496</v>
      </c>
      <c r="M151" s="419" t="n">
        <f aca="false">IF(AND(L150&gt;L_rampe,G151&gt;0),ATAN2(G151,H151),$M$4)</f>
        <v>1.35845575080748</v>
      </c>
      <c r="N151" s="418" t="n">
        <f aca="false">DEGREES(Beta)</f>
        <v>77.8337811765439</v>
      </c>
      <c r="O151" s="402"/>
      <c r="P151" s="421" t="n">
        <f aca="false">MATCH(t-pas/2-T_ini,CdP_t)</f>
        <v>13</v>
      </c>
      <c r="Q151" s="418" t="n">
        <f aca="false">(INDEX(CdP,2,i_P+1)-INDEX(CdP,2,i_P+0))/(INDEX(CdP,1,i_P+1)-INDEX(CdP,1,i_P+0))*(t-pas/2-T_ini-INDEX(CdP,1,i_P+0))+INDEX(CdP,2,i_P+0)</f>
        <v>0</v>
      </c>
      <c r="R151" s="419" t="n">
        <f aca="false">Poussee/(g*ISP)</f>
        <v>0</v>
      </c>
      <c r="S151" s="420" t="n">
        <f aca="false">S150-Débit*pas</f>
        <v>1.4843</v>
      </c>
      <c r="T151" s="418" t="n">
        <f aca="false">m*g</f>
        <v>14.560983</v>
      </c>
      <c r="U151" s="422" t="n">
        <f aca="false">IF(pos_xz&lt;L_rampe,Poids*COS(Beta),0)</f>
        <v>0</v>
      </c>
      <c r="V151" s="419" t="n">
        <f aca="false">Rho_moyen*(20000-Alt_rampe-pos_z)/(20000+Alt_rampe+pos_z)</f>
        <v>1.21441918327262</v>
      </c>
      <c r="W151" s="418" t="n">
        <f aca="false">1/2*Rho*Sref*Cx*vit_xz^2</f>
        <v>6.02100699182437</v>
      </c>
      <c r="X151" s="402"/>
      <c r="Y151" s="423" t="str">
        <f aca="false">IF(AND(pos_z&lt;=0,K150&gt;0),"Impact balistique","") &amp; IF(AND(H152&lt;0,vit_z&gt;=0),"Apogée","") &amp; IF(AND(Poussee=0,Q150&gt;0),"Fin de propulsion","") &amp; IF(AND(L152&gt;L_rampe,pos_xz&lt;=L_rampe),"Sortie de rampe","")</f>
        <v/>
      </c>
      <c r="Z151" s="424" t="str">
        <f aca="false">IF(ABS(t-T_para)&lt;pas/2,"Para","")</f>
        <v/>
      </c>
      <c r="AA151" s="425" t="str">
        <f aca="false">IF(ABS(t-T_satellite)&lt;pas/2,"Satellite","")</f>
        <v/>
      </c>
      <c r="AB151" s="413"/>
      <c r="AC151" s="421" t="e">
        <f aca="false">IF(ABS(t-ROUND(t,0))&lt;0.001,t,NA())</f>
        <v>#N/A</v>
      </c>
      <c r="AD151" s="426" t="e">
        <f aca="false">IF(ABS(t-ROUND(t,0))&lt;0.001,pos_x,NA())</f>
        <v>#N/A</v>
      </c>
      <c r="AE151" s="427" t="n">
        <f aca="false">IF(t&lt;T_para, pos_z, NA())</f>
        <v>86.7486555810509</v>
      </c>
      <c r="AF151" s="413"/>
      <c r="AG151" s="419" t="n">
        <f aca="false">IF(AND(L150&lt;L_rampe,Poussee&lt;Poids*SIN(M150)),0,(-W150+Poussee)/m-Poids*SIN(M150)/m)</f>
        <v>-13.6617925784809</v>
      </c>
      <c r="AH151" s="418" t="n">
        <f aca="false">IF(AND(L150&lt;L_rampe,Poussee&lt;Poids*SIN(M150)), g*SIN(M150), (-W150+Poussee)/m)</f>
        <v>-4.07155319501169</v>
      </c>
    </row>
    <row r="152" customFormat="false" ht="12" hidden="false" customHeight="false" outlineLevel="0" collapsed="false">
      <c r="A152" s="417" t="n">
        <f aca="false">IF(B151+0.01&lt;=T_ini+ROUNDUP(Temps_fin_propu,0), 0.01, IF(K151&gt;0, 0.1, 0.0001))</f>
        <v>0.01</v>
      </c>
      <c r="B152" s="418" t="n">
        <f aca="false">B151+pas</f>
        <v>1.48</v>
      </c>
      <c r="C152" s="402"/>
      <c r="D152" s="419" t="n">
        <f aca="false">IF(AND(L151&lt;L_rampe,Poussee&lt;Poids*SIN(M151)),0,(-W151+Poussee)/m*COS(M151)-U151/m*SIN(M151))</f>
        <v>-0.854893273740836</v>
      </c>
      <c r="E152" s="420" t="n">
        <f aca="false">IF(AND(L151&lt;L_rampe,Poussee&lt;Poids*SIN(M151)),0,(-W151+Poussee)/m*SIN(M151)+U151/m*COS(M151)-Poids/m)</f>
        <v>-13.7753554546188</v>
      </c>
      <c r="F152" s="418" t="n">
        <f aca="false">SQRT(acc_x^2+acc_z^2)</f>
        <v>13.8018571362909</v>
      </c>
      <c r="G152" s="419" t="n">
        <f aca="false">G151+acc_x*pas</f>
        <v>15.7968455437629</v>
      </c>
      <c r="H152" s="420" t="n">
        <f aca="false">H151+acc_z*pas</f>
        <v>73.1743300995269</v>
      </c>
      <c r="I152" s="418" t="n">
        <f aca="false">SQRT(vit_x^2+vit_z^2)</f>
        <v>74.8600221389764</v>
      </c>
      <c r="J152" s="419" t="n">
        <f aca="false">J151+0.5*(vit_x+G151)*pas*(K151&gt;=0)</f>
        <v>17.4862330051512</v>
      </c>
      <c r="K152" s="420" t="n">
        <f aca="false">K151+0.5*(vit_z+H151)*pas</f>
        <v>87.4810876498189</v>
      </c>
      <c r="L152" s="418" t="n">
        <f aca="false">SQRT(pos_x^2+pos_z^2)</f>
        <v>89.2115970101743</v>
      </c>
      <c r="M152" s="419" t="n">
        <f aca="false">IF(AND(L151&gt;L_rampe,G152&gt;0),ATAN2(G152,H152),$M$4)</f>
        <v>1.35817957634482</v>
      </c>
      <c r="N152" s="418" t="n">
        <f aca="false">DEGREES(Beta)</f>
        <v>77.8179575454241</v>
      </c>
      <c r="O152" s="402"/>
      <c r="P152" s="421" t="n">
        <f aca="false">MATCH(t-pas/2-T_ini,CdP_t)</f>
        <v>13</v>
      </c>
      <c r="Q152" s="418" t="n">
        <f aca="false">(INDEX(CdP,2,i_P+1)-INDEX(CdP,2,i_P+0))/(INDEX(CdP,1,i_P+1)-INDEX(CdP,1,i_P+0))*(t-pas/2-T_ini-INDEX(CdP,1,i_P+0))+INDEX(CdP,2,i_P+0)</f>
        <v>0</v>
      </c>
      <c r="R152" s="419" t="n">
        <f aca="false">Poussee/(g*ISP)</f>
        <v>0</v>
      </c>
      <c r="S152" s="420" t="n">
        <f aca="false">S151-Débit*pas</f>
        <v>1.4843</v>
      </c>
      <c r="T152" s="418" t="n">
        <f aca="false">m*g</f>
        <v>14.560983</v>
      </c>
      <c r="U152" s="422" t="n">
        <f aca="false">IF(pos_xz&lt;L_rampe,Poids*COS(Beta),0)</f>
        <v>0</v>
      </c>
      <c r="V152" s="419" t="n">
        <f aca="false">Rho_moyen*(20000-Alt_rampe-pos_z)/(20000+Alt_rampe+pos_z)</f>
        <v>1.214330236887</v>
      </c>
      <c r="W152" s="418" t="n">
        <f aca="false">1/2*Rho*Sref*Cx*vit_xz^2</f>
        <v>5.99867671268002</v>
      </c>
      <c r="X152" s="402"/>
      <c r="Y152" s="423" t="str">
        <f aca="false">IF(AND(pos_z&lt;=0,K151&gt;0),"Impact balistique","") &amp; IF(AND(H153&lt;0,vit_z&gt;=0),"Apogée","") &amp; IF(AND(Poussee=0,Q151&gt;0),"Fin de propulsion","") &amp; IF(AND(L153&gt;L_rampe,pos_xz&lt;=L_rampe),"Sortie de rampe","")</f>
        <v/>
      </c>
      <c r="Z152" s="424" t="str">
        <f aca="false">IF(ABS(t-T_para)&lt;pas/2,"Para","")</f>
        <v/>
      </c>
      <c r="AA152" s="425" t="str">
        <f aca="false">IF(ABS(t-T_satellite)&lt;pas/2,"Satellite","")</f>
        <v/>
      </c>
      <c r="AB152" s="413"/>
      <c r="AC152" s="421" t="e">
        <f aca="false">IF(ABS(t-ROUND(t,0))&lt;0.001,t,NA())</f>
        <v>#N/A</v>
      </c>
      <c r="AD152" s="426" t="e">
        <f aca="false">IF(ABS(t-ROUND(t,0))&lt;0.001,pos_x,NA())</f>
        <v>#N/A</v>
      </c>
      <c r="AE152" s="427" t="n">
        <f aca="false">IF(t&lt;T_para, pos_z, NA())</f>
        <v>87.4810876498189</v>
      </c>
      <c r="AF152" s="413"/>
      <c r="AG152" s="419" t="n">
        <f aca="false">IF(AND(L151&lt;L_rampe,Poussee&lt;Poids*SIN(M151)),0,(-W151+Poussee)/m-Poids*SIN(M151)/m)</f>
        <v>-13.6461328387981</v>
      </c>
      <c r="AH152" s="418" t="n">
        <f aca="false">IF(AND(L151&lt;L_rampe,Poussee&lt;Poids*SIN(M151)), g*SIN(M151), (-W151+Poussee)/m)</f>
        <v>-4.05646229995579</v>
      </c>
    </row>
    <row r="153" customFormat="false" ht="12" hidden="false" customHeight="false" outlineLevel="0" collapsed="false">
      <c r="A153" s="417" t="n">
        <f aca="false">IF(B152+0.01&lt;=T_ini+ROUNDUP(Temps_fin_propu,0), 0.01, IF(K152&gt;0, 0.1, 0.0001))</f>
        <v>0.01</v>
      </c>
      <c r="B153" s="418" t="n">
        <f aca="false">B152+pas</f>
        <v>1.49</v>
      </c>
      <c r="C153" s="402"/>
      <c r="D153" s="419" t="n">
        <f aca="false">IF(AND(L152&lt;L_rampe,Poussee&lt;Poids*SIN(M152)),0,(-W152+Poussee)/m*COS(M152)-U152/m*SIN(M152))</f>
        <v>-0.852813742723409</v>
      </c>
      <c r="E153" s="420" t="n">
        <f aca="false">IF(AND(L152&lt;L_rampe,Poussee&lt;Poids*SIN(M152)),0,(-W152+Poussee)/m*SIN(M152)+U152/m*COS(M152)-Poids/m)</f>
        <v>-13.7604136538257</v>
      </c>
      <c r="F153" s="418" t="n">
        <f aca="false">SQRT(acc_x^2+acc_z^2)</f>
        <v>13.7868152669197</v>
      </c>
      <c r="G153" s="419" t="n">
        <f aca="false">G152+acc_x*pas</f>
        <v>15.7883174063356</v>
      </c>
      <c r="H153" s="420" t="n">
        <f aca="false">H152+acc_z*pas</f>
        <v>73.0367259629887</v>
      </c>
      <c r="I153" s="418" t="n">
        <f aca="false">SQRT(vit_x^2+vit_z^2)</f>
        <v>74.723719834574</v>
      </c>
      <c r="J153" s="419" t="n">
        <f aca="false">J152+0.5*(vit_x+G152)*pas*(K152&gt;=0)</f>
        <v>17.6441588199017</v>
      </c>
      <c r="K153" s="420" t="n">
        <f aca="false">K152+0.5*(vit_z+H152)*pas</f>
        <v>88.2121429301315</v>
      </c>
      <c r="L153" s="418" t="n">
        <f aca="false">SQRT(pos_x^2+pos_z^2)</f>
        <v>89.959426970095</v>
      </c>
      <c r="M153" s="419" t="n">
        <f aca="false">IF(AND(L152&gt;L_rampe,G153&gt;0),ATAN2(G153,H153),$M$4)</f>
        <v>1.35790254369884</v>
      </c>
      <c r="N153" s="418" t="n">
        <f aca="false">DEGREES(Beta)</f>
        <v>77.8020847440221</v>
      </c>
      <c r="O153" s="402"/>
      <c r="P153" s="421" t="n">
        <f aca="false">MATCH(t-pas/2-T_ini,CdP_t)</f>
        <v>13</v>
      </c>
      <c r="Q153" s="418" t="n">
        <f aca="false">(INDEX(CdP,2,i_P+1)-INDEX(CdP,2,i_P+0))/(INDEX(CdP,1,i_P+1)-INDEX(CdP,1,i_P+0))*(t-pas/2-T_ini-INDEX(CdP,1,i_P+0))+INDEX(CdP,2,i_P+0)</f>
        <v>0</v>
      </c>
      <c r="R153" s="419" t="n">
        <f aca="false">Poussee/(g*ISP)</f>
        <v>0</v>
      </c>
      <c r="S153" s="420" t="n">
        <f aca="false">S152-Débit*pas</f>
        <v>1.4843</v>
      </c>
      <c r="T153" s="418" t="n">
        <f aca="false">m*g</f>
        <v>14.560983</v>
      </c>
      <c r="U153" s="422" t="n">
        <f aca="false">IF(pos_xz&lt;L_rampe,Poids*COS(Beta),0)</f>
        <v>0</v>
      </c>
      <c r="V153" s="419" t="n">
        <f aca="false">Rho_moyen*(20000-Alt_rampe-pos_z)/(20000+Alt_rampe+pos_z)</f>
        <v>1.21424146416609</v>
      </c>
      <c r="W153" s="418" t="n">
        <f aca="false">1/2*Rho*Sref*Cx*vit_xz^2</f>
        <v>5.97641533739864</v>
      </c>
      <c r="X153" s="402"/>
      <c r="Y153" s="423" t="str">
        <f aca="false">IF(AND(pos_z&lt;=0,K152&gt;0),"Impact balistique","") &amp; IF(AND(H154&lt;0,vit_z&gt;=0),"Apogée","") &amp; IF(AND(Poussee=0,Q152&gt;0),"Fin de propulsion","") &amp; IF(AND(L154&gt;L_rampe,pos_xz&lt;=L_rampe),"Sortie de rampe","")</f>
        <v/>
      </c>
      <c r="Z153" s="424" t="str">
        <f aca="false">IF(ABS(t-T_para)&lt;pas/2,"Para","")</f>
        <v/>
      </c>
      <c r="AA153" s="425" t="str">
        <f aca="false">IF(ABS(t-T_satellite)&lt;pas/2,"Satellite","")</f>
        <v/>
      </c>
      <c r="AB153" s="413"/>
      <c r="AC153" s="421" t="e">
        <f aca="false">IF(ABS(t-ROUND(t,0))&lt;0.001,t,NA())</f>
        <v>#N/A</v>
      </c>
      <c r="AD153" s="426" t="e">
        <f aca="false">IF(ABS(t-ROUND(t,0))&lt;0.001,pos_x,NA())</f>
        <v>#N/A</v>
      </c>
      <c r="AE153" s="427" t="n">
        <f aca="false">IF(t&lt;T_para, pos_z, NA())</f>
        <v>88.2121429301315</v>
      </c>
      <c r="AF153" s="413"/>
      <c r="AG153" s="419" t="n">
        <f aca="false">IF(AND(L152&lt;L_rampe,Poussee&lt;Poids*SIN(M152)),0,(-W152+Poussee)/m-Poids*SIN(M152)/m)</f>
        <v>-13.6305171816294</v>
      </c>
      <c r="AH153" s="418" t="n">
        <f aca="false">IF(AND(L152&lt;L_rampe,Poussee&lt;Poids*SIN(M152)), g*SIN(M152), (-W152+Poussee)/m)</f>
        <v>-4.0414179833457</v>
      </c>
    </row>
    <row r="154" customFormat="false" ht="12" hidden="false" customHeight="false" outlineLevel="0" collapsed="false">
      <c r="A154" s="417" t="n">
        <f aca="false">IF(B153+0.01&lt;=T_ini+ROUNDUP(Temps_fin_propu,0), 0.01, IF(K153&gt;0, 0.1, 0.0001))</f>
        <v>0.01</v>
      </c>
      <c r="B154" s="418" t="n">
        <f aca="false">B153+pas</f>
        <v>1.5</v>
      </c>
      <c r="C154" s="402"/>
      <c r="D154" s="419" t="n">
        <f aca="false">IF(AND(L153&lt;L_rampe,Poussee&lt;Poids*SIN(M153)),0,(-W153+Poussee)/m*COS(M153)-U153/m*SIN(M153))</f>
        <v>-0.850739209846934</v>
      </c>
      <c r="E154" s="420" t="n">
        <f aca="false">IF(AND(L153&lt;L_rampe,Poussee&lt;Poids*SIN(M153)),0,(-W153+Poussee)/m*SIN(M153)+U153/m*COS(M153)-Poids/m)</f>
        <v>-13.7455179488997</v>
      </c>
      <c r="F154" s="418" t="n">
        <f aca="false">SQRT(acc_x^2+acc_z^2)</f>
        <v>13.7718198102755</v>
      </c>
      <c r="G154" s="419" t="n">
        <f aca="false">G153+acc_x*pas</f>
        <v>15.7798100142371</v>
      </c>
      <c r="H154" s="420" t="n">
        <f aca="false">H153+acc_z*pas</f>
        <v>72.8992707834997</v>
      </c>
      <c r="I154" s="418" t="n">
        <f aca="false">SQRT(vit_x^2+vit_z^2)</f>
        <v>74.5875732602384</v>
      </c>
      <c r="J154" s="419" t="n">
        <f aca="false">J153+0.5*(vit_x+G153)*pas*(K153&gt;=0)</f>
        <v>17.8019994570046</v>
      </c>
      <c r="K154" s="420" t="n">
        <f aca="false">K153+0.5*(vit_z+H153)*pas</f>
        <v>88.9418229138639</v>
      </c>
      <c r="L154" s="418" t="n">
        <f aca="false">SQRT(pos_x^2+pos_z^2)</f>
        <v>90.7058931266779</v>
      </c>
      <c r="M154" s="419" t="n">
        <f aca="false">IF(AND(L153&gt;L_rampe,G154&gt;0),ATAN2(G154,H154),$M$4)</f>
        <v>1.35762464923117</v>
      </c>
      <c r="N154" s="418" t="n">
        <f aca="false">DEGREES(Beta)</f>
        <v>77.7861625638748</v>
      </c>
      <c r="O154" s="402"/>
      <c r="P154" s="421" t="n">
        <f aca="false">MATCH(t-pas/2-T_ini,CdP_t)</f>
        <v>13</v>
      </c>
      <c r="Q154" s="418" t="n">
        <f aca="false">(INDEX(CdP,2,i_P+1)-INDEX(CdP,2,i_P+0))/(INDEX(CdP,1,i_P+1)-INDEX(CdP,1,i_P+0))*(t-pas/2-T_ini-INDEX(CdP,1,i_P+0))+INDEX(CdP,2,i_P+0)</f>
        <v>0</v>
      </c>
      <c r="R154" s="419" t="n">
        <f aca="false">Poussee/(g*ISP)</f>
        <v>0</v>
      </c>
      <c r="S154" s="420" t="n">
        <f aca="false">S153-Débit*pas</f>
        <v>1.4843</v>
      </c>
      <c r="T154" s="418" t="n">
        <f aca="false">m*g</f>
        <v>14.560983</v>
      </c>
      <c r="U154" s="422" t="n">
        <f aca="false">IF(pos_xz&lt;L_rampe,Poids*COS(Beta),0)</f>
        <v>0</v>
      </c>
      <c r="V154" s="419" t="n">
        <f aca="false">Rho_moyen*(20000-Alt_rampe-pos_z)/(20000+Alt_rampe+pos_z)</f>
        <v>1.21415286489155</v>
      </c>
      <c r="W154" s="418" t="n">
        <f aca="false">1/2*Rho*Sref*Cx*vit_xz^2</f>
        <v>5.9542226345359</v>
      </c>
      <c r="X154" s="402"/>
      <c r="Y154" s="423" t="str">
        <f aca="false">IF(AND(pos_z&lt;=0,K153&gt;0),"Impact balistique","") &amp; IF(AND(H155&lt;0,vit_z&gt;=0),"Apogée","") &amp; IF(AND(Poussee=0,Q153&gt;0),"Fin de propulsion","") &amp; IF(AND(L155&gt;L_rampe,pos_xz&lt;=L_rampe),"Sortie de rampe","")</f>
        <v/>
      </c>
      <c r="Z154" s="424" t="str">
        <f aca="false">IF(ABS(t-T_para)&lt;pas/2,"Para","")</f>
        <v/>
      </c>
      <c r="AA154" s="425" t="str">
        <f aca="false">IF(ABS(t-T_satellite)&lt;pas/2,"Satellite","")</f>
        <v/>
      </c>
      <c r="AB154" s="413"/>
      <c r="AC154" s="421" t="e">
        <f aca="false">IF(ABS(t-ROUND(t,0))&lt;0.001,t,NA())</f>
        <v>#N/A</v>
      </c>
      <c r="AD154" s="426" t="e">
        <f aca="false">IF(ABS(t-ROUND(t,0))&lt;0.001,pos_x,NA())</f>
        <v>#N/A</v>
      </c>
      <c r="AE154" s="427" t="n">
        <f aca="false">IF(t&lt;T_para, pos_z, NA())</f>
        <v>88.9418229138639</v>
      </c>
      <c r="AF154" s="413"/>
      <c r="AG154" s="419" t="n">
        <f aca="false">IF(AND(L153&lt;L_rampe,Poussee&lt;Poids*SIN(M153)),0,(-W153+Poussee)/m-Poids*SIN(M153)/m)</f>
        <v>-13.6149454360741</v>
      </c>
      <c r="AH154" s="418" t="n">
        <f aca="false">IF(AND(L153&lt;L_rampe,Poussee&lt;Poids*SIN(M153)), g*SIN(M153), (-W153+Poussee)/m)</f>
        <v>-4.02642008852566</v>
      </c>
    </row>
    <row r="155" customFormat="false" ht="12" hidden="false" customHeight="false" outlineLevel="0" collapsed="false">
      <c r="A155" s="417" t="n">
        <f aca="false">IF(B154+0.01&lt;=T_ini+ROUNDUP(Temps_fin_propu,0), 0.01, IF(K154&gt;0, 0.1, 0.0001))</f>
        <v>0.01</v>
      </c>
      <c r="B155" s="418" t="n">
        <f aca="false">B154+pas</f>
        <v>1.51</v>
      </c>
      <c r="C155" s="402"/>
      <c r="D155" s="419" t="n">
        <f aca="false">IF(AND(L154&lt;L_rampe,Poussee&lt;Poids*SIN(M154)),0,(-W154+Poussee)/m*COS(M154)-U154/m*SIN(M154))</f>
        <v>-0.848669656394663</v>
      </c>
      <c r="E155" s="420" t="n">
        <f aca="false">IF(AND(L154&lt;L_rampe,Poussee&lt;Poids*SIN(M154)),0,(-W154+Poussee)/m*SIN(M154)+U154/m*COS(M154)-Poids/m)</f>
        <v>-13.7306681849423</v>
      </c>
      <c r="F155" s="418" t="n">
        <f aca="false">SQRT(acc_x^2+acc_z^2)</f>
        <v>13.7568706103777</v>
      </c>
      <c r="G155" s="419" t="n">
        <f aca="false">G154+acc_x*pas</f>
        <v>15.7713233176732</v>
      </c>
      <c r="H155" s="420" t="n">
        <f aca="false">H154+acc_z*pas</f>
        <v>72.7619641016502</v>
      </c>
      <c r="I155" s="418" t="n">
        <f aca="false">SQRT(vit_x^2+vit_z^2)</f>
        <v>74.4515819786284</v>
      </c>
      <c r="J155" s="419" t="n">
        <f aca="false">J154+0.5*(vit_x+G154)*pas*(K154&gt;=0)</f>
        <v>17.9597551236641</v>
      </c>
      <c r="K155" s="420" t="n">
        <f aca="false">K154+0.5*(vit_z+H154)*pas</f>
        <v>89.6701290882897</v>
      </c>
      <c r="L155" s="418" t="n">
        <f aca="false">SQRT(pos_x^2+pos_z^2)</f>
        <v>91.4509970137697</v>
      </c>
      <c r="M155" s="419" t="n">
        <f aca="false">IF(AND(L154&gt;L_rampe,G155&gt;0),ATAN2(G155,H155),$M$4)</f>
        <v>1.3573458892828</v>
      </c>
      <c r="N155" s="418" t="n">
        <f aca="false">DEGREES(Beta)</f>
        <v>77.7701907953358</v>
      </c>
      <c r="O155" s="402"/>
      <c r="P155" s="421" t="n">
        <f aca="false">MATCH(t-pas/2-T_ini,CdP_t)</f>
        <v>13</v>
      </c>
      <c r="Q155" s="418" t="n">
        <f aca="false">(INDEX(CdP,2,i_P+1)-INDEX(CdP,2,i_P+0))/(INDEX(CdP,1,i_P+1)-INDEX(CdP,1,i_P+0))*(t-pas/2-T_ini-INDEX(CdP,1,i_P+0))+INDEX(CdP,2,i_P+0)</f>
        <v>0</v>
      </c>
      <c r="R155" s="419" t="n">
        <f aca="false">Poussee/(g*ISP)</f>
        <v>0</v>
      </c>
      <c r="S155" s="420" t="n">
        <f aca="false">S154-Débit*pas</f>
        <v>1.4843</v>
      </c>
      <c r="T155" s="418" t="n">
        <f aca="false">m*g</f>
        <v>14.560983</v>
      </c>
      <c r="U155" s="422" t="n">
        <f aca="false">IF(pos_xz&lt;L_rampe,Poids*COS(Beta),0)</f>
        <v>0</v>
      </c>
      <c r="V155" s="419" t="n">
        <f aca="false">Rho_moyen*(20000-Alt_rampe-pos_z)/(20000+Alt_rampe+pos_z)</f>
        <v>1.2140644388457</v>
      </c>
      <c r="W155" s="418" t="n">
        <f aca="false">1/2*Rho*Sref*Cx*vit_xz^2</f>
        <v>5.93209837372152</v>
      </c>
      <c r="X155" s="402"/>
      <c r="Y155" s="423" t="str">
        <f aca="false">IF(AND(pos_z&lt;=0,K154&gt;0),"Impact balistique","") &amp; IF(AND(H156&lt;0,vit_z&gt;=0),"Apogée","") &amp; IF(AND(Poussee=0,Q154&gt;0),"Fin de propulsion","") &amp; IF(AND(L156&gt;L_rampe,pos_xz&lt;=L_rampe),"Sortie de rampe","")</f>
        <v/>
      </c>
      <c r="Z155" s="424" t="str">
        <f aca="false">IF(ABS(t-T_para)&lt;pas/2,"Para","")</f>
        <v/>
      </c>
      <c r="AA155" s="425" t="str">
        <f aca="false">IF(ABS(t-T_satellite)&lt;pas/2,"Satellite","")</f>
        <v/>
      </c>
      <c r="AB155" s="413"/>
      <c r="AC155" s="421" t="e">
        <f aca="false">IF(ABS(t-ROUND(t,0))&lt;0.001,t,NA())</f>
        <v>#N/A</v>
      </c>
      <c r="AD155" s="426" t="e">
        <f aca="false">IF(ABS(t-ROUND(t,0))&lt;0.001,pos_x,NA())</f>
        <v>#N/A</v>
      </c>
      <c r="AE155" s="427" t="n">
        <f aca="false">IF(t&lt;T_para, pos_z, NA())</f>
        <v>89.6701290882897</v>
      </c>
      <c r="AF155" s="413"/>
      <c r="AG155" s="419" t="n">
        <f aca="false">IF(AND(L154&lt;L_rampe,Poussee&lt;Poids*SIN(M154)),0,(-W154+Poussee)/m-Poids*SIN(M154)/m)</f>
        <v>-13.5994174318577</v>
      </c>
      <c r="AH155" s="418" t="n">
        <f aca="false">IF(AND(L154&lt;L_rampe,Poussee&lt;Poids*SIN(M154)), g*SIN(M154), (-W154+Poussee)/m)</f>
        <v>-4.01146845956741</v>
      </c>
    </row>
    <row r="156" customFormat="false" ht="12" hidden="false" customHeight="false" outlineLevel="0" collapsed="false">
      <c r="A156" s="417" t="n">
        <f aca="false">IF(B155+0.01&lt;=T_ini+ROUNDUP(Temps_fin_propu,0), 0.01, IF(K155&gt;0, 0.1, 0.0001))</f>
        <v>0.01</v>
      </c>
      <c r="B156" s="418" t="n">
        <f aca="false">B155+pas</f>
        <v>1.52</v>
      </c>
      <c r="C156" s="402"/>
      <c r="D156" s="419" t="n">
        <f aca="false">IF(AND(L155&lt;L_rampe,Poussee&lt;Poids*SIN(M155)),0,(-W155+Poussee)/m*COS(M155)-U155/m*SIN(M155))</f>
        <v>-0.84660506373437</v>
      </c>
      <c r="E156" s="420" t="n">
        <f aca="false">IF(AND(L155&lt;L_rampe,Poussee&lt;Poids*SIN(M155)),0,(-W155+Poussee)/m*SIN(M155)+U155/m*COS(M155)-Poids/m)</f>
        <v>-13.715864207773</v>
      </c>
      <c r="F156" s="418" t="n">
        <f aca="false">SQRT(acc_x^2+acc_z^2)</f>
        <v>13.7419675119689</v>
      </c>
      <c r="G156" s="419" t="n">
        <f aca="false">G155+acc_x*pas</f>
        <v>15.7628572670359</v>
      </c>
      <c r="H156" s="420" t="n">
        <f aca="false">H155+acc_z*pas</f>
        <v>72.6248054595725</v>
      </c>
      <c r="I156" s="418" t="n">
        <f aca="false">SQRT(vit_x^2+vit_z^2)</f>
        <v>74.3157455540998</v>
      </c>
      <c r="J156" s="419" t="n">
        <f aca="false">J155+0.5*(vit_x+G155)*pas*(K155&gt;=0)</f>
        <v>18.1174260265877</v>
      </c>
      <c r="K156" s="420" t="n">
        <f aca="false">K155+0.5*(vit_z+H155)*pas</f>
        <v>90.3970629360958</v>
      </c>
      <c r="L156" s="418" t="n">
        <f aca="false">SQRT(pos_x^2+pos_z^2)</f>
        <v>92.1947401607127</v>
      </c>
      <c r="M156" s="419" t="n">
        <f aca="false">IF(AND(L155&gt;L_rampe,G156&gt;0),ATAN2(G156,H156),$M$4)</f>
        <v>1.35706626017391</v>
      </c>
      <c r="N156" s="418" t="n">
        <f aca="false">DEGREES(Beta)</f>
        <v>77.7541692275676</v>
      </c>
      <c r="O156" s="402"/>
      <c r="P156" s="421" t="n">
        <f aca="false">MATCH(t-pas/2-T_ini,CdP_t)</f>
        <v>13</v>
      </c>
      <c r="Q156" s="418" t="n">
        <f aca="false">(INDEX(CdP,2,i_P+1)-INDEX(CdP,2,i_P+0))/(INDEX(CdP,1,i_P+1)-INDEX(CdP,1,i_P+0))*(t-pas/2-T_ini-INDEX(CdP,1,i_P+0))+INDEX(CdP,2,i_P+0)</f>
        <v>0</v>
      </c>
      <c r="R156" s="419" t="n">
        <f aca="false">Poussee/(g*ISP)</f>
        <v>0</v>
      </c>
      <c r="S156" s="420" t="n">
        <f aca="false">S155-Débit*pas</f>
        <v>1.4843</v>
      </c>
      <c r="T156" s="418" t="n">
        <f aca="false">m*g</f>
        <v>14.560983</v>
      </c>
      <c r="U156" s="422" t="n">
        <f aca="false">IF(pos_xz&lt;L_rampe,Poids*COS(Beta),0)</f>
        <v>0</v>
      </c>
      <c r="V156" s="419" t="n">
        <f aca="false">Rho_moyen*(20000-Alt_rampe-pos_z)/(20000+Alt_rampe+pos_z)</f>
        <v>1.21397618581158</v>
      </c>
      <c r="W156" s="418" t="n">
        <f aca="false">1/2*Rho*Sref*Cx*vit_xz^2</f>
        <v>5.91004232565354</v>
      </c>
      <c r="X156" s="402"/>
      <c r="Y156" s="423" t="str">
        <f aca="false">IF(AND(pos_z&lt;=0,K155&gt;0),"Impact balistique","") &amp; IF(AND(H157&lt;0,vit_z&gt;=0),"Apogée","") &amp; IF(AND(Poussee=0,Q155&gt;0),"Fin de propulsion","") &amp; IF(AND(L157&gt;L_rampe,pos_xz&lt;=L_rampe),"Sortie de rampe","")</f>
        <v/>
      </c>
      <c r="Z156" s="424" t="str">
        <f aca="false">IF(ABS(t-T_para)&lt;pas/2,"Para","")</f>
        <v/>
      </c>
      <c r="AA156" s="425" t="str">
        <f aca="false">IF(ABS(t-T_satellite)&lt;pas/2,"Satellite","")</f>
        <v/>
      </c>
      <c r="AB156" s="413"/>
      <c r="AC156" s="421" t="e">
        <f aca="false">IF(ABS(t-ROUND(t,0))&lt;0.001,t,NA())</f>
        <v>#N/A</v>
      </c>
      <c r="AD156" s="426" t="e">
        <f aca="false">IF(ABS(t-ROUND(t,0))&lt;0.001,pos_x,NA())</f>
        <v>#N/A</v>
      </c>
      <c r="AE156" s="427" t="n">
        <f aca="false">IF(t&lt;T_para, pos_z, NA())</f>
        <v>90.3970629360958</v>
      </c>
      <c r="AF156" s="413"/>
      <c r="AG156" s="419" t="n">
        <f aca="false">IF(AND(L155&lt;L_rampe,Poussee&lt;Poids*SIN(M155)),0,(-W155+Poussee)/m-Poids*SIN(M155)/m)</f>
        <v>-13.5839329993275</v>
      </c>
      <c r="AH156" s="418" t="n">
        <f aca="false">IF(AND(L155&lt;L_rampe,Poussee&lt;Poids*SIN(M155)), g*SIN(M155), (-W155+Poussee)/m)</f>
        <v>-3.99656294126627</v>
      </c>
    </row>
    <row r="157" customFormat="false" ht="12" hidden="false" customHeight="false" outlineLevel="0" collapsed="false">
      <c r="A157" s="417" t="n">
        <f aca="false">IF(B156+0.01&lt;=T_ini+ROUNDUP(Temps_fin_propu,0), 0.01, IF(K156&gt;0, 0.1, 0.0001))</f>
        <v>0.01</v>
      </c>
      <c r="B157" s="418" t="n">
        <f aca="false">B156+pas</f>
        <v>1.53</v>
      </c>
      <c r="C157" s="402"/>
      <c r="D157" s="419" t="n">
        <f aca="false">IF(AND(L156&lt;L_rampe,Poussee&lt;Poids*SIN(M156)),0,(-W156+Poussee)/m*COS(M156)-U156/m*SIN(M156))</f>
        <v>-0.844545413317915</v>
      </c>
      <c r="E157" s="420" t="n">
        <f aca="false">IF(AND(L156&lt;L_rampe,Poussee&lt;Poids*SIN(M156)),0,(-W156+Poussee)/m*SIN(M156)+U156/m*COS(M156)-Poids/m)</f>
        <v>-13.7011058639257</v>
      </c>
      <c r="F157" s="418" t="n">
        <f aca="false">SQRT(acc_x^2+acc_z^2)</f>
        <v>13.7271103605113</v>
      </c>
      <c r="G157" s="419" t="n">
        <f aca="false">G156+acc_x*pas</f>
        <v>15.7544118129027</v>
      </c>
      <c r="H157" s="420" t="n">
        <f aca="false">H156+acc_z*pas</f>
        <v>72.4877944009332</v>
      </c>
      <c r="I157" s="418" t="n">
        <f aca="false">SQRT(vit_x^2+vit_z^2)</f>
        <v>74.1800635526992</v>
      </c>
      <c r="J157" s="419" t="n">
        <f aca="false">J156+0.5*(vit_x+G156)*pas*(K156&gt;=0)</f>
        <v>18.2750123719874</v>
      </c>
      <c r="K157" s="420" t="n">
        <f aca="false">K156+0.5*(vit_z+H156)*pas</f>
        <v>91.1226259353983</v>
      </c>
      <c r="L157" s="418" t="n">
        <f aca="false">SQRT(pos_x^2+pos_z^2)</f>
        <v>92.9371240923605</v>
      </c>
      <c r="M157" s="419" t="n">
        <f aca="false">IF(AND(L156&gt;L_rampe,G157&gt;0),ATAN2(G157,H157),$M$4)</f>
        <v>1.35678575820376</v>
      </c>
      <c r="N157" s="418" t="n">
        <f aca="false">DEGREES(Beta)</f>
        <v>77.7380976485331</v>
      </c>
      <c r="O157" s="402"/>
      <c r="P157" s="421" t="n">
        <f aca="false">MATCH(t-pas/2-T_ini,CdP_t)</f>
        <v>13</v>
      </c>
      <c r="Q157" s="418" t="n">
        <f aca="false">(INDEX(CdP,2,i_P+1)-INDEX(CdP,2,i_P+0))/(INDEX(CdP,1,i_P+1)-INDEX(CdP,1,i_P+0))*(t-pas/2-T_ini-INDEX(CdP,1,i_P+0))+INDEX(CdP,2,i_P+0)</f>
        <v>0</v>
      </c>
      <c r="R157" s="419" t="n">
        <f aca="false">Poussee/(g*ISP)</f>
        <v>0</v>
      </c>
      <c r="S157" s="420" t="n">
        <f aca="false">S156-Débit*pas</f>
        <v>1.4843</v>
      </c>
      <c r="T157" s="418" t="n">
        <f aca="false">m*g</f>
        <v>14.560983</v>
      </c>
      <c r="U157" s="422" t="n">
        <f aca="false">IF(pos_xz&lt;L_rampe,Poids*COS(Beta),0)</f>
        <v>0</v>
      </c>
      <c r="V157" s="419" t="n">
        <f aca="false">Rho_moyen*(20000-Alt_rampe-pos_z)/(20000+Alt_rampe+pos_z)</f>
        <v>1.21388810557288</v>
      </c>
      <c r="W157" s="418" t="n">
        <f aca="false">1/2*Rho*Sref*Cx*vit_xz^2</f>
        <v>5.88805426209255</v>
      </c>
      <c r="X157" s="402"/>
      <c r="Y157" s="423" t="str">
        <f aca="false">IF(AND(pos_z&lt;=0,K156&gt;0),"Impact balistique","") &amp; IF(AND(H158&lt;0,vit_z&gt;=0),"Apogée","") &amp; IF(AND(Poussee=0,Q156&gt;0),"Fin de propulsion","") &amp; IF(AND(L158&gt;L_rampe,pos_xz&lt;=L_rampe),"Sortie de rampe","")</f>
        <v/>
      </c>
      <c r="Z157" s="424" t="str">
        <f aca="false">IF(ABS(t-T_para)&lt;pas/2,"Para","")</f>
        <v/>
      </c>
      <c r="AA157" s="425" t="str">
        <f aca="false">IF(ABS(t-T_satellite)&lt;pas/2,"Satellite","")</f>
        <v/>
      </c>
      <c r="AB157" s="413"/>
      <c r="AC157" s="421" t="e">
        <f aca="false">IF(ABS(t-ROUND(t,0))&lt;0.001,t,NA())</f>
        <v>#N/A</v>
      </c>
      <c r="AD157" s="426" t="e">
        <f aca="false">IF(ABS(t-ROUND(t,0))&lt;0.001,pos_x,NA())</f>
        <v>#N/A</v>
      </c>
      <c r="AE157" s="427" t="n">
        <f aca="false">IF(t&lt;T_para, pos_z, NA())</f>
        <v>91.1226259353983</v>
      </c>
      <c r="AF157" s="413"/>
      <c r="AG157" s="419" t="n">
        <f aca="false">IF(AND(L156&lt;L_rampe,Poussee&lt;Poids*SIN(M156)),0,(-W156+Poussee)/m-Poids*SIN(M156)/m)</f>
        <v>-13.5684919694471</v>
      </c>
      <c r="AH157" s="418" t="n">
        <f aca="false">IF(AND(L156&lt;L_rampe,Poussee&lt;Poids*SIN(M156)), g*SIN(M156), (-W156+Poussee)/m)</f>
        <v>-3.98170337913734</v>
      </c>
    </row>
    <row r="158" customFormat="false" ht="12" hidden="false" customHeight="false" outlineLevel="0" collapsed="false">
      <c r="A158" s="417" t="n">
        <f aca="false">IF(B157+0.01&lt;=T_ini+ROUNDUP(Temps_fin_propu,0), 0.01, IF(K157&gt;0, 0.1, 0.0001))</f>
        <v>0.01</v>
      </c>
      <c r="B158" s="418" t="n">
        <f aca="false">B157+pas</f>
        <v>1.54</v>
      </c>
      <c r="C158" s="402"/>
      <c r="D158" s="419" t="n">
        <f aca="false">IF(AND(L157&lt;L_rampe,Poussee&lt;Poids*SIN(M157)),0,(-W157+Poussee)/m*COS(M157)-U157/m*SIN(M157))</f>
        <v>-0.842490686680791</v>
      </c>
      <c r="E158" s="420" t="n">
        <f aca="false">IF(AND(L157&lt;L_rampe,Poussee&lt;Poids*SIN(M157)),0,(-W157+Poussee)/m*SIN(M157)+U157/m*COS(M157)-Poids/m)</f>
        <v>-13.6863930006452</v>
      </c>
      <c r="F158" s="418" t="n">
        <f aca="false">SQRT(acc_x^2+acc_z^2)</f>
        <v>13.7122990021825</v>
      </c>
      <c r="G158" s="419" t="n">
        <f aca="false">G157+acc_x*pas</f>
        <v>15.7459869060359</v>
      </c>
      <c r="H158" s="420" t="n">
        <f aca="false">H157+acc_z*pas</f>
        <v>72.3509304709268</v>
      </c>
      <c r="I158" s="418" t="n">
        <f aca="false">SQRT(vit_x^2+vit_z^2)</f>
        <v>74.0445355421582</v>
      </c>
      <c r="J158" s="419" t="n">
        <f aca="false">J157+0.5*(vit_x+G157)*pas*(K157&gt;=0)</f>
        <v>18.4325143655821</v>
      </c>
      <c r="K158" s="420" t="n">
        <f aca="false">K157+0.5*(vit_z+H157)*pas</f>
        <v>91.8468195597576</v>
      </c>
      <c r="L158" s="418" t="n">
        <f aca="false">SQRT(pos_x^2+pos_z^2)</f>
        <v>93.6781503290925</v>
      </c>
      <c r="M158" s="419" t="n">
        <f aca="false">IF(AND(L157&gt;L_rampe,G158&gt;0),ATAN2(G158,H158),$M$4)</f>
        <v>1.35650437965052</v>
      </c>
      <c r="N158" s="418" t="n">
        <f aca="false">DEGREES(Beta)</f>
        <v>77.7219758449869</v>
      </c>
      <c r="O158" s="402"/>
      <c r="P158" s="421" t="n">
        <f aca="false">MATCH(t-pas/2-T_ini,CdP_t)</f>
        <v>13</v>
      </c>
      <c r="Q158" s="418" t="n">
        <f aca="false">(INDEX(CdP,2,i_P+1)-INDEX(CdP,2,i_P+0))/(INDEX(CdP,1,i_P+1)-INDEX(CdP,1,i_P+0))*(t-pas/2-T_ini-INDEX(CdP,1,i_P+0))+INDEX(CdP,2,i_P+0)</f>
        <v>0</v>
      </c>
      <c r="R158" s="419" t="n">
        <f aca="false">Poussee/(g*ISP)</f>
        <v>0</v>
      </c>
      <c r="S158" s="420" t="n">
        <f aca="false">S157-Débit*pas</f>
        <v>1.4843</v>
      </c>
      <c r="T158" s="418" t="n">
        <f aca="false">m*g</f>
        <v>14.560983</v>
      </c>
      <c r="U158" s="422" t="n">
        <f aca="false">IF(pos_xz&lt;L_rampe,Poids*COS(Beta),0)</f>
        <v>0</v>
      </c>
      <c r="V158" s="419" t="n">
        <f aca="false">Rho_moyen*(20000-Alt_rampe-pos_z)/(20000+Alt_rampe+pos_z)</f>
        <v>1.21380019791399</v>
      </c>
      <c r="W158" s="418" t="n">
        <f aca="false">1/2*Rho*Sref*Cx*vit_xz^2</f>
        <v>5.86613395585608</v>
      </c>
      <c r="X158" s="402"/>
      <c r="Y158" s="423" t="str">
        <f aca="false">IF(AND(pos_z&lt;=0,K157&gt;0),"Impact balistique","") &amp; IF(AND(H159&lt;0,vit_z&gt;=0),"Apogée","") &amp; IF(AND(Poussee=0,Q157&gt;0),"Fin de propulsion","") &amp; IF(AND(L159&gt;L_rampe,pos_xz&lt;=L_rampe),"Sortie de rampe","")</f>
        <v/>
      </c>
      <c r="Z158" s="424" t="str">
        <f aca="false">IF(ABS(t-T_para)&lt;pas/2,"Para","")</f>
        <v/>
      </c>
      <c r="AA158" s="425" t="str">
        <f aca="false">IF(ABS(t-T_satellite)&lt;pas/2,"Satellite","")</f>
        <v/>
      </c>
      <c r="AB158" s="413"/>
      <c r="AC158" s="421" t="e">
        <f aca="false">IF(ABS(t-ROUND(t,0))&lt;0.001,t,NA())</f>
        <v>#N/A</v>
      </c>
      <c r="AD158" s="426" t="e">
        <f aca="false">IF(ABS(t-ROUND(t,0))&lt;0.001,pos_x,NA())</f>
        <v>#N/A</v>
      </c>
      <c r="AE158" s="427" t="n">
        <f aca="false">IF(t&lt;T_para, pos_z, NA())</f>
        <v>91.8468195597576</v>
      </c>
      <c r="AF158" s="413"/>
      <c r="AG158" s="419" t="n">
        <f aca="false">IF(AND(L157&lt;L_rampe,Poussee&lt;Poids*SIN(M157)),0,(-W157+Poussee)/m-Poids*SIN(M157)/m)</f>
        <v>-13.5530941737925</v>
      </c>
      <c r="AH158" s="418" t="n">
        <f aca="false">IF(AND(L157&lt;L_rampe,Poussee&lt;Poids*SIN(M157)), g*SIN(M157), (-W157+Poussee)/m)</f>
        <v>-3.96688961941155</v>
      </c>
    </row>
    <row r="159" customFormat="false" ht="12" hidden="false" customHeight="false" outlineLevel="0" collapsed="false">
      <c r="A159" s="417" t="n">
        <f aca="false">IF(B158+0.01&lt;=T_ini+ROUNDUP(Temps_fin_propu,0), 0.01, IF(K158&gt;0, 0.1, 0.0001))</f>
        <v>0.01</v>
      </c>
      <c r="B159" s="418" t="n">
        <f aca="false">B158+pas</f>
        <v>1.55</v>
      </c>
      <c r="C159" s="402"/>
      <c r="D159" s="419" t="n">
        <f aca="false">IF(AND(L158&lt;L_rampe,Poussee&lt;Poids*SIN(M158)),0,(-W158+Poussee)/m*COS(M158)-U158/m*SIN(M158))</f>
        <v>-0.840440865441689</v>
      </c>
      <c r="E159" s="420" t="n">
        <f aca="false">IF(AND(L158&lt;L_rampe,Poussee&lt;Poids*SIN(M158)),0,(-W158+Poussee)/m*SIN(M158)+U158/m*COS(M158)-Poids/m)</f>
        <v>-13.6717254658829</v>
      </c>
      <c r="F159" s="418" t="n">
        <f aca="false">SQRT(acc_x^2+acc_z^2)</f>
        <v>13.6975332838718</v>
      </c>
      <c r="G159" s="419" t="n">
        <f aca="false">G158+acc_x*pas</f>
        <v>15.7375824973815</v>
      </c>
      <c r="H159" s="420" t="n">
        <f aca="false">H158+acc_z*pas</f>
        <v>72.214213216268</v>
      </c>
      <c r="I159" s="418" t="n">
        <f aca="false">SQRT(vit_x^2+vit_z^2)</f>
        <v>73.909161091887</v>
      </c>
      <c r="J159" s="419" t="n">
        <f aca="false">J158+0.5*(vit_x+G158)*pas*(K158&gt;=0)</f>
        <v>18.5899322125992</v>
      </c>
      <c r="K159" s="420" t="n">
        <f aca="false">K158+0.5*(vit_z+H158)*pas</f>
        <v>92.5696452781936</v>
      </c>
      <c r="L159" s="418" t="n">
        <f aca="false">SQRT(pos_x^2+pos_z^2)</f>
        <v>94.4178203868296</v>
      </c>
      <c r="M159" s="419" t="n">
        <f aca="false">IF(AND(L158&gt;L_rampe,G159&gt;0),ATAN2(G159,H159),$M$4)</f>
        <v>1.35622212077113</v>
      </c>
      <c r="N159" s="418" t="n">
        <f aca="false">DEGREES(Beta)</f>
        <v>77.7058036024675</v>
      </c>
      <c r="O159" s="402"/>
      <c r="P159" s="421" t="n">
        <f aca="false">MATCH(t-pas/2-T_ini,CdP_t)</f>
        <v>13</v>
      </c>
      <c r="Q159" s="418" t="n">
        <f aca="false">(INDEX(CdP,2,i_P+1)-INDEX(CdP,2,i_P+0))/(INDEX(CdP,1,i_P+1)-INDEX(CdP,1,i_P+0))*(t-pas/2-T_ini-INDEX(CdP,1,i_P+0))+INDEX(CdP,2,i_P+0)</f>
        <v>0</v>
      </c>
      <c r="R159" s="419" t="n">
        <f aca="false">Poussee/(g*ISP)</f>
        <v>0</v>
      </c>
      <c r="S159" s="420" t="n">
        <f aca="false">S158-Débit*pas</f>
        <v>1.4843</v>
      </c>
      <c r="T159" s="418" t="n">
        <f aca="false">m*g</f>
        <v>14.560983</v>
      </c>
      <c r="U159" s="422" t="n">
        <f aca="false">IF(pos_xz&lt;L_rampe,Poids*COS(Beta),0)</f>
        <v>0</v>
      </c>
      <c r="V159" s="419" t="n">
        <f aca="false">Rho_moyen*(20000-Alt_rampe-pos_z)/(20000+Alt_rampe+pos_z)</f>
        <v>1.21371246261999</v>
      </c>
      <c r="W159" s="418" t="n">
        <f aca="false">1/2*Rho*Sref*Cx*vit_xz^2</f>
        <v>5.8442811808129</v>
      </c>
      <c r="X159" s="402"/>
      <c r="Y159" s="423" t="str">
        <f aca="false">IF(AND(pos_z&lt;=0,K158&gt;0),"Impact balistique","") &amp; IF(AND(H160&lt;0,vit_z&gt;=0),"Apogée","") &amp; IF(AND(Poussee=0,Q158&gt;0),"Fin de propulsion","") &amp; IF(AND(L160&gt;L_rampe,pos_xz&lt;=L_rampe),"Sortie de rampe","")</f>
        <v/>
      </c>
      <c r="Z159" s="424" t="str">
        <f aca="false">IF(ABS(t-T_para)&lt;pas/2,"Para","")</f>
        <v/>
      </c>
      <c r="AA159" s="425" t="str">
        <f aca="false">IF(ABS(t-T_satellite)&lt;pas/2,"Satellite","")</f>
        <v/>
      </c>
      <c r="AB159" s="413"/>
      <c r="AC159" s="421" t="e">
        <f aca="false">IF(ABS(t-ROUND(t,0))&lt;0.001,t,NA())</f>
        <v>#N/A</v>
      </c>
      <c r="AD159" s="426" t="e">
        <f aca="false">IF(ABS(t-ROUND(t,0))&lt;0.001,pos_x,NA())</f>
        <v>#N/A</v>
      </c>
      <c r="AE159" s="427" t="n">
        <f aca="false">IF(t&lt;T_para, pos_z, NA())</f>
        <v>92.5696452781936</v>
      </c>
      <c r="AF159" s="413"/>
      <c r="AG159" s="419" t="n">
        <f aca="false">IF(AND(L158&lt;L_rampe,Poussee&lt;Poids*SIN(M158)),0,(-W158+Poussee)/m-Poids*SIN(M158)/m)</f>
        <v>-13.5377394445469</v>
      </c>
      <c r="AH159" s="418" t="n">
        <f aca="false">IF(AND(L158&lt;L_rampe,Poussee&lt;Poids*SIN(M158)), g*SIN(M158), (-W158+Poussee)/m)</f>
        <v>-3.95212150903192</v>
      </c>
    </row>
    <row r="160" customFormat="false" ht="12" hidden="false" customHeight="false" outlineLevel="0" collapsed="false">
      <c r="A160" s="417" t="n">
        <f aca="false">IF(B159+0.01&lt;=T_ini+ROUNDUP(Temps_fin_propu,0), 0.01, IF(K159&gt;0, 0.1, 0.0001))</f>
        <v>0.01</v>
      </c>
      <c r="B160" s="418" t="n">
        <f aca="false">B159+pas</f>
        <v>1.56</v>
      </c>
      <c r="C160" s="402"/>
      <c r="D160" s="419" t="n">
        <f aca="false">IF(AND(L159&lt;L_rampe,Poussee&lt;Poids*SIN(M159)),0,(-W159+Poussee)/m*COS(M159)-U159/m*SIN(M159))</f>
        <v>-0.838395931302058</v>
      </c>
      <c r="E160" s="420" t="n">
        <f aca="false">IF(AND(L159&lt;L_rampe,Poussee&lt;Poids*SIN(M159)),0,(-W159+Poussee)/m*SIN(M159)+U159/m*COS(M159)-Poids/m)</f>
        <v>-13.6571031082933</v>
      </c>
      <c r="F160" s="418" t="n">
        <f aca="false">SQRT(acc_x^2+acc_z^2)</f>
        <v>13.6828130531765</v>
      </c>
      <c r="G160" s="419" t="n">
        <f aca="false">G159+acc_x*pas</f>
        <v>15.7291985380684</v>
      </c>
      <c r="H160" s="420" t="n">
        <f aca="false">H159+acc_z*pas</f>
        <v>72.077642185185</v>
      </c>
      <c r="I160" s="418" t="n">
        <f aca="false">SQRT(vit_x^2+vit_z^2)</f>
        <v>73.7739397729682</v>
      </c>
      <c r="J160" s="419" t="n">
        <f aca="false">J159+0.5*(vit_x+G159)*pas*(K159&gt;=0)</f>
        <v>18.7472661177764</v>
      </c>
      <c r="K160" s="420" t="n">
        <f aca="false">K159+0.5*(vit_z+H159)*pas</f>
        <v>93.2911045552008</v>
      </c>
      <c r="L160" s="418" t="n">
        <f aca="false">SQRT(pos_x^2+pos_z^2)</f>
        <v>95.1561357770488</v>
      </c>
      <c r="M160" s="419" t="n">
        <f aca="false">IF(AND(L159&gt;L_rampe,G160&gt;0),ATAN2(G160,H160),$M$4)</f>
        <v>1.35593897780114</v>
      </c>
      <c r="N160" s="418" t="n">
        <f aca="false">DEGREES(Beta)</f>
        <v>77.6895807052882</v>
      </c>
      <c r="O160" s="402"/>
      <c r="P160" s="421" t="n">
        <f aca="false">MATCH(t-pas/2-T_ini,CdP_t)</f>
        <v>13</v>
      </c>
      <c r="Q160" s="418" t="n">
        <f aca="false">(INDEX(CdP,2,i_P+1)-INDEX(CdP,2,i_P+0))/(INDEX(CdP,1,i_P+1)-INDEX(CdP,1,i_P+0))*(t-pas/2-T_ini-INDEX(CdP,1,i_P+0))+INDEX(CdP,2,i_P+0)</f>
        <v>0</v>
      </c>
      <c r="R160" s="419" t="n">
        <f aca="false">Poussee/(g*ISP)</f>
        <v>0</v>
      </c>
      <c r="S160" s="420" t="n">
        <f aca="false">S159-Débit*pas</f>
        <v>1.4843</v>
      </c>
      <c r="T160" s="418" t="n">
        <f aca="false">m*g</f>
        <v>14.560983</v>
      </c>
      <c r="U160" s="422" t="n">
        <f aca="false">IF(pos_xz&lt;L_rampe,Poids*COS(Beta),0)</f>
        <v>0</v>
      </c>
      <c r="V160" s="419" t="n">
        <f aca="false">Rho_moyen*(20000-Alt_rampe-pos_z)/(20000+Alt_rampe+pos_z)</f>
        <v>1.2136248994766</v>
      </c>
      <c r="W160" s="418" t="n">
        <f aca="false">1/2*Rho*Sref*Cx*vit_xz^2</f>
        <v>5.82249571187745</v>
      </c>
      <c r="X160" s="402"/>
      <c r="Y160" s="423" t="str">
        <f aca="false">IF(AND(pos_z&lt;=0,K159&gt;0),"Impact balistique","") &amp; IF(AND(H161&lt;0,vit_z&gt;=0),"Apogée","") &amp; IF(AND(Poussee=0,Q159&gt;0),"Fin de propulsion","") &amp; IF(AND(L161&gt;L_rampe,pos_xz&lt;=L_rampe),"Sortie de rampe","")</f>
        <v/>
      </c>
      <c r="Z160" s="424" t="str">
        <f aca="false">IF(ABS(t-T_para)&lt;pas/2,"Para","")</f>
        <v/>
      </c>
      <c r="AA160" s="425" t="str">
        <f aca="false">IF(ABS(t-T_satellite)&lt;pas/2,"Satellite","")</f>
        <v/>
      </c>
      <c r="AB160" s="413"/>
      <c r="AC160" s="421" t="e">
        <f aca="false">IF(ABS(t-ROUND(t,0))&lt;0.001,t,NA())</f>
        <v>#N/A</v>
      </c>
      <c r="AD160" s="426" t="e">
        <f aca="false">IF(ABS(t-ROUND(t,0))&lt;0.001,pos_x,NA())</f>
        <v>#N/A</v>
      </c>
      <c r="AE160" s="427" t="n">
        <f aca="false">IF(t&lt;T_para, pos_z, NA())</f>
        <v>93.2911045552008</v>
      </c>
      <c r="AF160" s="413"/>
      <c r="AG160" s="419" t="n">
        <f aca="false">IF(AND(L159&lt;L_rampe,Poussee&lt;Poids*SIN(M159)),0,(-W159+Poussee)/m-Poids*SIN(M159)/m)</f>
        <v>-13.5224276144962</v>
      </c>
      <c r="AH160" s="418" t="n">
        <f aca="false">IF(AND(L159&lt;L_rampe,Poussee&lt;Poids*SIN(M159)), g*SIN(M159), (-W159+Poussee)/m)</f>
        <v>-3.93739889564974</v>
      </c>
    </row>
    <row r="161" customFormat="false" ht="12" hidden="false" customHeight="false" outlineLevel="0" collapsed="false">
      <c r="A161" s="417" t="n">
        <f aca="false">IF(B160+0.01&lt;=T_ini+ROUNDUP(Temps_fin_propu,0), 0.01, IF(K160&gt;0, 0.1, 0.0001))</f>
        <v>0.01</v>
      </c>
      <c r="B161" s="418" t="n">
        <f aca="false">B160+pas</f>
        <v>1.57</v>
      </c>
      <c r="C161" s="402"/>
      <c r="D161" s="419" t="n">
        <f aca="false">IF(AND(L160&lt;L_rampe,Poussee&lt;Poids*SIN(M160)),0,(-W160+Poussee)/m*COS(M160)-U160/m*SIN(M160))</f>
        <v>-0.836355866045664</v>
      </c>
      <c r="E161" s="420" t="n">
        <f aca="false">IF(AND(L160&lt;L_rampe,Poussee&lt;Poids*SIN(M160)),0,(-W160+Poussee)/m*SIN(M160)+U160/m*COS(M160)-Poids/m)</f>
        <v>-13.6425257772303</v>
      </c>
      <c r="F161" s="418" t="n">
        <f aca="false">SQRT(acc_x^2+acc_z^2)</f>
        <v>13.6681381583982</v>
      </c>
      <c r="G161" s="419" t="n">
        <f aca="false">G160+acc_x*pas</f>
        <v>15.720834979408</v>
      </c>
      <c r="H161" s="420" t="n">
        <f aca="false">H160+acc_z*pas</f>
        <v>71.9412169274127</v>
      </c>
      <c r="I161" s="418" t="n">
        <f aca="false">SQRT(vit_x^2+vit_z^2)</f>
        <v>73.6388711581515</v>
      </c>
      <c r="J161" s="419" t="n">
        <f aca="false">J160+0.5*(vit_x+G160)*pas*(K160&gt;=0)</f>
        <v>18.9045162853638</v>
      </c>
      <c r="K161" s="420" t="n">
        <f aca="false">K160+0.5*(vit_z+H160)*pas</f>
        <v>94.0111988507638</v>
      </c>
      <c r="L161" s="418" t="n">
        <f aca="false">SQRT(pos_x^2+pos_z^2)</f>
        <v>95.8930980067984</v>
      </c>
      <c r="M161" s="419" t="n">
        <f aca="false">IF(AND(L160&gt;L_rampe,G161&gt;0),ATAN2(G161,H161),$M$4)</f>
        <v>1.35565494695458</v>
      </c>
      <c r="N161" s="418" t="n">
        <f aca="false">DEGREES(Beta)</f>
        <v>77.6733069365288</v>
      </c>
      <c r="O161" s="402"/>
      <c r="P161" s="421" t="n">
        <f aca="false">MATCH(t-pas/2-T_ini,CdP_t)</f>
        <v>13</v>
      </c>
      <c r="Q161" s="418" t="n">
        <f aca="false">(INDEX(CdP,2,i_P+1)-INDEX(CdP,2,i_P+0))/(INDEX(CdP,1,i_P+1)-INDEX(CdP,1,i_P+0))*(t-pas/2-T_ini-INDEX(CdP,1,i_P+0))+INDEX(CdP,2,i_P+0)</f>
        <v>0</v>
      </c>
      <c r="R161" s="419" t="n">
        <f aca="false">Poussee/(g*ISP)</f>
        <v>0</v>
      </c>
      <c r="S161" s="420" t="n">
        <f aca="false">S160-Débit*pas</f>
        <v>1.4843</v>
      </c>
      <c r="T161" s="418" t="n">
        <f aca="false">m*g</f>
        <v>14.560983</v>
      </c>
      <c r="U161" s="422" t="n">
        <f aca="false">IF(pos_xz&lt;L_rampe,Poids*COS(Beta),0)</f>
        <v>0</v>
      </c>
      <c r="V161" s="419" t="n">
        <f aca="false">Rho_moyen*(20000-Alt_rampe-pos_z)/(20000+Alt_rampe+pos_z)</f>
        <v>1.21353750827025</v>
      </c>
      <c r="W161" s="418" t="n">
        <f aca="false">1/2*Rho*Sref*Cx*vit_xz^2</f>
        <v>5.80077732500426</v>
      </c>
      <c r="X161" s="402"/>
      <c r="Y161" s="423" t="str">
        <f aca="false">IF(AND(pos_z&lt;=0,K160&gt;0),"Impact balistique","") &amp; IF(AND(H162&lt;0,vit_z&gt;=0),"Apogée","") &amp; IF(AND(Poussee=0,Q160&gt;0),"Fin de propulsion","") &amp; IF(AND(L162&gt;L_rampe,pos_xz&lt;=L_rampe),"Sortie de rampe","")</f>
        <v/>
      </c>
      <c r="Z161" s="424" t="str">
        <f aca="false">IF(ABS(t-T_para)&lt;pas/2,"Para","")</f>
        <v/>
      </c>
      <c r="AA161" s="425" t="str">
        <f aca="false">IF(ABS(t-T_satellite)&lt;pas/2,"Satellite","")</f>
        <v/>
      </c>
      <c r="AB161" s="413"/>
      <c r="AC161" s="421" t="e">
        <f aca="false">IF(ABS(t-ROUND(t,0))&lt;0.001,t,NA())</f>
        <v>#N/A</v>
      </c>
      <c r="AD161" s="426" t="e">
        <f aca="false">IF(ABS(t-ROUND(t,0))&lt;0.001,pos_x,NA())</f>
        <v>#N/A</v>
      </c>
      <c r="AE161" s="427" t="n">
        <f aca="false">IF(t&lt;T_para, pos_z, NA())</f>
        <v>94.0111988507638</v>
      </c>
      <c r="AF161" s="413"/>
      <c r="AG161" s="419" t="n">
        <f aca="false">IF(AND(L160&lt;L_rampe,Poussee&lt;Poids*SIN(M160)),0,(-W160+Poussee)/m-Poids*SIN(M160)/m)</f>
        <v>-13.5071585170242</v>
      </c>
      <c r="AH161" s="418" t="n">
        <f aca="false">IF(AND(L160&lt;L_rampe,Poussee&lt;Poids*SIN(M160)), g*SIN(M160), (-W160+Poussee)/m)</f>
        <v>-3.92272162762073</v>
      </c>
    </row>
    <row r="162" customFormat="false" ht="12" hidden="false" customHeight="false" outlineLevel="0" collapsed="false">
      <c r="A162" s="417" t="n">
        <f aca="false">IF(B161+0.01&lt;=T_ini+ROUNDUP(Temps_fin_propu,0), 0.01, IF(K161&gt;0, 0.1, 0.0001))</f>
        <v>0.01</v>
      </c>
      <c r="B162" s="418" t="n">
        <f aca="false">B161+pas</f>
        <v>1.58</v>
      </c>
      <c r="C162" s="402"/>
      <c r="D162" s="419" t="n">
        <f aca="false">IF(AND(L161&lt;L_rampe,Poussee&lt;Poids*SIN(M161)),0,(-W161+Poussee)/m*COS(M161)-U161/m*SIN(M161))</f>
        <v>-0.834320651538167</v>
      </c>
      <c r="E162" s="420" t="n">
        <f aca="false">IF(AND(L161&lt;L_rampe,Poussee&lt;Poids*SIN(M161)),0,(-W161+Poussee)/m*SIN(M161)+U161/m*COS(M161)-Poids/m)</f>
        <v>-13.6279933227432</v>
      </c>
      <c r="F162" s="418" t="n">
        <f aca="false">SQRT(acc_x^2+acc_z^2)</f>
        <v>13.6535084485387</v>
      </c>
      <c r="G162" s="419" t="n">
        <f aca="false">G161+acc_x*pas</f>
        <v>15.7124917728926</v>
      </c>
      <c r="H162" s="420" t="n">
        <f aca="false">H161+acc_z*pas</f>
        <v>71.8049369941853</v>
      </c>
      <c r="I162" s="418" t="n">
        <f aca="false">SQRT(vit_x^2+vit_z^2)</f>
        <v>73.5039548218471</v>
      </c>
      <c r="J162" s="419" t="n">
        <f aca="false">J161+0.5*(vit_x+G161)*pas*(K161&gt;=0)</f>
        <v>19.0616829191253</v>
      </c>
      <c r="K162" s="420" t="n">
        <f aca="false">K161+0.5*(vit_z+H161)*pas</f>
        <v>94.7299296203718</v>
      </c>
      <c r="L162" s="418" t="n">
        <f aca="false">SQRT(pos_x^2+pos_z^2)</f>
        <v>96.6287085787131</v>
      </c>
      <c r="M162" s="419" t="n">
        <f aca="false">IF(AND(L161&gt;L_rampe,G162&gt;0),ATAN2(G162,H162),$M$4)</f>
        <v>1.3553700244238</v>
      </c>
      <c r="N162" s="418" t="n">
        <f aca="false">DEGREES(Beta)</f>
        <v>77.656982078027</v>
      </c>
      <c r="O162" s="402"/>
      <c r="P162" s="421" t="n">
        <f aca="false">MATCH(t-pas/2-T_ini,CdP_t)</f>
        <v>13</v>
      </c>
      <c r="Q162" s="418" t="n">
        <f aca="false">(INDEX(CdP,2,i_P+1)-INDEX(CdP,2,i_P+0))/(INDEX(CdP,1,i_P+1)-INDEX(CdP,1,i_P+0))*(t-pas/2-T_ini-INDEX(CdP,1,i_P+0))+INDEX(CdP,2,i_P+0)</f>
        <v>0</v>
      </c>
      <c r="R162" s="419" t="n">
        <f aca="false">Poussee/(g*ISP)</f>
        <v>0</v>
      </c>
      <c r="S162" s="420" t="n">
        <f aca="false">S161-Débit*pas</f>
        <v>1.4843</v>
      </c>
      <c r="T162" s="418" t="n">
        <f aca="false">m*g</f>
        <v>14.560983</v>
      </c>
      <c r="U162" s="422" t="n">
        <f aca="false">IF(pos_xz&lt;L_rampe,Poids*COS(Beta),0)</f>
        <v>0</v>
      </c>
      <c r="V162" s="419" t="n">
        <f aca="false">Rho_moyen*(20000-Alt_rampe-pos_z)/(20000+Alt_rampe+pos_z)</f>
        <v>1.21345028878802</v>
      </c>
      <c r="W162" s="418" t="n">
        <f aca="false">1/2*Rho*Sref*Cx*vit_xz^2</f>
        <v>5.77912579718243</v>
      </c>
      <c r="X162" s="402"/>
      <c r="Y162" s="423" t="str">
        <f aca="false">IF(AND(pos_z&lt;=0,K161&gt;0),"Impact balistique","") &amp; IF(AND(H163&lt;0,vit_z&gt;=0),"Apogée","") &amp; IF(AND(Poussee=0,Q161&gt;0),"Fin de propulsion","") &amp; IF(AND(L163&gt;L_rampe,pos_xz&lt;=L_rampe),"Sortie de rampe","")</f>
        <v/>
      </c>
      <c r="Z162" s="424" t="str">
        <f aca="false">IF(ABS(t-T_para)&lt;pas/2,"Para","")</f>
        <v/>
      </c>
      <c r="AA162" s="425" t="str">
        <f aca="false">IF(ABS(t-T_satellite)&lt;pas/2,"Satellite","")</f>
        <v/>
      </c>
      <c r="AB162" s="413"/>
      <c r="AC162" s="421" t="e">
        <f aca="false">IF(ABS(t-ROUND(t,0))&lt;0.001,t,NA())</f>
        <v>#N/A</v>
      </c>
      <c r="AD162" s="426" t="e">
        <f aca="false">IF(ABS(t-ROUND(t,0))&lt;0.001,pos_x,NA())</f>
        <v>#N/A</v>
      </c>
      <c r="AE162" s="427" t="n">
        <f aca="false">IF(t&lt;T_para, pos_z, NA())</f>
        <v>94.7299296203718</v>
      </c>
      <c r="AF162" s="413"/>
      <c r="AG162" s="419" t="n">
        <f aca="false">IF(AND(L161&lt;L_rampe,Poussee&lt;Poids*SIN(M161)),0,(-W161+Poussee)/m-Poids*SIN(M161)/m)</f>
        <v>-13.4919319861079</v>
      </c>
      <c r="AH162" s="418" t="n">
        <f aca="false">IF(AND(L161&lt;L_rampe,Poussee&lt;Poids*SIN(M161)), g*SIN(M161), (-W161+Poussee)/m)</f>
        <v>-3.90808955400139</v>
      </c>
    </row>
    <row r="163" customFormat="false" ht="12" hidden="false" customHeight="false" outlineLevel="0" collapsed="false">
      <c r="A163" s="417" t="n">
        <f aca="false">IF(B162+0.01&lt;=T_ini+ROUNDUP(Temps_fin_propu,0), 0.01, IF(K162&gt;0, 0.1, 0.0001))</f>
        <v>0.01</v>
      </c>
      <c r="B163" s="418" t="n">
        <f aca="false">B162+pas</f>
        <v>1.59</v>
      </c>
      <c r="C163" s="402"/>
      <c r="D163" s="419" t="n">
        <f aca="false">IF(AND(L162&lt;L_rampe,Poussee&lt;Poids*SIN(M162)),0,(-W162+Poussee)/m*COS(M162)-U162/m*SIN(M162))</f>
        <v>-0.832290269726683</v>
      </c>
      <c r="E163" s="420" t="n">
        <f aca="false">IF(AND(L162&lt;L_rampe,Poussee&lt;Poids*SIN(M162)),0,(-W162+Poussee)/m*SIN(M162)+U162/m*COS(M162)-Poids/m)</f>
        <v>-13.6135055955734</v>
      </c>
      <c r="F163" s="418" t="n">
        <f aca="false">SQRT(acc_x^2+acc_z^2)</f>
        <v>13.6389237732964</v>
      </c>
      <c r="G163" s="419" t="n">
        <f aca="false">G162+acc_x*pas</f>
        <v>15.7041688701953</v>
      </c>
      <c r="H163" s="420" t="n">
        <f aca="false">H162+acc_z*pas</f>
        <v>71.6688019382296</v>
      </c>
      <c r="I163" s="418" t="n">
        <f aca="false">SQRT(vit_x^2+vit_z^2)</f>
        <v>73.3691903401202</v>
      </c>
      <c r="J163" s="419" t="n">
        <f aca="false">J162+0.5*(vit_x+G162)*pas*(K162&gt;=0)</f>
        <v>19.2187662223407</v>
      </c>
      <c r="K163" s="420" t="n">
        <f aca="false">K162+0.5*(vit_z+H162)*pas</f>
        <v>95.4472983150339</v>
      </c>
      <c r="L163" s="418" t="n">
        <f aca="false">SQRT(pos_x^2+pos_z^2)</f>
        <v>97.3629689910289</v>
      </c>
      <c r="M163" s="419" t="n">
        <f aca="false">IF(AND(L162&gt;L_rampe,G163&gt;0),ATAN2(G163,H163),$M$4)</f>
        <v>1.35508420637932</v>
      </c>
      <c r="N163" s="418" t="n">
        <f aca="false">DEGREES(Beta)</f>
        <v>77.6406059103696</v>
      </c>
      <c r="O163" s="402"/>
      <c r="P163" s="421" t="n">
        <f aca="false">MATCH(t-pas/2-T_ini,CdP_t)</f>
        <v>13</v>
      </c>
      <c r="Q163" s="418" t="n">
        <f aca="false">(INDEX(CdP,2,i_P+1)-INDEX(CdP,2,i_P+0))/(INDEX(CdP,1,i_P+1)-INDEX(CdP,1,i_P+0))*(t-pas/2-T_ini-INDEX(CdP,1,i_P+0))+INDEX(CdP,2,i_P+0)</f>
        <v>0</v>
      </c>
      <c r="R163" s="419" t="n">
        <f aca="false">Poussee/(g*ISP)</f>
        <v>0</v>
      </c>
      <c r="S163" s="420" t="n">
        <f aca="false">S162-Débit*pas</f>
        <v>1.4843</v>
      </c>
      <c r="T163" s="418" t="n">
        <f aca="false">m*g</f>
        <v>14.560983</v>
      </c>
      <c r="U163" s="422" t="n">
        <f aca="false">IF(pos_xz&lt;L_rampe,Poids*COS(Beta),0)</f>
        <v>0</v>
      </c>
      <c r="V163" s="419" t="n">
        <f aca="false">Rho_moyen*(20000-Alt_rampe-pos_z)/(20000+Alt_rampe+pos_z)</f>
        <v>1.21336324081766</v>
      </c>
      <c r="W163" s="418" t="n">
        <f aca="false">1/2*Rho*Sref*Cx*vit_xz^2</f>
        <v>5.7575409064301</v>
      </c>
      <c r="X163" s="402"/>
      <c r="Y163" s="423" t="str">
        <f aca="false">IF(AND(pos_z&lt;=0,K162&gt;0),"Impact balistique","") &amp; IF(AND(H164&lt;0,vit_z&gt;=0),"Apogée","") &amp; IF(AND(Poussee=0,Q162&gt;0),"Fin de propulsion","") &amp; IF(AND(L164&gt;L_rampe,pos_xz&lt;=L_rampe),"Sortie de rampe","")</f>
        <v/>
      </c>
      <c r="Z163" s="424" t="str">
        <f aca="false">IF(ABS(t-T_para)&lt;pas/2,"Para","")</f>
        <v/>
      </c>
      <c r="AA163" s="425" t="str">
        <f aca="false">IF(ABS(t-T_satellite)&lt;pas/2,"Satellite","")</f>
        <v/>
      </c>
      <c r="AB163" s="413"/>
      <c r="AC163" s="421" t="e">
        <f aca="false">IF(ABS(t-ROUND(t,0))&lt;0.001,t,NA())</f>
        <v>#N/A</v>
      </c>
      <c r="AD163" s="426" t="e">
        <f aca="false">IF(ABS(t-ROUND(t,0))&lt;0.001,pos_x,NA())</f>
        <v>#N/A</v>
      </c>
      <c r="AE163" s="427" t="n">
        <f aca="false">IF(t&lt;T_para, pos_z, NA())</f>
        <v>95.4472983150339</v>
      </c>
      <c r="AF163" s="413"/>
      <c r="AG163" s="419" t="n">
        <f aca="false">IF(AND(L162&lt;L_rampe,Poussee&lt;Poids*SIN(M162)),0,(-W162+Poussee)/m-Poids*SIN(M162)/m)</f>
        <v>-13.4767478563133</v>
      </c>
      <c r="AH163" s="418" t="n">
        <f aca="false">IF(AND(L162&lt;L_rampe,Poussee&lt;Poids*SIN(M162)), g*SIN(M162), (-W162+Poussee)/m)</f>
        <v>-3.8935025245452</v>
      </c>
    </row>
    <row r="164" customFormat="false" ht="12" hidden="false" customHeight="false" outlineLevel="0" collapsed="false">
      <c r="A164" s="417" t="n">
        <f aca="false">IF(B163+0.01&lt;=T_ini+ROUNDUP(Temps_fin_propu,0), 0.01, IF(K163&gt;0, 0.1, 0.0001))</f>
        <v>0.01</v>
      </c>
      <c r="B164" s="418" t="n">
        <f aca="false">B163+pas</f>
        <v>1.6</v>
      </c>
      <c r="C164" s="402"/>
      <c r="D164" s="419" t="n">
        <f aca="false">IF(AND(L163&lt;L_rampe,Poussee&lt;Poids*SIN(M163)),0,(-W163+Poussee)/m*COS(M163)-U163/m*SIN(M163))</f>
        <v>-0.83026470263936</v>
      </c>
      <c r="E164" s="420" t="n">
        <f aca="false">IF(AND(L163&lt;L_rampe,Poussee&lt;Poids*SIN(M163)),0,(-W163+Poussee)/m*SIN(M163)+U163/m*COS(M163)-Poids/m)</f>
        <v>-13.5990624471503</v>
      </c>
      <c r="F164" s="418" t="n">
        <f aca="false">SQRT(acc_x^2+acc_z^2)</f>
        <v>13.6243839830629</v>
      </c>
      <c r="G164" s="419" t="n">
        <f aca="false">G163+acc_x*pas</f>
        <v>15.6958662231689</v>
      </c>
      <c r="H164" s="420" t="n">
        <f aca="false">H163+acc_z*pas</f>
        <v>71.5328113137581</v>
      </c>
      <c r="I164" s="418" t="n">
        <f aca="false">SQRT(vit_x^2+vit_z^2)</f>
        <v>73.2345772906851</v>
      </c>
      <c r="J164" s="419" t="n">
        <f aca="false">J163+0.5*(vit_x+G163)*pas*(K163&gt;=0)</f>
        <v>19.3757663978076</v>
      </c>
      <c r="K164" s="420" t="n">
        <f aca="false">K163+0.5*(vit_z+H163)*pas</f>
        <v>96.1633063812938</v>
      </c>
      <c r="L164" s="418" t="n">
        <f aca="false">SQRT(pos_x^2+pos_z^2)</f>
        <v>98.0958807375977</v>
      </c>
      <c r="M164" s="419" t="n">
        <f aca="false">IF(AND(L163&gt;L_rampe,G164&gt;0),ATAN2(G164,H164),$M$4)</f>
        <v>1.35479748896967</v>
      </c>
      <c r="N164" s="418" t="n">
        <f aca="false">DEGREES(Beta)</f>
        <v>77.6241782128836</v>
      </c>
      <c r="O164" s="402"/>
      <c r="P164" s="421" t="n">
        <f aca="false">MATCH(t-pas/2-T_ini,CdP_t)</f>
        <v>13</v>
      </c>
      <c r="Q164" s="418" t="n">
        <f aca="false">(INDEX(CdP,2,i_P+1)-INDEX(CdP,2,i_P+0))/(INDEX(CdP,1,i_P+1)-INDEX(CdP,1,i_P+0))*(t-pas/2-T_ini-INDEX(CdP,1,i_P+0))+INDEX(CdP,2,i_P+0)</f>
        <v>0</v>
      </c>
      <c r="R164" s="419" t="n">
        <f aca="false">Poussee/(g*ISP)</f>
        <v>0</v>
      </c>
      <c r="S164" s="420" t="n">
        <f aca="false">S163-Débit*pas</f>
        <v>1.4843</v>
      </c>
      <c r="T164" s="418" t="n">
        <f aca="false">m*g</f>
        <v>14.560983</v>
      </c>
      <c r="U164" s="422" t="n">
        <f aca="false">IF(pos_xz&lt;L_rampe,Poids*COS(Beta),0)</f>
        <v>0</v>
      </c>
      <c r="V164" s="419" t="n">
        <f aca="false">Rho_moyen*(20000-Alt_rampe-pos_z)/(20000+Alt_rampe+pos_z)</f>
        <v>1.21327636414761</v>
      </c>
      <c r="W164" s="418" t="n">
        <f aca="false">1/2*Rho*Sref*Cx*vit_xz^2</f>
        <v>5.73602243178901</v>
      </c>
      <c r="X164" s="402"/>
      <c r="Y164" s="423" t="str">
        <f aca="false">IF(AND(pos_z&lt;=0,K163&gt;0),"Impact balistique","") &amp; IF(AND(H165&lt;0,vit_z&gt;=0),"Apogée","") &amp; IF(AND(Poussee=0,Q163&gt;0),"Fin de propulsion","") &amp; IF(AND(L165&gt;L_rampe,pos_xz&lt;=L_rampe),"Sortie de rampe","")</f>
        <v/>
      </c>
      <c r="Z164" s="424" t="str">
        <f aca="false">IF(ABS(t-T_para)&lt;pas/2,"Para","")</f>
        <v/>
      </c>
      <c r="AA164" s="425" t="str">
        <f aca="false">IF(ABS(t-T_satellite)&lt;pas/2,"Satellite","")</f>
        <v/>
      </c>
      <c r="AB164" s="413"/>
      <c r="AC164" s="421" t="e">
        <f aca="false">IF(ABS(t-ROUND(t,0))&lt;0.001,t,NA())</f>
        <v>#N/A</v>
      </c>
      <c r="AD164" s="426" t="e">
        <f aca="false">IF(ABS(t-ROUND(t,0))&lt;0.001,pos_x,NA())</f>
        <v>#N/A</v>
      </c>
      <c r="AE164" s="427" t="n">
        <f aca="false">IF(t&lt;T_para, pos_z, NA())</f>
        <v>96.1633063812938</v>
      </c>
      <c r="AF164" s="413"/>
      <c r="AG164" s="419" t="n">
        <f aca="false">IF(AND(L163&lt;L_rampe,Poussee&lt;Poids*SIN(M163)),0,(-W163+Poussee)/m-Poids*SIN(M163)/m)</f>
        <v>-13.46160596279</v>
      </c>
      <c r="AH164" s="418" t="n">
        <f aca="false">IF(AND(L163&lt;L_rampe,Poussee&lt;Poids*SIN(M163)), g*SIN(M163), (-W163+Poussee)/m)</f>
        <v>-3.87896038969892</v>
      </c>
    </row>
    <row r="165" customFormat="false" ht="12" hidden="false" customHeight="false" outlineLevel="0" collapsed="false">
      <c r="A165" s="417" t="n">
        <f aca="false">IF(B164+0.01&lt;=T_ini+ROUNDUP(Temps_fin_propu,0), 0.01, IF(K164&gt;0, 0.1, 0.0001))</f>
        <v>0.01</v>
      </c>
      <c r="B165" s="418" t="n">
        <f aca="false">B164+pas</f>
        <v>1.61</v>
      </c>
      <c r="C165" s="402"/>
      <c r="D165" s="419" t="n">
        <f aca="false">IF(AND(L164&lt;L_rampe,Poussee&lt;Poids*SIN(M164)),0,(-W164+Poussee)/m*COS(M164)-U164/m*SIN(M164))</f>
        <v>-0.828243932384957</v>
      </c>
      <c r="E165" s="420" t="n">
        <f aca="false">IF(AND(L164&lt;L_rampe,Poussee&lt;Poids*SIN(M164)),0,(-W164+Poussee)/m*SIN(M164)+U164/m*COS(M164)-Poids/m)</f>
        <v>-13.5846637295878</v>
      </c>
      <c r="F165" s="418" t="n">
        <f aca="false">SQRT(acc_x^2+acc_z^2)</f>
        <v>13.609888928919</v>
      </c>
      <c r="G165" s="419" t="n">
        <f aca="false">G164+acc_x*pas</f>
        <v>15.6875837838451</v>
      </c>
      <c r="H165" s="420" t="n">
        <f aca="false">H164+acc_z*pas</f>
        <v>71.3969646764622</v>
      </c>
      <c r="I165" s="418" t="n">
        <f aca="false">SQRT(vit_x^2+vit_z^2)</f>
        <v>73.1001152528992</v>
      </c>
      <c r="J165" s="419" t="n">
        <f aca="false">J164+0.5*(vit_x+G164)*pas*(K164&gt;=0)</f>
        <v>19.5326836478426</v>
      </c>
      <c r="K165" s="420" t="n">
        <f aca="false">K164+0.5*(vit_z+H164)*pas</f>
        <v>96.8779552612449</v>
      </c>
      <c r="L165" s="418" t="n">
        <f aca="false">SQRT(pos_x^2+pos_z^2)</f>
        <v>98.8274453079026</v>
      </c>
      <c r="M165" s="419" t="n">
        <f aca="false">IF(AND(L164&gt;L_rampe,G165&gt;0),ATAN2(G165,H165),$M$4)</f>
        <v>1.35450986832123</v>
      </c>
      <c r="N165" s="418" t="n">
        <f aca="false">DEGREES(Beta)</f>
        <v>77.6076987636274</v>
      </c>
      <c r="O165" s="402"/>
      <c r="P165" s="421" t="n">
        <f aca="false">MATCH(t-pas/2-T_ini,CdP_t)</f>
        <v>13</v>
      </c>
      <c r="Q165" s="418" t="n">
        <f aca="false">(INDEX(CdP,2,i_P+1)-INDEX(CdP,2,i_P+0))/(INDEX(CdP,1,i_P+1)-INDEX(CdP,1,i_P+0))*(t-pas/2-T_ini-INDEX(CdP,1,i_P+0))+INDEX(CdP,2,i_P+0)</f>
        <v>0</v>
      </c>
      <c r="R165" s="419" t="n">
        <f aca="false">Poussee/(g*ISP)</f>
        <v>0</v>
      </c>
      <c r="S165" s="420" t="n">
        <f aca="false">S164-Débit*pas</f>
        <v>1.4843</v>
      </c>
      <c r="T165" s="418" t="n">
        <f aca="false">m*g</f>
        <v>14.560983</v>
      </c>
      <c r="U165" s="422" t="n">
        <f aca="false">IF(pos_xz&lt;L_rampe,Poids*COS(Beta),0)</f>
        <v>0</v>
      </c>
      <c r="V165" s="419" t="n">
        <f aca="false">Rho_moyen*(20000-Alt_rampe-pos_z)/(20000+Alt_rampe+pos_z)</f>
        <v>1.21318965856695</v>
      </c>
      <c r="W165" s="418" t="n">
        <f aca="false">1/2*Rho*Sref*Cx*vit_xz^2</f>
        <v>5.71457015331905</v>
      </c>
      <c r="X165" s="402"/>
      <c r="Y165" s="423" t="str">
        <f aca="false">IF(AND(pos_z&lt;=0,K164&gt;0),"Impact balistique","") &amp; IF(AND(H166&lt;0,vit_z&gt;=0),"Apogée","") &amp; IF(AND(Poussee=0,Q164&gt;0),"Fin de propulsion","") &amp; IF(AND(L166&gt;L_rampe,pos_xz&lt;=L_rampe),"Sortie de rampe","")</f>
        <v/>
      </c>
      <c r="Z165" s="424" t="str">
        <f aca="false">IF(ABS(t-T_para)&lt;pas/2,"Para","")</f>
        <v/>
      </c>
      <c r="AA165" s="425" t="str">
        <f aca="false">IF(ABS(t-T_satellite)&lt;pas/2,"Satellite","")</f>
        <v/>
      </c>
      <c r="AB165" s="413"/>
      <c r="AC165" s="421" t="e">
        <f aca="false">IF(ABS(t-ROUND(t,0))&lt;0.001,t,NA())</f>
        <v>#N/A</v>
      </c>
      <c r="AD165" s="426" t="e">
        <f aca="false">IF(ABS(t-ROUND(t,0))&lt;0.001,pos_x,NA())</f>
        <v>#N/A</v>
      </c>
      <c r="AE165" s="427" t="n">
        <f aca="false">IF(t&lt;T_para, pos_z, NA())</f>
        <v>96.8779552612449</v>
      </c>
      <c r="AF165" s="413"/>
      <c r="AG165" s="419" t="n">
        <f aca="false">IF(AND(L164&lt;L_rampe,Poussee&lt;Poids*SIN(M164)),0,(-W164+Poussee)/m-Poids*SIN(M164)/m)</f>
        <v>-13.4465061412675</v>
      </c>
      <c r="AH165" s="418" t="n">
        <f aca="false">IF(AND(L164&lt;L_rampe,Poussee&lt;Poids*SIN(M164)), g*SIN(M164), (-W164+Poussee)/m)</f>
        <v>-3.86446300059895</v>
      </c>
    </row>
    <row r="166" customFormat="false" ht="12" hidden="false" customHeight="false" outlineLevel="0" collapsed="false">
      <c r="A166" s="417" t="n">
        <f aca="false">IF(B165+0.01&lt;=T_ini+ROUNDUP(Temps_fin_propu,0), 0.01, IF(K165&gt;0, 0.1, 0.0001))</f>
        <v>0.01</v>
      </c>
      <c r="B166" s="418" t="n">
        <f aca="false">B165+pas</f>
        <v>1.62</v>
      </c>
      <c r="C166" s="402"/>
      <c r="D166" s="419" t="n">
        <f aca="false">IF(AND(L165&lt;L_rampe,Poussee&lt;Poids*SIN(M165)),0,(-W165+Poussee)/m*COS(M165)-U165/m*SIN(M165))</f>
        <v>-0.826227941152415</v>
      </c>
      <c r="E166" s="420" t="n">
        <f aca="false">IF(AND(L165&lt;L_rampe,Poussee&lt;Poids*SIN(M165)),0,(-W165+Poussee)/m*SIN(M165)+U165/m*COS(M165)-Poids/m)</f>
        <v>-13.5703092956809</v>
      </c>
      <c r="F166" s="418" t="n">
        <f aca="false">SQRT(acc_x^2+acc_z^2)</f>
        <v>13.5954384626309</v>
      </c>
      <c r="G166" s="419" t="n">
        <f aca="false">G165+acc_x*pas</f>
        <v>15.6793215044336</v>
      </c>
      <c r="H166" s="420" t="n">
        <f aca="false">H165+acc_z*pas</f>
        <v>71.2612615835054</v>
      </c>
      <c r="I166" s="418" t="n">
        <f aca="false">SQRT(vit_x^2+vit_z^2)</f>
        <v>72.9658038077576</v>
      </c>
      <c r="J166" s="419" t="n">
        <f aca="false">J165+0.5*(vit_x+G165)*pas*(K165&gt;=0)</f>
        <v>19.689518174284</v>
      </c>
      <c r="K166" s="420" t="n">
        <f aca="false">K165+0.5*(vit_z+H165)*pas</f>
        <v>97.5912463925448</v>
      </c>
      <c r="L166" s="418" t="n">
        <f aca="false">SQRT(pos_x^2+pos_z^2)</f>
        <v>99.5576641870722</v>
      </c>
      <c r="M166" s="419" t="n">
        <f aca="false">IF(AND(L165&gt;L_rampe,G166&gt;0),ATAN2(G166,H166),$M$4)</f>
        <v>1.35422134053811</v>
      </c>
      <c r="N166" s="418" t="n">
        <f aca="false">DEGREES(Beta)</f>
        <v>77.5911673393821</v>
      </c>
      <c r="O166" s="402"/>
      <c r="P166" s="421" t="n">
        <f aca="false">MATCH(t-pas/2-T_ini,CdP_t)</f>
        <v>13</v>
      </c>
      <c r="Q166" s="418" t="n">
        <f aca="false">(INDEX(CdP,2,i_P+1)-INDEX(CdP,2,i_P+0))/(INDEX(CdP,1,i_P+1)-INDEX(CdP,1,i_P+0))*(t-pas/2-T_ini-INDEX(CdP,1,i_P+0))+INDEX(CdP,2,i_P+0)</f>
        <v>0</v>
      </c>
      <c r="R166" s="419" t="n">
        <f aca="false">Poussee/(g*ISP)</f>
        <v>0</v>
      </c>
      <c r="S166" s="420" t="n">
        <f aca="false">S165-Débit*pas</f>
        <v>1.4843</v>
      </c>
      <c r="T166" s="418" t="n">
        <f aca="false">m*g</f>
        <v>14.560983</v>
      </c>
      <c r="U166" s="422" t="n">
        <f aca="false">IF(pos_xz&lt;L_rampe,Poids*COS(Beta),0)</f>
        <v>0</v>
      </c>
      <c r="V166" s="419" t="n">
        <f aca="false">Rho_moyen*(20000-Alt_rampe-pos_z)/(20000+Alt_rampe+pos_z)</f>
        <v>1.21310312386542</v>
      </c>
      <c r="W166" s="418" t="n">
        <f aca="false">1/2*Rho*Sref*Cx*vit_xz^2</f>
        <v>5.69318385209291</v>
      </c>
      <c r="X166" s="402"/>
      <c r="Y166" s="423" t="str">
        <f aca="false">IF(AND(pos_z&lt;=0,K165&gt;0),"Impact balistique","") &amp; IF(AND(H167&lt;0,vit_z&gt;=0),"Apogée","") &amp; IF(AND(Poussee=0,Q165&gt;0),"Fin de propulsion","") &amp; IF(AND(L167&gt;L_rampe,pos_xz&lt;=L_rampe),"Sortie de rampe","")</f>
        <v/>
      </c>
      <c r="Z166" s="424" t="str">
        <f aca="false">IF(ABS(t-T_para)&lt;pas/2,"Para","")</f>
        <v/>
      </c>
      <c r="AA166" s="425" t="str">
        <f aca="false">IF(ABS(t-T_satellite)&lt;pas/2,"Satellite","")</f>
        <v/>
      </c>
      <c r="AB166" s="413"/>
      <c r="AC166" s="421" t="e">
        <f aca="false">IF(ABS(t-ROUND(t,0))&lt;0.001,t,NA())</f>
        <v>#N/A</v>
      </c>
      <c r="AD166" s="426" t="e">
        <f aca="false">IF(ABS(t-ROUND(t,0))&lt;0.001,pos_x,NA())</f>
        <v>#N/A</v>
      </c>
      <c r="AE166" s="427" t="n">
        <f aca="false">IF(t&lt;T_para, pos_z, NA())</f>
        <v>97.5912463925448</v>
      </c>
      <c r="AF166" s="413"/>
      <c r="AG166" s="419" t="n">
        <f aca="false">IF(AND(L165&lt;L_rampe,Poussee&lt;Poids*SIN(M165)),0,(-W165+Poussee)/m-Poids*SIN(M165)/m)</f>
        <v>-13.4314482280496</v>
      </c>
      <c r="AH166" s="418" t="n">
        <f aca="false">IF(AND(L165&lt;L_rampe,Poussee&lt;Poids*SIN(M165)), g*SIN(M165), (-W165+Poussee)/m)</f>
        <v>-3.85001020906762</v>
      </c>
    </row>
    <row r="167" customFormat="false" ht="12" hidden="false" customHeight="false" outlineLevel="0" collapsed="false">
      <c r="A167" s="417" t="n">
        <f aca="false">IF(B166+0.01&lt;=T_ini+ROUNDUP(Temps_fin_propu,0), 0.01, IF(K166&gt;0, 0.1, 0.0001))</f>
        <v>0.01</v>
      </c>
      <c r="B167" s="418" t="n">
        <f aca="false">B166+pas</f>
        <v>1.63</v>
      </c>
      <c r="C167" s="402"/>
      <c r="D167" s="419" t="n">
        <f aca="false">IF(AND(L166&lt;L_rampe,Poussee&lt;Poids*SIN(M166)),0,(-W166+Poussee)/m*COS(M166)-U166/m*SIN(M166))</f>
        <v>-0.824216711210446</v>
      </c>
      <c r="E167" s="420" t="n">
        <f aca="false">IF(AND(L166&lt;L_rampe,Poussee&lt;Poids*SIN(M166)),0,(-W166+Poussee)/m*SIN(M166)+U166/m*COS(M166)-Poids/m)</f>
        <v>-13.5559989989016</v>
      </c>
      <c r="F167" s="418" t="n">
        <f aca="false">SQRT(acc_x^2+acc_z^2)</f>
        <v>13.581032436647</v>
      </c>
      <c r="G167" s="419" t="n">
        <f aca="false">G166+acc_x*pas</f>
        <v>15.6710793373215</v>
      </c>
      <c r="H167" s="420" t="n">
        <f aca="false">H166+acc_z*pas</f>
        <v>71.1257015935163</v>
      </c>
      <c r="I167" s="418" t="n">
        <f aca="false">SQRT(vit_x^2+vit_z^2)</f>
        <v>72.831642537887</v>
      </c>
      <c r="J167" s="419" t="n">
        <f aca="false">J166+0.5*(vit_x+G166)*pas*(K166&gt;=0)</f>
        <v>19.8462701784928</v>
      </c>
      <c r="K167" s="420" t="n">
        <f aca="false">K166+0.5*(vit_z+H166)*pas</f>
        <v>98.3031812084299</v>
      </c>
      <c r="L167" s="418" t="n">
        <f aca="false">SQRT(pos_x^2+pos_z^2)</f>
        <v>100.286538855896</v>
      </c>
      <c r="M167" s="419" t="n">
        <f aca="false">IF(AND(L166&gt;L_rampe,G167&gt;0),ATAN2(G167,H167),$M$4)</f>
        <v>1.35393190170193</v>
      </c>
      <c r="N167" s="418" t="n">
        <f aca="false">DEGREES(Beta)</f>
        <v>77.5745837156422</v>
      </c>
      <c r="O167" s="402"/>
      <c r="P167" s="421" t="n">
        <f aca="false">MATCH(t-pas/2-T_ini,CdP_t)</f>
        <v>13</v>
      </c>
      <c r="Q167" s="418" t="n">
        <f aca="false">(INDEX(CdP,2,i_P+1)-INDEX(CdP,2,i_P+0))/(INDEX(CdP,1,i_P+1)-INDEX(CdP,1,i_P+0))*(t-pas/2-T_ini-INDEX(CdP,1,i_P+0))+INDEX(CdP,2,i_P+0)</f>
        <v>0</v>
      </c>
      <c r="R167" s="419" t="n">
        <f aca="false">Poussee/(g*ISP)</f>
        <v>0</v>
      </c>
      <c r="S167" s="420" t="n">
        <f aca="false">S166-Débit*pas</f>
        <v>1.4843</v>
      </c>
      <c r="T167" s="418" t="n">
        <f aca="false">m*g</f>
        <v>14.560983</v>
      </c>
      <c r="U167" s="422" t="n">
        <f aca="false">IF(pos_xz&lt;L_rampe,Poids*COS(Beta),0)</f>
        <v>0</v>
      </c>
      <c r="V167" s="419" t="n">
        <f aca="false">Rho_moyen*(20000-Alt_rampe-pos_z)/(20000+Alt_rampe+pos_z)</f>
        <v>1.21301675983345</v>
      </c>
      <c r="W167" s="418" t="n">
        <f aca="false">1/2*Rho*Sref*Cx*vit_xz^2</f>
        <v>5.67186331019064</v>
      </c>
      <c r="X167" s="402"/>
      <c r="Y167" s="423" t="str">
        <f aca="false">IF(AND(pos_z&lt;=0,K166&gt;0),"Impact balistique","") &amp; IF(AND(H168&lt;0,vit_z&gt;=0),"Apogée","") &amp; IF(AND(Poussee=0,Q166&gt;0),"Fin de propulsion","") &amp; IF(AND(L168&gt;L_rampe,pos_xz&lt;=L_rampe),"Sortie de rampe","")</f>
        <v/>
      </c>
      <c r="Z167" s="424" t="str">
        <f aca="false">IF(ABS(t-T_para)&lt;pas/2,"Para","")</f>
        <v/>
      </c>
      <c r="AA167" s="425" t="str">
        <f aca="false">IF(ABS(t-T_satellite)&lt;pas/2,"Satellite","")</f>
        <v/>
      </c>
      <c r="AB167" s="413"/>
      <c r="AC167" s="421" t="e">
        <f aca="false">IF(ABS(t-ROUND(t,0))&lt;0.001,t,NA())</f>
        <v>#N/A</v>
      </c>
      <c r="AD167" s="426" t="e">
        <f aca="false">IF(ABS(t-ROUND(t,0))&lt;0.001,pos_x,NA())</f>
        <v>#N/A</v>
      </c>
      <c r="AE167" s="427" t="n">
        <f aca="false">IF(t&lt;T_para, pos_z, NA())</f>
        <v>98.3031812084299</v>
      </c>
      <c r="AF167" s="413"/>
      <c r="AG167" s="419" t="n">
        <f aca="false">IF(AND(L166&lt;L_rampe,Poussee&lt;Poids*SIN(M166)),0,(-W166+Poussee)/m-Poids*SIN(M166)/m)</f>
        <v>-13.4164320600108</v>
      </c>
      <c r="AH167" s="418" t="n">
        <f aca="false">IF(AND(L166&lt;L_rampe,Poussee&lt;Poids*SIN(M166)), g*SIN(M166), (-W166+Poussee)/m)</f>
        <v>-3.83560186760959</v>
      </c>
    </row>
    <row r="168" customFormat="false" ht="12" hidden="false" customHeight="false" outlineLevel="0" collapsed="false">
      <c r="A168" s="417" t="n">
        <f aca="false">IF(B167+0.01&lt;=T_ini+ROUNDUP(Temps_fin_propu,0), 0.01, IF(K167&gt;0, 0.1, 0.0001))</f>
        <v>0.01</v>
      </c>
      <c r="B168" s="418" t="n">
        <f aca="false">B167+pas</f>
        <v>1.64</v>
      </c>
      <c r="C168" s="402"/>
      <c r="D168" s="419" t="n">
        <f aca="false">IF(AND(L167&lt;L_rampe,Poussee&lt;Poids*SIN(M167)),0,(-W167+Poussee)/m*COS(M167)-U167/m*SIN(M167))</f>
        <v>-0.822210224907113</v>
      </c>
      <c r="E168" s="420" t="n">
        <f aca="false">IF(AND(L167&lt;L_rampe,Poussee&lt;Poids*SIN(M167)),0,(-W167+Poussee)/m*SIN(M167)+U167/m*COS(M167)-Poids/m)</f>
        <v>-13.5417326933958</v>
      </c>
      <c r="F168" s="418" t="n">
        <f aca="false">SQRT(acc_x^2+acc_z^2)</f>
        <v>13.5666707040941</v>
      </c>
      <c r="G168" s="419" t="n">
        <f aca="false">G167+acc_x*pas</f>
        <v>15.6628572350724</v>
      </c>
      <c r="H168" s="420" t="n">
        <f aca="false">H167+acc_z*pas</f>
        <v>70.9902842665824</v>
      </c>
      <c r="I168" s="418" t="n">
        <f aca="false">SQRT(vit_x^2+vit_z^2)</f>
        <v>72.6976310275406</v>
      </c>
      <c r="J168" s="419" t="n">
        <f aca="false">J167+0.5*(vit_x+G167)*pas*(K167&gt;=0)</f>
        <v>20.0029398613548</v>
      </c>
      <c r="K168" s="420" t="n">
        <f aca="false">K167+0.5*(vit_z+H167)*pas</f>
        <v>99.0137611377304</v>
      </c>
      <c r="L168" s="418" t="n">
        <f aca="false">SQRT(pos_x^2+pos_z^2)</f>
        <v>101.014070790838</v>
      </c>
      <c r="M168" s="419" t="n">
        <f aca="false">IF(AND(L167&gt;L_rampe,G168&gt;0),ATAN2(G168,H168),$M$4)</f>
        <v>1.35364154787174</v>
      </c>
      <c r="N168" s="418" t="n">
        <f aca="false">DEGREES(Beta)</f>
        <v>77.5579476666065</v>
      </c>
      <c r="O168" s="402"/>
      <c r="P168" s="421" t="n">
        <f aca="false">MATCH(t-pas/2-T_ini,CdP_t)</f>
        <v>13</v>
      </c>
      <c r="Q168" s="418" t="n">
        <f aca="false">(INDEX(CdP,2,i_P+1)-INDEX(CdP,2,i_P+0))/(INDEX(CdP,1,i_P+1)-INDEX(CdP,1,i_P+0))*(t-pas/2-T_ini-INDEX(CdP,1,i_P+0))+INDEX(CdP,2,i_P+0)</f>
        <v>0</v>
      </c>
      <c r="R168" s="419" t="n">
        <f aca="false">Poussee/(g*ISP)</f>
        <v>0</v>
      </c>
      <c r="S168" s="420" t="n">
        <f aca="false">S167-Débit*pas</f>
        <v>1.4843</v>
      </c>
      <c r="T168" s="418" t="n">
        <f aca="false">m*g</f>
        <v>14.560983</v>
      </c>
      <c r="U168" s="422" t="n">
        <f aca="false">IF(pos_xz&lt;L_rampe,Poids*COS(Beta),0)</f>
        <v>0</v>
      </c>
      <c r="V168" s="419" t="n">
        <f aca="false">Rho_moyen*(20000-Alt_rampe-pos_z)/(20000+Alt_rampe+pos_z)</f>
        <v>1.21293056626209</v>
      </c>
      <c r="W168" s="418" t="n">
        <f aca="false">1/2*Rho*Sref*Cx*vit_xz^2</f>
        <v>5.65060831069441</v>
      </c>
      <c r="X168" s="402"/>
      <c r="Y168" s="423" t="str">
        <f aca="false">IF(AND(pos_z&lt;=0,K167&gt;0),"Impact balistique","") &amp; IF(AND(H169&lt;0,vit_z&gt;=0),"Apogée","") &amp; IF(AND(Poussee=0,Q167&gt;0),"Fin de propulsion","") &amp; IF(AND(L169&gt;L_rampe,pos_xz&lt;=L_rampe),"Sortie de rampe","")</f>
        <v/>
      </c>
      <c r="Z168" s="424" t="str">
        <f aca="false">IF(ABS(t-T_para)&lt;pas/2,"Para","")</f>
        <v/>
      </c>
      <c r="AA168" s="425" t="str">
        <f aca="false">IF(ABS(t-T_satellite)&lt;pas/2,"Satellite","")</f>
        <v/>
      </c>
      <c r="AB168" s="413"/>
      <c r="AC168" s="421" t="e">
        <f aca="false">IF(ABS(t-ROUND(t,0))&lt;0.001,t,NA())</f>
        <v>#N/A</v>
      </c>
      <c r="AD168" s="426" t="e">
        <f aca="false">IF(ABS(t-ROUND(t,0))&lt;0.001,pos_x,NA())</f>
        <v>#N/A</v>
      </c>
      <c r="AE168" s="427" t="n">
        <f aca="false">IF(t&lt;T_para, pos_z, NA())</f>
        <v>99.0137611377304</v>
      </c>
      <c r="AF168" s="413"/>
      <c r="AG168" s="419" t="n">
        <f aca="false">IF(AND(L167&lt;L_rampe,Poussee&lt;Poids*SIN(M167)),0,(-W167+Poussee)/m-Poids*SIN(M167)/m)</f>
        <v>-13.401457474591</v>
      </c>
      <c r="AH168" s="418" t="n">
        <f aca="false">IF(AND(L167&lt;L_rampe,Poussee&lt;Poids*SIN(M167)), g*SIN(M167), (-W167+Poussee)/m)</f>
        <v>-3.82123782940824</v>
      </c>
    </row>
    <row r="169" customFormat="false" ht="12" hidden="false" customHeight="false" outlineLevel="0" collapsed="false">
      <c r="A169" s="417" t="n">
        <f aca="false">IF(B168+0.01&lt;=T_ini+ROUNDUP(Temps_fin_propu,0), 0.01, IF(K168&gt;0, 0.1, 0.0001))</f>
        <v>0.01</v>
      </c>
      <c r="B169" s="418" t="n">
        <f aca="false">B168+pas</f>
        <v>1.65</v>
      </c>
      <c r="C169" s="402"/>
      <c r="D169" s="419" t="n">
        <f aca="false">IF(AND(L168&lt;L_rampe,Poussee&lt;Poids*SIN(M168)),0,(-W168+Poussee)/m*COS(M168)-U168/m*SIN(M168))</f>
        <v>-0.820208464669418</v>
      </c>
      <c r="E169" s="420" t="n">
        <f aca="false">IF(AND(L168&lt;L_rampe,Poussee&lt;Poids*SIN(M168)),0,(-W168+Poussee)/m*SIN(M168)+U168/m*COS(M168)-Poids/m)</f>
        <v>-13.5275102339794</v>
      </c>
      <c r="F169" s="418" t="n">
        <f aca="false">SQRT(acc_x^2+acc_z^2)</f>
        <v>13.5523531187736</v>
      </c>
      <c r="G169" s="419" t="n">
        <f aca="false">G168+acc_x*pas</f>
        <v>15.6546551504257</v>
      </c>
      <c r="H169" s="420" t="n">
        <f aca="false">H168+acc_z*pas</f>
        <v>70.8550091642426</v>
      </c>
      <c r="I169" s="418" t="n">
        <f aca="false">SQRT(vit_x^2+vit_z^2)</f>
        <v>72.5637688625918</v>
      </c>
      <c r="J169" s="419" t="n">
        <f aca="false">J168+0.5*(vit_x+G168)*pas*(K168&gt;=0)</f>
        <v>20.1595274232823</v>
      </c>
      <c r="K169" s="420" t="n">
        <f aca="false">K168+0.5*(vit_z+H168)*pas</f>
        <v>99.7229876048845</v>
      </c>
      <c r="L169" s="418" t="n">
        <f aca="false">SQRT(pos_x^2+pos_z^2)</f>
        <v>101.740261464054</v>
      </c>
      <c r="M169" s="419" t="n">
        <f aca="false">IF(AND(L168&gt;L_rampe,G169&gt;0),ATAN2(G169,H169),$M$4)</f>
        <v>1.35335027508377</v>
      </c>
      <c r="N169" s="418" t="n">
        <f aca="false">DEGREES(Beta)</f>
        <v>77.5412589651691</v>
      </c>
      <c r="O169" s="402"/>
      <c r="P169" s="421" t="n">
        <f aca="false">MATCH(t-pas/2-T_ini,CdP_t)</f>
        <v>13</v>
      </c>
      <c r="Q169" s="418" t="n">
        <f aca="false">(INDEX(CdP,2,i_P+1)-INDEX(CdP,2,i_P+0))/(INDEX(CdP,1,i_P+1)-INDEX(CdP,1,i_P+0))*(t-pas/2-T_ini-INDEX(CdP,1,i_P+0))+INDEX(CdP,2,i_P+0)</f>
        <v>0</v>
      </c>
      <c r="R169" s="419" t="n">
        <f aca="false">Poussee/(g*ISP)</f>
        <v>0</v>
      </c>
      <c r="S169" s="420" t="n">
        <f aca="false">S168-Débit*pas</f>
        <v>1.4843</v>
      </c>
      <c r="T169" s="418" t="n">
        <f aca="false">m*g</f>
        <v>14.560983</v>
      </c>
      <c r="U169" s="422" t="n">
        <f aca="false">IF(pos_xz&lt;L_rampe,Poids*COS(Beta),0)</f>
        <v>0</v>
      </c>
      <c r="V169" s="419" t="n">
        <f aca="false">Rho_moyen*(20000-Alt_rampe-pos_z)/(20000+Alt_rampe+pos_z)</f>
        <v>1.21284454294307</v>
      </c>
      <c r="W169" s="418" t="n">
        <f aca="false">1/2*Rho*Sref*Cx*vit_xz^2</f>
        <v>5.62941863768315</v>
      </c>
      <c r="X169" s="402"/>
      <c r="Y169" s="423" t="str">
        <f aca="false">IF(AND(pos_z&lt;=0,K168&gt;0),"Impact balistique","") &amp; IF(AND(H170&lt;0,vit_z&gt;=0),"Apogée","") &amp; IF(AND(Poussee=0,Q168&gt;0),"Fin de propulsion","") &amp; IF(AND(L170&gt;L_rampe,pos_xz&lt;=L_rampe),"Sortie de rampe","")</f>
        <v/>
      </c>
      <c r="Z169" s="424" t="str">
        <f aca="false">IF(ABS(t-T_para)&lt;pas/2,"Para","")</f>
        <v/>
      </c>
      <c r="AA169" s="425" t="str">
        <f aca="false">IF(ABS(t-T_satellite)&lt;pas/2,"Satellite","")</f>
        <v/>
      </c>
      <c r="AB169" s="413"/>
      <c r="AC169" s="421" t="e">
        <f aca="false">IF(ABS(t-ROUND(t,0))&lt;0.001,t,NA())</f>
        <v>#N/A</v>
      </c>
      <c r="AD169" s="426" t="e">
        <f aca="false">IF(ABS(t-ROUND(t,0))&lt;0.001,pos_x,NA())</f>
        <v>#N/A</v>
      </c>
      <c r="AE169" s="427" t="n">
        <f aca="false">IF(t&lt;T_para, pos_z, NA())</f>
        <v>99.7229876048845</v>
      </c>
      <c r="AF169" s="413"/>
      <c r="AG169" s="419" t="n">
        <f aca="false">IF(AND(L168&lt;L_rampe,Poussee&lt;Poids*SIN(M168)),0,(-W168+Poussee)/m-Poids*SIN(M168)/m)</f>
        <v>-13.3865243097913</v>
      </c>
      <c r="AH169" s="418" t="n">
        <f aca="false">IF(AND(L168&lt;L_rampe,Poussee&lt;Poids*SIN(M168)), g*SIN(M168), (-W168+Poussee)/m)</f>
        <v>-3.80691794832205</v>
      </c>
    </row>
    <row r="170" customFormat="false" ht="12" hidden="false" customHeight="false" outlineLevel="0" collapsed="false">
      <c r="A170" s="417" t="n">
        <f aca="false">IF(B169+0.01&lt;=T_ini+ROUNDUP(Temps_fin_propu,0), 0.01, IF(K169&gt;0, 0.1, 0.0001))</f>
        <v>0.01</v>
      </c>
      <c r="B170" s="418" t="n">
        <f aca="false">B169+pas</f>
        <v>1.66</v>
      </c>
      <c r="C170" s="402"/>
      <c r="D170" s="419" t="n">
        <f aca="false">IF(AND(L169&lt;L_rampe,Poussee&lt;Poids*SIN(M169)),0,(-W169+Poussee)/m*COS(M169)-U169/m*SIN(M169))</f>
        <v>-0.818211413002893</v>
      </c>
      <c r="E170" s="420" t="n">
        <f aca="false">IF(AND(L169&lt;L_rampe,Poussee&lt;Poids*SIN(M169)),0,(-W169+Poussee)/m*SIN(M169)+U169/m*COS(M169)-Poids/m)</f>
        <v>-13.5133314761348</v>
      </c>
      <c r="F170" s="418" t="n">
        <f aca="false">SQRT(acc_x^2+acc_z^2)</f>
        <v>13.538079535158</v>
      </c>
      <c r="G170" s="419" t="n">
        <f aca="false">G169+acc_x*pas</f>
        <v>15.6464730362957</v>
      </c>
      <c r="H170" s="420" t="n">
        <f aca="false">H169+acc_z*pas</f>
        <v>70.7198758494812</v>
      </c>
      <c r="I170" s="418" t="n">
        <f aca="false">SQRT(vit_x^2+vit_z^2)</f>
        <v>72.4300556305293</v>
      </c>
      <c r="J170" s="419" t="n">
        <f aca="false">J169+0.5*(vit_x+G169)*pas*(K169&gt;=0)</f>
        <v>20.3160330642159</v>
      </c>
      <c r="K170" s="420" t="n">
        <f aca="false">K169+0.5*(vit_z+H169)*pas</f>
        <v>100.430862029953</v>
      </c>
      <c r="L170" s="418" t="n">
        <f aca="false">SQRT(pos_x^2+pos_z^2)</f>
        <v>102.465112343401</v>
      </c>
      <c r="M170" s="419" t="n">
        <f aca="false">IF(AND(L169&gt;L_rampe,G170&gt;0),ATAN2(G170,H170),$M$4)</f>
        <v>1.35305807935136</v>
      </c>
      <c r="N170" s="418" t="n">
        <f aca="false">DEGREES(Beta)</f>
        <v>77.5245173829101</v>
      </c>
      <c r="O170" s="402"/>
      <c r="P170" s="421" t="n">
        <f aca="false">MATCH(t-pas/2-T_ini,CdP_t)</f>
        <v>13</v>
      </c>
      <c r="Q170" s="418" t="n">
        <f aca="false">(INDEX(CdP,2,i_P+1)-INDEX(CdP,2,i_P+0))/(INDEX(CdP,1,i_P+1)-INDEX(CdP,1,i_P+0))*(t-pas/2-T_ini-INDEX(CdP,1,i_P+0))+INDEX(CdP,2,i_P+0)</f>
        <v>0</v>
      </c>
      <c r="R170" s="419" t="n">
        <f aca="false">Poussee/(g*ISP)</f>
        <v>0</v>
      </c>
      <c r="S170" s="420" t="n">
        <f aca="false">S169-Débit*pas</f>
        <v>1.4843</v>
      </c>
      <c r="T170" s="418" t="n">
        <f aca="false">m*g</f>
        <v>14.560983</v>
      </c>
      <c r="U170" s="422" t="n">
        <f aca="false">IF(pos_xz&lt;L_rampe,Poids*COS(Beta),0)</f>
        <v>0</v>
      </c>
      <c r="V170" s="419" t="n">
        <f aca="false">Rho_moyen*(20000-Alt_rampe-pos_z)/(20000+Alt_rampe+pos_z)</f>
        <v>1.21275868966878</v>
      </c>
      <c r="W170" s="418" t="n">
        <f aca="false">1/2*Rho*Sref*Cx*vit_xz^2</f>
        <v>5.60829407622733</v>
      </c>
      <c r="X170" s="402"/>
      <c r="Y170" s="423" t="str">
        <f aca="false">IF(AND(pos_z&lt;=0,K169&gt;0),"Impact balistique","") &amp; IF(AND(H171&lt;0,vit_z&gt;=0),"Apogée","") &amp; IF(AND(Poussee=0,Q169&gt;0),"Fin de propulsion","") &amp; IF(AND(L171&gt;L_rampe,pos_xz&lt;=L_rampe),"Sortie de rampe","")</f>
        <v/>
      </c>
      <c r="Z170" s="424" t="str">
        <f aca="false">IF(ABS(t-T_para)&lt;pas/2,"Para","")</f>
        <v/>
      </c>
      <c r="AA170" s="425" t="str">
        <f aca="false">IF(ABS(t-T_satellite)&lt;pas/2,"Satellite","")</f>
        <v/>
      </c>
      <c r="AB170" s="413"/>
      <c r="AC170" s="421" t="e">
        <f aca="false">IF(ABS(t-ROUND(t,0))&lt;0.001,t,NA())</f>
        <v>#N/A</v>
      </c>
      <c r="AD170" s="426" t="e">
        <f aca="false">IF(ABS(t-ROUND(t,0))&lt;0.001,pos_x,NA())</f>
        <v>#N/A</v>
      </c>
      <c r="AE170" s="427" t="n">
        <f aca="false">IF(t&lt;T_para, pos_z, NA())</f>
        <v>100.430862029953</v>
      </c>
      <c r="AF170" s="413"/>
      <c r="AG170" s="419" t="n">
        <f aca="false">IF(AND(L169&lt;L_rampe,Poussee&lt;Poids*SIN(M169)),0,(-W169+Poussee)/m-Poids*SIN(M169)/m)</f>
        <v>-13.3716324041693</v>
      </c>
      <c r="AH170" s="418" t="n">
        <f aca="false">IF(AND(L169&lt;L_rampe,Poussee&lt;Poids*SIN(M169)), g*SIN(M169), (-W169+Poussee)/m)</f>
        <v>-3.79264207888106</v>
      </c>
    </row>
    <row r="171" customFormat="false" ht="12" hidden="false" customHeight="false" outlineLevel="0" collapsed="false">
      <c r="A171" s="417" t="n">
        <f aca="false">IF(B170+0.01&lt;=T_ini+ROUNDUP(Temps_fin_propu,0), 0.01, IF(K170&gt;0, 0.1, 0.0001))</f>
        <v>0.01</v>
      </c>
      <c r="B171" s="418" t="n">
        <f aca="false">B170+pas</f>
        <v>1.67</v>
      </c>
      <c r="C171" s="402"/>
      <c r="D171" s="419" t="n">
        <f aca="false">IF(AND(L170&lt;L_rampe,Poussee&lt;Poids*SIN(M170)),0,(-W170+Poussee)/m*COS(M170)-U170/m*SIN(M170))</f>
        <v>-0.81621905249119</v>
      </c>
      <c r="E171" s="420" t="n">
        <f aca="false">IF(AND(L170&lt;L_rampe,Poussee&lt;Poids*SIN(M170)),0,(-W170+Poussee)/m*SIN(M170)+U170/m*COS(M170)-Poids/m)</f>
        <v>-13.4991962760078</v>
      </c>
      <c r="F171" s="418" t="n">
        <f aca="false">SQRT(acc_x^2+acc_z^2)</f>
        <v>13.5238498083879</v>
      </c>
      <c r="G171" s="419" t="n">
        <f aca="false">G170+acc_x*pas</f>
        <v>15.6383108457708</v>
      </c>
      <c r="H171" s="420" t="n">
        <f aca="false">H170+acc_z*pas</f>
        <v>70.5848838867212</v>
      </c>
      <c r="I171" s="418" t="n">
        <f aca="false">SQRT(vit_x^2+vit_z^2)</f>
        <v>72.296490920451</v>
      </c>
      <c r="J171" s="419" t="n">
        <f aca="false">J170+0.5*(vit_x+G170)*pas*(K170&gt;=0)</f>
        <v>20.4724569836262</v>
      </c>
      <c r="K171" s="420" t="n">
        <f aca="false">K170+0.5*(vit_z+H170)*pas</f>
        <v>101.137385828634</v>
      </c>
      <c r="L171" s="418" t="n">
        <f aca="false">SQRT(pos_x^2+pos_z^2)</f>
        <v>103.188624892458</v>
      </c>
      <c r="M171" s="419" t="n">
        <f aca="false">IF(AND(L170&gt;L_rampe,G171&gt;0),ATAN2(G171,H171),$M$4)</f>
        <v>1.35276495666472</v>
      </c>
      <c r="N171" s="418" t="n">
        <f aca="false">DEGREES(Beta)</f>
        <v>77.5077226900862</v>
      </c>
      <c r="O171" s="402"/>
      <c r="P171" s="421" t="n">
        <f aca="false">MATCH(t-pas/2-T_ini,CdP_t)</f>
        <v>13</v>
      </c>
      <c r="Q171" s="418" t="n">
        <f aca="false">(INDEX(CdP,2,i_P+1)-INDEX(CdP,2,i_P+0))/(INDEX(CdP,1,i_P+1)-INDEX(CdP,1,i_P+0))*(t-pas/2-T_ini-INDEX(CdP,1,i_P+0))+INDEX(CdP,2,i_P+0)</f>
        <v>0</v>
      </c>
      <c r="R171" s="419" t="n">
        <f aca="false">Poussee/(g*ISP)</f>
        <v>0</v>
      </c>
      <c r="S171" s="420" t="n">
        <f aca="false">S170-Débit*pas</f>
        <v>1.4843</v>
      </c>
      <c r="T171" s="418" t="n">
        <f aca="false">m*g</f>
        <v>14.560983</v>
      </c>
      <c r="U171" s="422" t="n">
        <f aca="false">IF(pos_xz&lt;L_rampe,Poids*COS(Beta),0)</f>
        <v>0</v>
      </c>
      <c r="V171" s="419" t="n">
        <f aca="false">Rho_moyen*(20000-Alt_rampe-pos_z)/(20000+Alt_rampe+pos_z)</f>
        <v>1.21267300623223</v>
      </c>
      <c r="W171" s="418" t="n">
        <f aca="false">1/2*Rho*Sref*Cx*vit_xz^2</f>
        <v>5.58723441238369</v>
      </c>
      <c r="X171" s="402"/>
      <c r="Y171" s="423" t="str">
        <f aca="false">IF(AND(pos_z&lt;=0,K170&gt;0),"Impact balistique","") &amp; IF(AND(H172&lt;0,vit_z&gt;=0),"Apogée","") &amp; IF(AND(Poussee=0,Q170&gt;0),"Fin de propulsion","") &amp; IF(AND(L172&gt;L_rampe,pos_xz&lt;=L_rampe),"Sortie de rampe","")</f>
        <v/>
      </c>
      <c r="Z171" s="424" t="str">
        <f aca="false">IF(ABS(t-T_para)&lt;pas/2,"Para","")</f>
        <v/>
      </c>
      <c r="AA171" s="425" t="str">
        <f aca="false">IF(ABS(t-T_satellite)&lt;pas/2,"Satellite","")</f>
        <v/>
      </c>
      <c r="AB171" s="413"/>
      <c r="AC171" s="421" t="e">
        <f aca="false">IF(ABS(t-ROUND(t,0))&lt;0.001,t,NA())</f>
        <v>#N/A</v>
      </c>
      <c r="AD171" s="426" t="e">
        <f aca="false">IF(ABS(t-ROUND(t,0))&lt;0.001,pos_x,NA())</f>
        <v>#N/A</v>
      </c>
      <c r="AE171" s="427" t="n">
        <f aca="false">IF(t&lt;T_para, pos_z, NA())</f>
        <v>101.137385828634</v>
      </c>
      <c r="AF171" s="413"/>
      <c r="AG171" s="419" t="n">
        <f aca="false">IF(AND(L170&lt;L_rampe,Poussee&lt;Poids*SIN(M170)),0,(-W170+Poussee)/m-Poids*SIN(M170)/m)</f>
        <v>-13.3567815968347</v>
      </c>
      <c r="AH171" s="418" t="n">
        <f aca="false">IF(AND(L170&lt;L_rampe,Poussee&lt;Poids*SIN(M170)), g*SIN(M170), (-W170+Poussee)/m)</f>
        <v>-3.77841007628332</v>
      </c>
    </row>
    <row r="172" customFormat="false" ht="12" hidden="false" customHeight="false" outlineLevel="0" collapsed="false">
      <c r="A172" s="417" t="n">
        <f aca="false">IF(B171+0.01&lt;=T_ini+ROUNDUP(Temps_fin_propu,0), 0.01, IF(K171&gt;0, 0.1, 0.0001))</f>
        <v>0.01</v>
      </c>
      <c r="B172" s="418" t="n">
        <f aca="false">B171+pas</f>
        <v>1.68</v>
      </c>
      <c r="C172" s="402"/>
      <c r="D172" s="419" t="n">
        <f aca="false">IF(AND(L171&lt;L_rampe,Poussee&lt;Poids*SIN(M171)),0,(-W171+Poussee)/m*COS(M171)-U171/m*SIN(M171))</f>
        <v>-0.814231365795678</v>
      </c>
      <c r="E172" s="420" t="n">
        <f aca="false">IF(AND(L171&lt;L_rampe,Poussee&lt;Poids*SIN(M171)),0,(-W171+Poussee)/m*SIN(M171)+U171/m*COS(M171)-Poids/m)</f>
        <v>-13.4851044904033</v>
      </c>
      <c r="F172" s="418" t="n">
        <f aca="false">SQRT(acc_x^2+acc_z^2)</f>
        <v>13.5096637942674</v>
      </c>
      <c r="G172" s="419" t="n">
        <f aca="false">G171+acc_x*pas</f>
        <v>15.6301685321128</v>
      </c>
      <c r="H172" s="420" t="n">
        <f aca="false">H171+acc_z*pas</f>
        <v>70.4500328418171</v>
      </c>
      <c r="I172" s="418" t="n">
        <f aca="false">SQRT(vit_x^2+vit_z^2)</f>
        <v>72.1630743230592</v>
      </c>
      <c r="J172" s="419" t="n">
        <f aca="false">J171+0.5*(vit_x+G171)*pas*(K171&gt;=0)</f>
        <v>20.6287993805156</v>
      </c>
      <c r="K172" s="420" t="n">
        <f aca="false">K171+0.5*(vit_z+H171)*pas</f>
        <v>101.842560412277</v>
      </c>
      <c r="L172" s="418" t="n">
        <f aca="false">SQRT(pos_x^2+pos_z^2)</f>
        <v>103.910800570537</v>
      </c>
      <c r="M172" s="419" t="n">
        <f aca="false">IF(AND(L171&gt;L_rampe,G172&gt;0),ATAN2(G172,H172),$M$4)</f>
        <v>1.35247090299082</v>
      </c>
      <c r="N172" s="418" t="n">
        <f aca="false">DEGREES(Beta)</f>
        <v>77.4908746556215</v>
      </c>
      <c r="O172" s="402"/>
      <c r="P172" s="421" t="n">
        <f aca="false">MATCH(t-pas/2-T_ini,CdP_t)</f>
        <v>13</v>
      </c>
      <c r="Q172" s="418" t="n">
        <f aca="false">(INDEX(CdP,2,i_P+1)-INDEX(CdP,2,i_P+0))/(INDEX(CdP,1,i_P+1)-INDEX(CdP,1,i_P+0))*(t-pas/2-T_ini-INDEX(CdP,1,i_P+0))+INDEX(CdP,2,i_P+0)</f>
        <v>0</v>
      </c>
      <c r="R172" s="419" t="n">
        <f aca="false">Poussee/(g*ISP)</f>
        <v>0</v>
      </c>
      <c r="S172" s="420" t="n">
        <f aca="false">S171-Débit*pas</f>
        <v>1.4843</v>
      </c>
      <c r="T172" s="418" t="n">
        <f aca="false">m*g</f>
        <v>14.560983</v>
      </c>
      <c r="U172" s="422" t="n">
        <f aca="false">IF(pos_xz&lt;L_rampe,Poids*COS(Beta),0)</f>
        <v>0</v>
      </c>
      <c r="V172" s="419" t="n">
        <f aca="false">Rho_moyen*(20000-Alt_rampe-pos_z)/(20000+Alt_rampe+pos_z)</f>
        <v>1.21258749242711</v>
      </c>
      <c r="W172" s="418" t="n">
        <f aca="false">1/2*Rho*Sref*Cx*vit_xz^2</f>
        <v>5.56623943319011</v>
      </c>
      <c r="X172" s="402"/>
      <c r="Y172" s="423" t="str">
        <f aca="false">IF(AND(pos_z&lt;=0,K171&gt;0),"Impact balistique","") &amp; IF(AND(H173&lt;0,vit_z&gt;=0),"Apogée","") &amp; IF(AND(Poussee=0,Q171&gt;0),"Fin de propulsion","") &amp; IF(AND(L173&gt;L_rampe,pos_xz&lt;=L_rampe),"Sortie de rampe","")</f>
        <v/>
      </c>
      <c r="Z172" s="424" t="str">
        <f aca="false">IF(ABS(t-T_para)&lt;pas/2,"Para","")</f>
        <v/>
      </c>
      <c r="AA172" s="425" t="str">
        <f aca="false">IF(ABS(t-T_satellite)&lt;pas/2,"Satellite","")</f>
        <v/>
      </c>
      <c r="AB172" s="413"/>
      <c r="AC172" s="421" t="e">
        <f aca="false">IF(ABS(t-ROUND(t,0))&lt;0.001,t,NA())</f>
        <v>#N/A</v>
      </c>
      <c r="AD172" s="426" t="e">
        <f aca="false">IF(ABS(t-ROUND(t,0))&lt;0.001,pos_x,NA())</f>
        <v>#N/A</v>
      </c>
      <c r="AE172" s="427" t="n">
        <f aca="false">IF(t&lt;T_para, pos_z, NA())</f>
        <v>101.842560412277</v>
      </c>
      <c r="AF172" s="413"/>
      <c r="AG172" s="419" t="n">
        <f aca="false">IF(AND(L171&lt;L_rampe,Poussee&lt;Poids*SIN(M171)),0,(-W171+Poussee)/m-Poids*SIN(M171)/m)</f>
        <v>-13.3419717274445</v>
      </c>
      <c r="AH172" s="418" t="n">
        <f aca="false">IF(AND(L171&lt;L_rampe,Poussee&lt;Poids*SIN(M171)), g*SIN(M171), (-W171+Poussee)/m)</f>
        <v>-3.76422179639136</v>
      </c>
    </row>
    <row r="173" customFormat="false" ht="12" hidden="false" customHeight="false" outlineLevel="0" collapsed="false">
      <c r="A173" s="417" t="n">
        <f aca="false">IF(B172+0.01&lt;=T_ini+ROUNDUP(Temps_fin_propu,0), 0.01, IF(K172&gt;0, 0.1, 0.0001))</f>
        <v>0.01</v>
      </c>
      <c r="B173" s="418" t="n">
        <f aca="false">B172+pas</f>
        <v>1.69</v>
      </c>
      <c r="C173" s="402"/>
      <c r="D173" s="419" t="n">
        <f aca="false">IF(AND(L172&lt;L_rampe,Poussee&lt;Poids*SIN(M172)),0,(-W172+Poussee)/m*COS(M172)-U172/m*SIN(M172))</f>
        <v>-0.81224833565504</v>
      </c>
      <c r="E173" s="420" t="n">
        <f aca="false">IF(AND(L172&lt;L_rampe,Poussee&lt;Poids*SIN(M172)),0,(-W172+Poussee)/m*SIN(M172)+U172/m*COS(M172)-Poids/m)</f>
        <v>-13.4710559767825</v>
      </c>
      <c r="F173" s="418" t="n">
        <f aca="false">SQRT(acc_x^2+acc_z^2)</f>
        <v>13.4955213492618</v>
      </c>
      <c r="G173" s="419" t="n">
        <f aca="false">G172+acc_x*pas</f>
        <v>15.6220460487562</v>
      </c>
      <c r="H173" s="420" t="n">
        <f aca="false">H172+acc_z*pas</f>
        <v>70.3153222820493</v>
      </c>
      <c r="I173" s="418" t="n">
        <f aca="false">SQRT(vit_x^2+vit_z^2)</f>
        <v>72.0298054306543</v>
      </c>
      <c r="J173" s="419" t="n">
        <f aca="false">J172+0.5*(vit_x+G172)*pas*(K172&gt;=0)</f>
        <v>20.78506045342</v>
      </c>
      <c r="K173" s="420" t="n">
        <f aca="false">K172+0.5*(vit_z+H172)*pas</f>
        <v>102.546387187896</v>
      </c>
      <c r="L173" s="418" t="n">
        <f aca="false">SQRT(pos_x^2+pos_z^2)</f>
        <v>104.631640832696</v>
      </c>
      <c r="M173" s="419" t="n">
        <f aca="false">IF(AND(L172&gt;L_rampe,G173&gt;0),ATAN2(G173,H173),$M$4)</f>
        <v>1.3521759142732</v>
      </c>
      <c r="N173" s="418" t="n">
        <f aca="false">DEGREES(Beta)</f>
        <v>77.4739730470977</v>
      </c>
      <c r="O173" s="402"/>
      <c r="P173" s="421" t="n">
        <f aca="false">MATCH(t-pas/2-T_ini,CdP_t)</f>
        <v>13</v>
      </c>
      <c r="Q173" s="418" t="n">
        <f aca="false">(INDEX(CdP,2,i_P+1)-INDEX(CdP,2,i_P+0))/(INDEX(CdP,1,i_P+1)-INDEX(CdP,1,i_P+0))*(t-pas/2-T_ini-INDEX(CdP,1,i_P+0))+INDEX(CdP,2,i_P+0)</f>
        <v>0</v>
      </c>
      <c r="R173" s="419" t="n">
        <f aca="false">Poussee/(g*ISP)</f>
        <v>0</v>
      </c>
      <c r="S173" s="420" t="n">
        <f aca="false">S172-Débit*pas</f>
        <v>1.4843</v>
      </c>
      <c r="T173" s="418" t="n">
        <f aca="false">m*g</f>
        <v>14.560983</v>
      </c>
      <c r="U173" s="422" t="n">
        <f aca="false">IF(pos_xz&lt;L_rampe,Poids*COS(Beta),0)</f>
        <v>0</v>
      </c>
      <c r="V173" s="419" t="n">
        <f aca="false">Rho_moyen*(20000-Alt_rampe-pos_z)/(20000+Alt_rampe+pos_z)</f>
        <v>1.21250214804775</v>
      </c>
      <c r="W173" s="418" t="n">
        <f aca="false">1/2*Rho*Sref*Cx*vit_xz^2</f>
        <v>5.54530892666039</v>
      </c>
      <c r="X173" s="402"/>
      <c r="Y173" s="423" t="str">
        <f aca="false">IF(AND(pos_z&lt;=0,K172&gt;0),"Impact balistique","") &amp; IF(AND(H174&lt;0,vit_z&gt;=0),"Apogée","") &amp; IF(AND(Poussee=0,Q172&gt;0),"Fin de propulsion","") &amp; IF(AND(L174&gt;L_rampe,pos_xz&lt;=L_rampe),"Sortie de rampe","")</f>
        <v/>
      </c>
      <c r="Z173" s="424" t="str">
        <f aca="false">IF(ABS(t-T_para)&lt;pas/2,"Para","")</f>
        <v/>
      </c>
      <c r="AA173" s="425" t="str">
        <f aca="false">IF(ABS(t-T_satellite)&lt;pas/2,"Satellite","")</f>
        <v/>
      </c>
      <c r="AB173" s="413"/>
      <c r="AC173" s="421" t="e">
        <f aca="false">IF(ABS(t-ROUND(t,0))&lt;0.001,t,NA())</f>
        <v>#N/A</v>
      </c>
      <c r="AD173" s="426" t="e">
        <f aca="false">IF(ABS(t-ROUND(t,0))&lt;0.001,pos_x,NA())</f>
        <v>#N/A</v>
      </c>
      <c r="AE173" s="427" t="n">
        <f aca="false">IF(t&lt;T_para, pos_z, NA())</f>
        <v>102.546387187896</v>
      </c>
      <c r="AF173" s="413"/>
      <c r="AG173" s="419" t="n">
        <f aca="false">IF(AND(L172&lt;L_rampe,Poussee&lt;Poids*SIN(M172)),0,(-W172+Poussee)/m-Poids*SIN(M172)/m)</f>
        <v>-13.327202636199</v>
      </c>
      <c r="AH173" s="418" t="n">
        <f aca="false">IF(AND(L172&lt;L_rampe,Poussee&lt;Poids*SIN(M172)), g*SIN(M172), (-W172+Poussee)/m)</f>
        <v>-3.75007709572871</v>
      </c>
    </row>
    <row r="174" customFormat="false" ht="12" hidden="false" customHeight="false" outlineLevel="0" collapsed="false">
      <c r="A174" s="417" t="n">
        <f aca="false">IF(B173+0.01&lt;=T_ini+ROUNDUP(Temps_fin_propu,0), 0.01, IF(K173&gt;0, 0.1, 0.0001))</f>
        <v>0.01</v>
      </c>
      <c r="B174" s="418" t="n">
        <f aca="false">B173+pas</f>
        <v>1.7</v>
      </c>
      <c r="C174" s="402"/>
      <c r="D174" s="419" t="n">
        <f aca="false">IF(AND(L173&lt;L_rampe,Poussee&lt;Poids*SIN(M173)),0,(-W173+Poussee)/m*COS(M173)-U173/m*SIN(M173))</f>
        <v>-0.810269944884874</v>
      </c>
      <c r="E174" s="420" t="n">
        <f aca="false">IF(AND(L173&lt;L_rampe,Poussee&lt;Poids*SIN(M173)),0,(-W173+Poussee)/m*SIN(M173)+U173/m*COS(M173)-Poids/m)</f>
        <v>-13.4570505932591</v>
      </c>
      <c r="F174" s="418" t="n">
        <f aca="false">SQRT(acc_x^2+acc_z^2)</f>
        <v>13.4814223304932</v>
      </c>
      <c r="G174" s="419" t="n">
        <f aca="false">G173+acc_x*pas</f>
        <v>15.6139433493074</v>
      </c>
      <c r="H174" s="420" t="n">
        <f aca="false">H173+acc_z*pas</f>
        <v>70.1807517761167</v>
      </c>
      <c r="I174" s="418" t="n">
        <f aca="false">SQRT(vit_x^2+vit_z^2)</f>
        <v>71.8966838371304</v>
      </c>
      <c r="J174" s="419" t="n">
        <f aca="false">J173+0.5*(vit_x+G173)*pas*(K173&gt;=0)</f>
        <v>20.9412404004103</v>
      </c>
      <c r="K174" s="420" t="n">
        <f aca="false">K173+0.5*(vit_z+H173)*pas</f>
        <v>103.248867558187</v>
      </c>
      <c r="L174" s="418" t="n">
        <f aca="false">SQRT(pos_x^2+pos_z^2)</f>
        <v>105.351147129757</v>
      </c>
      <c r="M174" s="419" t="n">
        <f aca="false">IF(AND(L173&gt;L_rampe,G174&gt;0),ATAN2(G174,H174),$M$4)</f>
        <v>1.3518799864318</v>
      </c>
      <c r="N174" s="418" t="n">
        <f aca="false">DEGREES(Beta)</f>
        <v>77.4570176307449</v>
      </c>
      <c r="O174" s="402"/>
      <c r="P174" s="421" t="n">
        <f aca="false">MATCH(t-pas/2-T_ini,CdP_t)</f>
        <v>13</v>
      </c>
      <c r="Q174" s="418" t="n">
        <f aca="false">(INDEX(CdP,2,i_P+1)-INDEX(CdP,2,i_P+0))/(INDEX(CdP,1,i_P+1)-INDEX(CdP,1,i_P+0))*(t-pas/2-T_ini-INDEX(CdP,1,i_P+0))+INDEX(CdP,2,i_P+0)</f>
        <v>0</v>
      </c>
      <c r="R174" s="419" t="n">
        <f aca="false">Poussee/(g*ISP)</f>
        <v>0</v>
      </c>
      <c r="S174" s="420" t="n">
        <f aca="false">S173-Débit*pas</f>
        <v>1.4843</v>
      </c>
      <c r="T174" s="418" t="n">
        <f aca="false">m*g</f>
        <v>14.560983</v>
      </c>
      <c r="U174" s="422" t="n">
        <f aca="false">IF(pos_xz&lt;L_rampe,Poids*COS(Beta),0)</f>
        <v>0</v>
      </c>
      <c r="V174" s="419" t="n">
        <f aca="false">Rho_moyen*(20000-Alt_rampe-pos_z)/(20000+Alt_rampe+pos_z)</f>
        <v>1.2124169728891</v>
      </c>
      <c r="W174" s="418" t="n">
        <f aca="false">1/2*Rho*Sref*Cx*vit_xz^2</f>
        <v>5.52444268177912</v>
      </c>
      <c r="X174" s="402"/>
      <c r="Y174" s="423" t="str">
        <f aca="false">IF(AND(pos_z&lt;=0,K173&gt;0),"Impact balistique","") &amp; IF(AND(H175&lt;0,vit_z&gt;=0),"Apogée","") &amp; IF(AND(Poussee=0,Q173&gt;0),"Fin de propulsion","") &amp; IF(AND(L175&gt;L_rampe,pos_xz&lt;=L_rampe),"Sortie de rampe","")</f>
        <v/>
      </c>
      <c r="Z174" s="424" t="str">
        <f aca="false">IF(ABS(t-T_para)&lt;pas/2,"Para","")</f>
        <v/>
      </c>
      <c r="AA174" s="425" t="str">
        <f aca="false">IF(ABS(t-T_satellite)&lt;pas/2,"Satellite","")</f>
        <v/>
      </c>
      <c r="AB174" s="413"/>
      <c r="AC174" s="421" t="e">
        <f aca="false">IF(ABS(t-ROUND(t,0))&lt;0.001,t,NA())</f>
        <v>#N/A</v>
      </c>
      <c r="AD174" s="426" t="e">
        <f aca="false">IF(ABS(t-ROUND(t,0))&lt;0.001,pos_x,NA())</f>
        <v>#N/A</v>
      </c>
      <c r="AE174" s="427" t="n">
        <f aca="false">IF(t&lt;T_para, pos_z, NA())</f>
        <v>103.248867558187</v>
      </c>
      <c r="AF174" s="413"/>
      <c r="AG174" s="419" t="n">
        <f aca="false">IF(AND(L173&lt;L_rampe,Poussee&lt;Poids*SIN(M173)),0,(-W173+Poussee)/m-Poids*SIN(M173)/m)</f>
        <v>-13.3124741638368</v>
      </c>
      <c r="AH174" s="418" t="n">
        <f aca="false">IF(AND(L173&lt;L_rampe,Poussee&lt;Poids*SIN(M173)), g*SIN(M173), (-W173+Poussee)/m)</f>
        <v>-3.73597583147638</v>
      </c>
    </row>
    <row r="175" customFormat="false" ht="12" hidden="false" customHeight="false" outlineLevel="0" collapsed="false">
      <c r="A175" s="417" t="n">
        <f aca="false">IF(B174+0.01&lt;=T_ini+ROUNDUP(Temps_fin_propu,0), 0.01, IF(K174&gt;0, 0.1, 0.0001))</f>
        <v>0.01</v>
      </c>
      <c r="B175" s="418" t="n">
        <f aca="false">B174+pas</f>
        <v>1.71</v>
      </c>
      <c r="C175" s="402"/>
      <c r="D175" s="419" t="n">
        <f aca="false">IF(AND(L174&lt;L_rampe,Poussee&lt;Poids*SIN(M174)),0,(-W174+Poussee)/m*COS(M174)-U174/m*SIN(M174))</f>
        <v>-0.808296176377293</v>
      </c>
      <c r="E175" s="420" t="n">
        <f aca="false">IF(AND(L174&lt;L_rampe,Poussee&lt;Poids*SIN(M174)),0,(-W174+Poussee)/m*SIN(M174)+U174/m*COS(M174)-Poids/m)</f>
        <v>-13.4430881985962</v>
      </c>
      <c r="F175" s="418" t="n">
        <f aca="false">SQRT(acc_x^2+acc_z^2)</f>
        <v>13.4673665957374</v>
      </c>
      <c r="G175" s="419" t="n">
        <f aca="false">G174+acc_x*pas</f>
        <v>15.6058603875436</v>
      </c>
      <c r="H175" s="420" t="n">
        <f aca="false">H174+acc_z*pas</f>
        <v>70.0463208941307</v>
      </c>
      <c r="I175" s="418" t="n">
        <f aca="false">SQRT(vit_x^2+vit_z^2)</f>
        <v>71.7637091379692</v>
      </c>
      <c r="J175" s="419" t="n">
        <f aca="false">J174+0.5*(vit_x+G174)*pas*(K174&gt;=0)</f>
        <v>21.0973394190945</v>
      </c>
      <c r="K175" s="420" t="n">
        <f aca="false">K174+0.5*(vit_z+H174)*pas</f>
        <v>103.950002921538</v>
      </c>
      <c r="L175" s="418" t="n">
        <f aca="false">SQRT(pos_x^2+pos_z^2)</f>
        <v>106.069320908321</v>
      </c>
      <c r="M175" s="419" t="n">
        <f aca="false">IF(AND(L174&gt;L_rampe,G175&gt;0),ATAN2(G175,H175),$M$4)</f>
        <v>1.3515831153628</v>
      </c>
      <c r="N175" s="418" t="n">
        <f aca="false">DEGREES(Beta)</f>
        <v>77.4400081714317</v>
      </c>
      <c r="O175" s="402"/>
      <c r="P175" s="421" t="n">
        <f aca="false">MATCH(t-pas/2-T_ini,CdP_t)</f>
        <v>13</v>
      </c>
      <c r="Q175" s="418" t="n">
        <f aca="false">(INDEX(CdP,2,i_P+1)-INDEX(CdP,2,i_P+0))/(INDEX(CdP,1,i_P+1)-INDEX(CdP,1,i_P+0))*(t-pas/2-T_ini-INDEX(CdP,1,i_P+0))+INDEX(CdP,2,i_P+0)</f>
        <v>0</v>
      </c>
      <c r="R175" s="419" t="n">
        <f aca="false">Poussee/(g*ISP)</f>
        <v>0</v>
      </c>
      <c r="S175" s="420" t="n">
        <f aca="false">S174-Débit*pas</f>
        <v>1.4843</v>
      </c>
      <c r="T175" s="418" t="n">
        <f aca="false">m*g</f>
        <v>14.560983</v>
      </c>
      <c r="U175" s="422" t="n">
        <f aca="false">IF(pos_xz&lt;L_rampe,Poids*COS(Beta),0)</f>
        <v>0</v>
      </c>
      <c r="V175" s="419" t="n">
        <f aca="false">Rho_moyen*(20000-Alt_rampe-pos_z)/(20000+Alt_rampe+pos_z)</f>
        <v>1.2123319667468</v>
      </c>
      <c r="W175" s="418" t="n">
        <f aca="false">1/2*Rho*Sref*Cx*vit_xz^2</f>
        <v>5.50364048849665</v>
      </c>
      <c r="X175" s="402"/>
      <c r="Y175" s="423" t="str">
        <f aca="false">IF(AND(pos_z&lt;=0,K174&gt;0),"Impact balistique","") &amp; IF(AND(H176&lt;0,vit_z&gt;=0),"Apogée","") &amp; IF(AND(Poussee=0,Q174&gt;0),"Fin de propulsion","") &amp; IF(AND(L176&gt;L_rampe,pos_xz&lt;=L_rampe),"Sortie de rampe","")</f>
        <v/>
      </c>
      <c r="Z175" s="424" t="str">
        <f aca="false">IF(ABS(t-T_para)&lt;pas/2,"Para","")</f>
        <v/>
      </c>
      <c r="AA175" s="425" t="str">
        <f aca="false">IF(ABS(t-T_satellite)&lt;pas/2,"Satellite","")</f>
        <v/>
      </c>
      <c r="AB175" s="413"/>
      <c r="AC175" s="421" t="e">
        <f aca="false">IF(ABS(t-ROUND(t,0))&lt;0.001,t,NA())</f>
        <v>#N/A</v>
      </c>
      <c r="AD175" s="426" t="e">
        <f aca="false">IF(ABS(t-ROUND(t,0))&lt;0.001,pos_x,NA())</f>
        <v>#N/A</v>
      </c>
      <c r="AE175" s="427" t="n">
        <f aca="false">IF(t&lt;T_para, pos_z, NA())</f>
        <v>103.950002921538</v>
      </c>
      <c r="AF175" s="413"/>
      <c r="AG175" s="419" t="n">
        <f aca="false">IF(AND(L174&lt;L_rampe,Poussee&lt;Poids*SIN(M174)),0,(-W174+Poussee)/m-Poids*SIN(M174)/m)</f>
        <v>-13.2977861516304</v>
      </c>
      <c r="AH175" s="418" t="n">
        <f aca="false">IF(AND(L174&lt;L_rampe,Poussee&lt;Poids*SIN(M174)), g*SIN(M174), (-W174+Poussee)/m)</f>
        <v>-3.72191786146947</v>
      </c>
    </row>
    <row r="176" customFormat="false" ht="12" hidden="false" customHeight="false" outlineLevel="0" collapsed="false">
      <c r="A176" s="417" t="n">
        <f aca="false">IF(B175+0.01&lt;=T_ini+ROUNDUP(Temps_fin_propu,0), 0.01, IF(K175&gt;0, 0.1, 0.0001))</f>
        <v>0.01</v>
      </c>
      <c r="B176" s="418" t="n">
        <f aca="false">B175+pas</f>
        <v>1.72</v>
      </c>
      <c r="C176" s="402"/>
      <c r="D176" s="419" t="n">
        <f aca="false">IF(AND(L175&lt;L_rampe,Poussee&lt;Poids*SIN(M175)),0,(-W175+Poussee)/m*COS(M175)-U175/m*SIN(M175))</f>
        <v>-0.806327013100537</v>
      </c>
      <c r="E176" s="420" t="n">
        <f aca="false">IF(AND(L175&lt;L_rampe,Poussee&lt;Poids*SIN(M175)),0,(-W175+Poussee)/m*SIN(M175)+U175/m*COS(M175)-Poids/m)</f>
        <v>-13.4291686522025</v>
      </c>
      <c r="F176" s="418" t="n">
        <f aca="false">SQRT(acc_x^2+acc_z^2)</f>
        <v>13.4533540034206</v>
      </c>
      <c r="G176" s="419" t="n">
        <f aca="false">G175+acc_x*pas</f>
        <v>15.5977971174126</v>
      </c>
      <c r="H176" s="420" t="n">
        <f aca="false">H175+acc_z*pas</f>
        <v>69.9120292076087</v>
      </c>
      <c r="I176" s="418" t="n">
        <f aca="false">SQRT(vit_x^2+vit_z^2)</f>
        <v>71.630880930235</v>
      </c>
      <c r="J176" s="419" t="n">
        <f aca="false">J175+0.5*(vit_x+G175)*pas*(K175&gt;=0)</f>
        <v>21.2533577066193</v>
      </c>
      <c r="K176" s="420" t="n">
        <f aca="false">K175+0.5*(vit_z+H175)*pas</f>
        <v>104.649794672047</v>
      </c>
      <c r="L176" s="418" t="n">
        <f aca="false">SQRT(pos_x^2+pos_z^2)</f>
        <v>106.786163610774</v>
      </c>
      <c r="M176" s="419" t="n">
        <f aca="false">IF(AND(L175&gt;L_rampe,G176&gt;0),ATAN2(G176,H176),$M$4)</f>
        <v>1.35128529693845</v>
      </c>
      <c r="N176" s="418" t="n">
        <f aca="false">DEGREES(Beta)</f>
        <v>77.4229444326557</v>
      </c>
      <c r="O176" s="402"/>
      <c r="P176" s="421" t="n">
        <f aca="false">MATCH(t-pas/2-T_ini,CdP_t)</f>
        <v>13</v>
      </c>
      <c r="Q176" s="418" t="n">
        <f aca="false">(INDEX(CdP,2,i_P+1)-INDEX(CdP,2,i_P+0))/(INDEX(CdP,1,i_P+1)-INDEX(CdP,1,i_P+0))*(t-pas/2-T_ini-INDEX(CdP,1,i_P+0))+INDEX(CdP,2,i_P+0)</f>
        <v>0</v>
      </c>
      <c r="R176" s="419" t="n">
        <f aca="false">Poussee/(g*ISP)</f>
        <v>0</v>
      </c>
      <c r="S176" s="420" t="n">
        <f aca="false">S175-Débit*pas</f>
        <v>1.4843</v>
      </c>
      <c r="T176" s="418" t="n">
        <f aca="false">m*g</f>
        <v>14.560983</v>
      </c>
      <c r="U176" s="422" t="n">
        <f aca="false">IF(pos_xz&lt;L_rampe,Poids*COS(Beta),0)</f>
        <v>0</v>
      </c>
      <c r="V176" s="419" t="n">
        <f aca="false">Rho_moyen*(20000-Alt_rampe-pos_z)/(20000+Alt_rampe+pos_z)</f>
        <v>1.21224712941707</v>
      </c>
      <c r="W176" s="418" t="n">
        <f aca="false">1/2*Rho*Sref*Cx*vit_xz^2</f>
        <v>5.48290213772395</v>
      </c>
      <c r="X176" s="402"/>
      <c r="Y176" s="423" t="str">
        <f aca="false">IF(AND(pos_z&lt;=0,K175&gt;0),"Impact balistique","") &amp; IF(AND(H177&lt;0,vit_z&gt;=0),"Apogée","") &amp; IF(AND(Poussee=0,Q175&gt;0),"Fin de propulsion","") &amp; IF(AND(L177&gt;L_rampe,pos_xz&lt;=L_rampe),"Sortie de rampe","")</f>
        <v/>
      </c>
      <c r="Z176" s="424" t="str">
        <f aca="false">IF(ABS(t-T_para)&lt;pas/2,"Para","")</f>
        <v/>
      </c>
      <c r="AA176" s="425" t="str">
        <f aca="false">IF(ABS(t-T_satellite)&lt;pas/2,"Satellite","")</f>
        <v/>
      </c>
      <c r="AB176" s="413"/>
      <c r="AC176" s="421" t="e">
        <f aca="false">IF(ABS(t-ROUND(t,0))&lt;0.001,t,NA())</f>
        <v>#N/A</v>
      </c>
      <c r="AD176" s="426" t="e">
        <f aca="false">IF(ABS(t-ROUND(t,0))&lt;0.001,pos_x,NA())</f>
        <v>#N/A</v>
      </c>
      <c r="AE176" s="427" t="n">
        <f aca="false">IF(t&lt;T_para, pos_z, NA())</f>
        <v>104.649794672047</v>
      </c>
      <c r="AF176" s="413"/>
      <c r="AG176" s="419" t="n">
        <f aca="false">IF(AND(L175&lt;L_rampe,Poussee&lt;Poids*SIN(M175)),0,(-W175+Poussee)/m-Poids*SIN(M175)/m)</f>
        <v>-13.2831384413822</v>
      </c>
      <c r="AH176" s="418" t="n">
        <f aca="false">IF(AND(L175&lt;L_rampe,Poussee&lt;Poids*SIN(M175)), g*SIN(M175), (-W175+Poussee)/m)</f>
        <v>-3.70790304419367</v>
      </c>
    </row>
    <row r="177" customFormat="false" ht="12" hidden="false" customHeight="false" outlineLevel="0" collapsed="false">
      <c r="A177" s="417" t="n">
        <f aca="false">IF(B176+0.01&lt;=T_ini+ROUNDUP(Temps_fin_propu,0), 0.01, IF(K176&gt;0, 0.1, 0.0001))</f>
        <v>0.01</v>
      </c>
      <c r="B177" s="418" t="n">
        <f aca="false">B176+pas</f>
        <v>1.73</v>
      </c>
      <c r="C177" s="402"/>
      <c r="D177" s="419" t="n">
        <f aca="false">IF(AND(L176&lt;L_rampe,Poussee&lt;Poids*SIN(M176)),0,(-W176+Poussee)/m*COS(M176)-U176/m*SIN(M176))</f>
        <v>-0.804362438098575</v>
      </c>
      <c r="E177" s="420" t="n">
        <f aca="false">IF(AND(L176&lt;L_rampe,Poussee&lt;Poids*SIN(M176)),0,(-W176+Poussee)/m*SIN(M176)+U176/m*COS(M176)-Poids/m)</f>
        <v>-13.4152918141289</v>
      </c>
      <c r="F177" s="418" t="n">
        <f aca="false">SQRT(acc_x^2+acc_z^2)</f>
        <v>13.4393844126157</v>
      </c>
      <c r="G177" s="419" t="n">
        <f aca="false">G176+acc_x*pas</f>
        <v>15.5897534930316</v>
      </c>
      <c r="H177" s="420" t="n">
        <f aca="false">H176+acc_z*pas</f>
        <v>69.7778762894674</v>
      </c>
      <c r="I177" s="418" t="n">
        <f aca="false">SQRT(vit_x^2+vit_z^2)</f>
        <v>71.4981988125695</v>
      </c>
      <c r="J177" s="419" t="n">
        <f aca="false">J176+0.5*(vit_x+G176)*pas*(K176&gt;=0)</f>
        <v>21.4092954596715</v>
      </c>
      <c r="K177" s="420" t="n">
        <f aca="false">K176+0.5*(vit_z+H176)*pas</f>
        <v>105.348244199532</v>
      </c>
      <c r="L177" s="418" t="n">
        <f aca="false">SQRT(pos_x^2+pos_z^2)</f>
        <v>107.501676675314</v>
      </c>
      <c r="M177" s="419" t="n">
        <f aca="false">IF(AND(L176&gt;L_rampe,G177&gt;0),ATAN2(G177,H177),$M$4)</f>
        <v>1.35098652700692</v>
      </c>
      <c r="N177" s="418" t="n">
        <f aca="false">DEGREES(Beta)</f>
        <v>77.4058261765334</v>
      </c>
      <c r="O177" s="402"/>
      <c r="P177" s="421" t="n">
        <f aca="false">MATCH(t-pas/2-T_ini,CdP_t)</f>
        <v>13</v>
      </c>
      <c r="Q177" s="418" t="n">
        <f aca="false">(INDEX(CdP,2,i_P+1)-INDEX(CdP,2,i_P+0))/(INDEX(CdP,1,i_P+1)-INDEX(CdP,1,i_P+0))*(t-pas/2-T_ini-INDEX(CdP,1,i_P+0))+INDEX(CdP,2,i_P+0)</f>
        <v>0</v>
      </c>
      <c r="R177" s="419" t="n">
        <f aca="false">Poussee/(g*ISP)</f>
        <v>0</v>
      </c>
      <c r="S177" s="420" t="n">
        <f aca="false">S176-Débit*pas</f>
        <v>1.4843</v>
      </c>
      <c r="T177" s="418" t="n">
        <f aca="false">m*g</f>
        <v>14.560983</v>
      </c>
      <c r="U177" s="422" t="n">
        <f aca="false">IF(pos_xz&lt;L_rampe,Poids*COS(Beta),0)</f>
        <v>0</v>
      </c>
      <c r="V177" s="419" t="n">
        <f aca="false">Rho_moyen*(20000-Alt_rampe-pos_z)/(20000+Alt_rampe+pos_z)</f>
        <v>1.21216246069683</v>
      </c>
      <c r="W177" s="418" t="n">
        <f aca="false">1/2*Rho*Sref*Cx*vit_xz^2</f>
        <v>5.4622274213276</v>
      </c>
      <c r="X177" s="402"/>
      <c r="Y177" s="423" t="str">
        <f aca="false">IF(AND(pos_z&lt;=0,K176&gt;0),"Impact balistique","") &amp; IF(AND(H178&lt;0,vit_z&gt;=0),"Apogée","") &amp; IF(AND(Poussee=0,Q176&gt;0),"Fin de propulsion","") &amp; IF(AND(L178&gt;L_rampe,pos_xz&lt;=L_rampe),"Sortie de rampe","")</f>
        <v/>
      </c>
      <c r="Z177" s="424" t="str">
        <f aca="false">IF(ABS(t-T_para)&lt;pas/2,"Para","")</f>
        <v/>
      </c>
      <c r="AA177" s="425" t="str">
        <f aca="false">IF(ABS(t-T_satellite)&lt;pas/2,"Satellite","")</f>
        <v/>
      </c>
      <c r="AB177" s="413"/>
      <c r="AC177" s="421" t="e">
        <f aca="false">IF(ABS(t-ROUND(t,0))&lt;0.001,t,NA())</f>
        <v>#N/A</v>
      </c>
      <c r="AD177" s="426" t="e">
        <f aca="false">IF(ABS(t-ROUND(t,0))&lt;0.001,pos_x,NA())</f>
        <v>#N/A</v>
      </c>
      <c r="AE177" s="427" t="n">
        <f aca="false">IF(t&lt;T_para, pos_z, NA())</f>
        <v>105.348244199532</v>
      </c>
      <c r="AF177" s="413"/>
      <c r="AG177" s="419" t="n">
        <f aca="false">IF(AND(L176&lt;L_rampe,Poussee&lt;Poids*SIN(M176)),0,(-W176+Poussee)/m-Poids*SIN(M176)/m)</f>
        <v>-13.2685308754192</v>
      </c>
      <c r="AH177" s="418" t="n">
        <f aca="false">IF(AND(L176&lt;L_rampe,Poussee&lt;Poids*SIN(M176)), g*SIN(M176), (-W176+Poussee)/m)</f>
        <v>-3.69393123878189</v>
      </c>
    </row>
    <row r="178" customFormat="false" ht="12" hidden="false" customHeight="false" outlineLevel="0" collapsed="false">
      <c r="A178" s="417" t="n">
        <f aca="false">IF(B177+0.01&lt;=T_ini+ROUNDUP(Temps_fin_propu,0), 0.01, IF(K177&gt;0, 0.1, 0.0001))</f>
        <v>0.01</v>
      </c>
      <c r="B178" s="418" t="n">
        <f aca="false">B177+pas</f>
        <v>1.74</v>
      </c>
      <c r="C178" s="402"/>
      <c r="D178" s="419" t="n">
        <f aca="false">IF(AND(L177&lt;L_rampe,Poussee&lt;Poids*SIN(M177)),0,(-W177+Poussee)/m*COS(M177)-U177/m*SIN(M177))</f>
        <v>-0.802402434490722</v>
      </c>
      <c r="E178" s="420" t="n">
        <f aca="false">IF(AND(L177&lt;L_rampe,Poussee&lt;Poids*SIN(M177)),0,(-W177+Poussee)/m*SIN(M177)+U177/m*COS(M177)-Poids/m)</f>
        <v>-13.4014575450656</v>
      </c>
      <c r="F178" s="418" t="n">
        <f aca="false">SQRT(acc_x^2+acc_z^2)</f>
        <v>13.425457683039</v>
      </c>
      <c r="G178" s="419" t="n">
        <f aca="false">G177+acc_x*pas</f>
        <v>15.5817294686867</v>
      </c>
      <c r="H178" s="420" t="n">
        <f aca="false">H177+acc_z*pas</f>
        <v>69.6438617140168</v>
      </c>
      <c r="I178" s="418" t="n">
        <f aca="false">SQRT(vit_x^2+vit_z^2)</f>
        <v>71.3656623851866</v>
      </c>
      <c r="J178" s="419" t="n">
        <f aca="false">J177+0.5*(vit_x+G177)*pas*(K177&gt;=0)</f>
        <v>21.5651528744801</v>
      </c>
      <c r="K178" s="420" t="n">
        <f aca="false">K177+0.5*(vit_z+H177)*pas</f>
        <v>106.04535288955</v>
      </c>
      <c r="L178" s="418" t="n">
        <f aca="false">SQRT(pos_x^2+pos_z^2)</f>
        <v>108.215861535954</v>
      </c>
      <c r="M178" s="419" t="n">
        <f aca="false">IF(AND(L177&gt;L_rampe,G178&gt;0),ATAN2(G178,H178),$M$4)</f>
        <v>1.35068680139207</v>
      </c>
      <c r="N178" s="418" t="n">
        <f aca="false">DEGREES(Beta)</f>
        <v>77.3886531637907</v>
      </c>
      <c r="O178" s="402"/>
      <c r="P178" s="421" t="n">
        <f aca="false">MATCH(t-pas/2-T_ini,CdP_t)</f>
        <v>13</v>
      </c>
      <c r="Q178" s="418" t="n">
        <f aca="false">(INDEX(CdP,2,i_P+1)-INDEX(CdP,2,i_P+0))/(INDEX(CdP,1,i_P+1)-INDEX(CdP,1,i_P+0))*(t-pas/2-T_ini-INDEX(CdP,1,i_P+0))+INDEX(CdP,2,i_P+0)</f>
        <v>0</v>
      </c>
      <c r="R178" s="419" t="n">
        <f aca="false">Poussee/(g*ISP)</f>
        <v>0</v>
      </c>
      <c r="S178" s="420" t="n">
        <f aca="false">S177-Débit*pas</f>
        <v>1.4843</v>
      </c>
      <c r="T178" s="418" t="n">
        <f aca="false">m*g</f>
        <v>14.560983</v>
      </c>
      <c r="U178" s="422" t="n">
        <f aca="false">IF(pos_xz&lt;L_rampe,Poids*COS(Beta),0)</f>
        <v>0</v>
      </c>
      <c r="V178" s="419" t="n">
        <f aca="false">Rho_moyen*(20000-Alt_rampe-pos_z)/(20000+Alt_rampe+pos_z)</f>
        <v>1.21207796038359</v>
      </c>
      <c r="W178" s="418" t="n">
        <f aca="false">1/2*Rho*Sref*Cx*vit_xz^2</f>
        <v>5.44161613212481</v>
      </c>
      <c r="X178" s="402"/>
      <c r="Y178" s="423" t="str">
        <f aca="false">IF(AND(pos_z&lt;=0,K177&gt;0),"Impact balistique","") &amp; IF(AND(H179&lt;0,vit_z&gt;=0),"Apogée","") &amp; IF(AND(Poussee=0,Q177&gt;0),"Fin de propulsion","") &amp; IF(AND(L179&gt;L_rampe,pos_xz&lt;=L_rampe),"Sortie de rampe","")</f>
        <v/>
      </c>
      <c r="Z178" s="424" t="str">
        <f aca="false">IF(ABS(t-T_para)&lt;pas/2,"Para","")</f>
        <v/>
      </c>
      <c r="AA178" s="425" t="str">
        <f aca="false">IF(ABS(t-T_satellite)&lt;pas/2,"Satellite","")</f>
        <v/>
      </c>
      <c r="AB178" s="413"/>
      <c r="AC178" s="421" t="e">
        <f aca="false">IF(ABS(t-ROUND(t,0))&lt;0.001,t,NA())</f>
        <v>#N/A</v>
      </c>
      <c r="AD178" s="426" t="e">
        <f aca="false">IF(ABS(t-ROUND(t,0))&lt;0.001,pos_x,NA())</f>
        <v>#N/A</v>
      </c>
      <c r="AE178" s="427" t="n">
        <f aca="false">IF(t&lt;T_para, pos_z, NA())</f>
        <v>106.04535288955</v>
      </c>
      <c r="AF178" s="413"/>
      <c r="AG178" s="419" t="n">
        <f aca="false">IF(AND(L177&lt;L_rampe,Poussee&lt;Poids*SIN(M177)),0,(-W177+Poussee)/m-Poids*SIN(M177)/m)</f>
        <v>-13.2539632965895</v>
      </c>
      <c r="AH178" s="418" t="n">
        <f aca="false">IF(AND(L177&lt;L_rampe,Poussee&lt;Poids*SIN(M177)), g*SIN(M177), (-W177+Poussee)/m)</f>
        <v>-3.68000230501085</v>
      </c>
    </row>
    <row r="179" customFormat="false" ht="12" hidden="false" customHeight="false" outlineLevel="0" collapsed="false">
      <c r="A179" s="417" t="n">
        <f aca="false">IF(B178+0.01&lt;=T_ini+ROUNDUP(Temps_fin_propu,0), 0.01, IF(K178&gt;0, 0.1, 0.0001))</f>
        <v>0.01</v>
      </c>
      <c r="B179" s="418" t="n">
        <f aca="false">B178+pas</f>
        <v>1.75</v>
      </c>
      <c r="C179" s="402"/>
      <c r="D179" s="419" t="n">
        <f aca="false">IF(AND(L178&lt;L_rampe,Poussee&lt;Poids*SIN(M178)),0,(-W178+Poussee)/m*COS(M178)-U178/m*SIN(M178))</f>
        <v>-0.800446985471244</v>
      </c>
      <c r="E179" s="420" t="n">
        <f aca="false">IF(AND(L178&lt;L_rampe,Poussee&lt;Poids*SIN(M178)),0,(-W178+Poussee)/m*SIN(M178)+U178/m*COS(M178)-Poids/m)</f>
        <v>-13.3876657063383</v>
      </c>
      <c r="F179" s="418" t="n">
        <f aca="false">SQRT(acc_x^2+acc_z^2)</f>
        <v>13.4115736750471</v>
      </c>
      <c r="G179" s="419" t="n">
        <f aca="false">G178+acc_x*pas</f>
        <v>15.573724998832</v>
      </c>
      <c r="H179" s="420" t="n">
        <f aca="false">H178+acc_z*pas</f>
        <v>69.5099850569534</v>
      </c>
      <c r="I179" s="418" t="n">
        <f aca="false">SQRT(vit_x^2+vit_z^2)</f>
        <v>71.233271249867</v>
      </c>
      <c r="J179" s="419" t="n">
        <f aca="false">J178+0.5*(vit_x+G178)*pas*(K178&gt;=0)</f>
        <v>21.7209301468177</v>
      </c>
      <c r="K179" s="420" t="n">
        <f aca="false">K178+0.5*(vit_z+H178)*pas</f>
        <v>106.741122123405</v>
      </c>
      <c r="L179" s="418" t="n">
        <f aca="false">SQRT(pos_x^2+pos_z^2)</f>
        <v>108.928719622543</v>
      </c>
      <c r="M179" s="419" t="n">
        <f aca="false">IF(AND(L178&gt;L_rampe,G179&gt;0),ATAN2(G179,H179),$M$4)</f>
        <v>1.35038611589334</v>
      </c>
      <c r="N179" s="418" t="n">
        <f aca="false">DEGREES(Beta)</f>
        <v>77.3714251537525</v>
      </c>
      <c r="O179" s="402"/>
      <c r="P179" s="421" t="n">
        <f aca="false">MATCH(t-pas/2-T_ini,CdP_t)</f>
        <v>13</v>
      </c>
      <c r="Q179" s="418" t="n">
        <f aca="false">(INDEX(CdP,2,i_P+1)-INDEX(CdP,2,i_P+0))/(INDEX(CdP,1,i_P+1)-INDEX(CdP,1,i_P+0))*(t-pas/2-T_ini-INDEX(CdP,1,i_P+0))+INDEX(CdP,2,i_P+0)</f>
        <v>0</v>
      </c>
      <c r="R179" s="419" t="n">
        <f aca="false">Poussee/(g*ISP)</f>
        <v>0</v>
      </c>
      <c r="S179" s="420" t="n">
        <f aca="false">S178-Débit*pas</f>
        <v>1.4843</v>
      </c>
      <c r="T179" s="418" t="n">
        <f aca="false">m*g</f>
        <v>14.560983</v>
      </c>
      <c r="U179" s="422" t="n">
        <f aca="false">IF(pos_xz&lt;L_rampe,Poids*COS(Beta),0)</f>
        <v>0</v>
      </c>
      <c r="V179" s="419" t="n">
        <f aca="false">Rho_moyen*(20000-Alt_rampe-pos_z)/(20000+Alt_rampe+pos_z)</f>
        <v>1.21199362827551</v>
      </c>
      <c r="W179" s="418" t="n">
        <f aca="false">1/2*Rho*Sref*Cx*vit_xz^2</f>
        <v>5.42106806387841</v>
      </c>
      <c r="X179" s="402"/>
      <c r="Y179" s="423" t="str">
        <f aca="false">IF(AND(pos_z&lt;=0,K178&gt;0),"Impact balistique","") &amp; IF(AND(H180&lt;0,vit_z&gt;=0),"Apogée","") &amp; IF(AND(Poussee=0,Q178&gt;0),"Fin de propulsion","") &amp; IF(AND(L180&gt;L_rampe,pos_xz&lt;=L_rampe),"Sortie de rampe","")</f>
        <v/>
      </c>
      <c r="Z179" s="424" t="str">
        <f aca="false">IF(ABS(t-T_para)&lt;pas/2,"Para","")</f>
        <v/>
      </c>
      <c r="AA179" s="425" t="str">
        <f aca="false">IF(ABS(t-T_satellite)&lt;pas/2,"Satellite","")</f>
        <v/>
      </c>
      <c r="AB179" s="413"/>
      <c r="AC179" s="421" t="e">
        <f aca="false">IF(ABS(t-ROUND(t,0))&lt;0.001,t,NA())</f>
        <v>#N/A</v>
      </c>
      <c r="AD179" s="426" t="e">
        <f aca="false">IF(ABS(t-ROUND(t,0))&lt;0.001,pos_x,NA())</f>
        <v>#N/A</v>
      </c>
      <c r="AE179" s="427" t="n">
        <f aca="false">IF(t&lt;T_para, pos_z, NA())</f>
        <v>106.741122123405</v>
      </c>
      <c r="AF179" s="413"/>
      <c r="AG179" s="419" t="n">
        <f aca="false">IF(AND(L178&lt;L_rampe,Poussee&lt;Poids*SIN(M178)),0,(-W178+Poussee)/m-Poids*SIN(M178)/m)</f>
        <v>-13.239435548257</v>
      </c>
      <c r="AH179" s="418" t="n">
        <f aca="false">IF(AND(L178&lt;L_rampe,Poussee&lt;Poids*SIN(M178)), g*SIN(M178), (-W178+Poussee)/m)</f>
        <v>-3.66611610329773</v>
      </c>
    </row>
    <row r="180" customFormat="false" ht="12" hidden="false" customHeight="false" outlineLevel="0" collapsed="false">
      <c r="A180" s="417" t="n">
        <f aca="false">IF(B179+0.01&lt;=T_ini+ROUNDUP(Temps_fin_propu,0), 0.01, IF(K179&gt;0, 0.1, 0.0001))</f>
        <v>0.01</v>
      </c>
      <c r="B180" s="418" t="n">
        <f aca="false">B179+pas</f>
        <v>1.76</v>
      </c>
      <c r="C180" s="402"/>
      <c r="D180" s="419" t="n">
        <f aca="false">IF(AND(L179&lt;L_rampe,Poussee&lt;Poids*SIN(M179)),0,(-W179+Poussee)/m*COS(M179)-U179/m*SIN(M179))</f>
        <v>-0.798496074308982</v>
      </c>
      <c r="E180" s="420" t="n">
        <f aca="false">IF(AND(L179&lt;L_rampe,Poussee&lt;Poids*SIN(M179)),0,(-W179+Poussee)/m*SIN(M179)+U179/m*COS(M179)-Poids/m)</f>
        <v>-13.373916159905</v>
      </c>
      <c r="F180" s="418" t="n">
        <f aca="false">SQRT(acc_x^2+acc_z^2)</f>
        <v>13.3977322496329</v>
      </c>
      <c r="G180" s="419" t="n">
        <f aca="false">G179+acc_x*pas</f>
        <v>15.5657400380889</v>
      </c>
      <c r="H180" s="420" t="n">
        <f aca="false">H179+acc_z*pas</f>
        <v>69.3762458953544</v>
      </c>
      <c r="I180" s="418" t="n">
        <f aca="false">SQRT(vit_x^2+vit_z^2)</f>
        <v>71.1010250099535</v>
      </c>
      <c r="J180" s="419" t="n">
        <f aca="false">J179+0.5*(vit_x+G179)*pas*(K179&gt;=0)</f>
        <v>21.8766274720023</v>
      </c>
      <c r="K180" s="420" t="n">
        <f aca="false">K179+0.5*(vit_z+H179)*pas</f>
        <v>107.435553278166</v>
      </c>
      <c r="L180" s="418" t="n">
        <f aca="false">SQRT(pos_x^2+pos_z^2)</f>
        <v>109.640252360775</v>
      </c>
      <c r="M180" s="419" t="n">
        <f aca="false">IF(AND(L179&gt;L_rampe,G180&gt;0),ATAN2(G180,H180),$M$4)</f>
        <v>1.35008446628553</v>
      </c>
      <c r="N180" s="418" t="n">
        <f aca="false">DEGREES(Beta)</f>
        <v>77.3541419043331</v>
      </c>
      <c r="O180" s="402"/>
      <c r="P180" s="421" t="n">
        <f aca="false">MATCH(t-pas/2-T_ini,CdP_t)</f>
        <v>13</v>
      </c>
      <c r="Q180" s="418" t="n">
        <f aca="false">(INDEX(CdP,2,i_P+1)-INDEX(CdP,2,i_P+0))/(INDEX(CdP,1,i_P+1)-INDEX(CdP,1,i_P+0))*(t-pas/2-T_ini-INDEX(CdP,1,i_P+0))+INDEX(CdP,2,i_P+0)</f>
        <v>0</v>
      </c>
      <c r="R180" s="419" t="n">
        <f aca="false">Poussee/(g*ISP)</f>
        <v>0</v>
      </c>
      <c r="S180" s="420" t="n">
        <f aca="false">S179-Débit*pas</f>
        <v>1.4843</v>
      </c>
      <c r="T180" s="418" t="n">
        <f aca="false">m*g</f>
        <v>14.560983</v>
      </c>
      <c r="U180" s="422" t="n">
        <f aca="false">IF(pos_xz&lt;L_rampe,Poids*COS(Beta),0)</f>
        <v>0</v>
      </c>
      <c r="V180" s="419" t="n">
        <f aca="false">Rho_moyen*(20000-Alt_rampe-pos_z)/(20000+Alt_rampe+pos_z)</f>
        <v>1.2119094641714</v>
      </c>
      <c r="W180" s="418" t="n">
        <f aca="false">1/2*Rho*Sref*Cx*vit_xz^2</f>
        <v>5.40058301129197</v>
      </c>
      <c r="X180" s="402"/>
      <c r="Y180" s="423" t="str">
        <f aca="false">IF(AND(pos_z&lt;=0,K179&gt;0),"Impact balistique","") &amp; IF(AND(H181&lt;0,vit_z&gt;=0),"Apogée","") &amp; IF(AND(Poussee=0,Q179&gt;0),"Fin de propulsion","") &amp; IF(AND(L181&gt;L_rampe,pos_xz&lt;=L_rampe),"Sortie de rampe","")</f>
        <v/>
      </c>
      <c r="Z180" s="424" t="str">
        <f aca="false">IF(ABS(t-T_para)&lt;pas/2,"Para","")</f>
        <v/>
      </c>
      <c r="AA180" s="425" t="str">
        <f aca="false">IF(ABS(t-T_satellite)&lt;pas/2,"Satellite","")</f>
        <v/>
      </c>
      <c r="AB180" s="413"/>
      <c r="AC180" s="421" t="e">
        <f aca="false">IF(ABS(t-ROUND(t,0))&lt;0.001,t,NA())</f>
        <v>#N/A</v>
      </c>
      <c r="AD180" s="426" t="e">
        <f aca="false">IF(ABS(t-ROUND(t,0))&lt;0.001,pos_x,NA())</f>
        <v>#N/A</v>
      </c>
      <c r="AE180" s="427" t="n">
        <f aca="false">IF(t&lt;T_para, pos_z, NA())</f>
        <v>107.435553278166</v>
      </c>
      <c r="AF180" s="413"/>
      <c r="AG180" s="419" t="n">
        <f aca="false">IF(AND(L179&lt;L_rampe,Poussee&lt;Poids*SIN(M179)),0,(-W179+Poussee)/m-Poids*SIN(M179)/m)</f>
        <v>-13.2249474742975</v>
      </c>
      <c r="AH180" s="418" t="n">
        <f aca="false">IF(AND(L179&lt;L_rampe,Poussee&lt;Poids*SIN(M179)), g*SIN(M179), (-W179+Poussee)/m)</f>
        <v>-3.65227249469677</v>
      </c>
    </row>
    <row r="181" customFormat="false" ht="12" hidden="false" customHeight="false" outlineLevel="0" collapsed="false">
      <c r="A181" s="417" t="n">
        <f aca="false">IF(B180+0.01&lt;=T_ini+ROUNDUP(Temps_fin_propu,0), 0.01, IF(K180&gt;0, 0.1, 0.0001))</f>
        <v>0.01</v>
      </c>
      <c r="B181" s="418" t="n">
        <f aca="false">B180+pas</f>
        <v>1.77</v>
      </c>
      <c r="C181" s="402"/>
      <c r="D181" s="419" t="n">
        <f aca="false">IF(AND(L180&lt;L_rampe,Poussee&lt;Poids*SIN(M180)),0,(-W180+Poussee)/m*COS(M180)-U180/m*SIN(M180))</f>
        <v>-0.796549684346968</v>
      </c>
      <c r="E181" s="420" t="n">
        <f aca="false">IF(AND(L180&lt;L_rampe,Poussee&lt;Poids*SIN(M180)),0,(-W180+Poussee)/m*SIN(M180)+U180/m*COS(M180)-Poids/m)</f>
        <v>-13.3602087683527</v>
      </c>
      <c r="F181" s="418" t="n">
        <f aca="false">SQRT(acc_x^2+acc_z^2)</f>
        <v>13.3839332684231</v>
      </c>
      <c r="G181" s="419" t="n">
        <f aca="false">G180+acc_x*pas</f>
        <v>15.5577745412455</v>
      </c>
      <c r="H181" s="420" t="n">
        <f aca="false">H180+acc_z*pas</f>
        <v>69.2426438076708</v>
      </c>
      <c r="I181" s="418" t="n">
        <f aca="false">SQRT(vit_x^2+vit_z^2)</f>
        <v>70.9689232703456</v>
      </c>
      <c r="J181" s="419" t="n">
        <f aca="false">J180+0.5*(vit_x+G180)*pas*(K180&gt;=0)</f>
        <v>22.032245044899</v>
      </c>
      <c r="K181" s="420" t="n">
        <f aca="false">K180+0.5*(vit_z+H180)*pas</f>
        <v>108.128647726681</v>
      </c>
      <c r="L181" s="418" t="n">
        <f aca="false">SQRT(pos_x^2+pos_z^2)</f>
        <v>110.350461172209</v>
      </c>
      <c r="M181" s="419" t="n">
        <f aca="false">IF(AND(L180&gt;L_rampe,G181&gt;0),ATAN2(G181,H181),$M$4)</f>
        <v>1.34978184831864</v>
      </c>
      <c r="N181" s="418" t="n">
        <f aca="false">DEGREES(Beta)</f>
        <v>77.3368031720258</v>
      </c>
      <c r="O181" s="402"/>
      <c r="P181" s="421" t="n">
        <f aca="false">MATCH(t-pas/2-T_ini,CdP_t)</f>
        <v>13</v>
      </c>
      <c r="Q181" s="418" t="n">
        <f aca="false">(INDEX(CdP,2,i_P+1)-INDEX(CdP,2,i_P+0))/(INDEX(CdP,1,i_P+1)-INDEX(CdP,1,i_P+0))*(t-pas/2-T_ini-INDEX(CdP,1,i_P+0))+INDEX(CdP,2,i_P+0)</f>
        <v>0</v>
      </c>
      <c r="R181" s="419" t="n">
        <f aca="false">Poussee/(g*ISP)</f>
        <v>0</v>
      </c>
      <c r="S181" s="420" t="n">
        <f aca="false">S180-Débit*pas</f>
        <v>1.4843</v>
      </c>
      <c r="T181" s="418" t="n">
        <f aca="false">m*g</f>
        <v>14.560983</v>
      </c>
      <c r="U181" s="422" t="n">
        <f aca="false">IF(pos_xz&lt;L_rampe,Poids*COS(Beta),0)</f>
        <v>0</v>
      </c>
      <c r="V181" s="419" t="n">
        <f aca="false">Rho_moyen*(20000-Alt_rampe-pos_z)/(20000+Alt_rampe+pos_z)</f>
        <v>1.21182546787066</v>
      </c>
      <c r="W181" s="418" t="n">
        <f aca="false">1/2*Rho*Sref*Cx*vit_xz^2</f>
        <v>5.38016077000481</v>
      </c>
      <c r="X181" s="402"/>
      <c r="Y181" s="423" t="str">
        <f aca="false">IF(AND(pos_z&lt;=0,K180&gt;0),"Impact balistique","") &amp; IF(AND(H182&lt;0,vit_z&gt;=0),"Apogée","") &amp; IF(AND(Poussee=0,Q180&gt;0),"Fin de propulsion","") &amp; IF(AND(L182&gt;L_rampe,pos_xz&lt;=L_rampe),"Sortie de rampe","")</f>
        <v/>
      </c>
      <c r="Z181" s="424" t="str">
        <f aca="false">IF(ABS(t-T_para)&lt;pas/2,"Para","")</f>
        <v/>
      </c>
      <c r="AA181" s="425" t="str">
        <f aca="false">IF(ABS(t-T_satellite)&lt;pas/2,"Satellite","")</f>
        <v/>
      </c>
      <c r="AB181" s="413"/>
      <c r="AC181" s="421" t="e">
        <f aca="false">IF(ABS(t-ROUND(t,0))&lt;0.001,t,NA())</f>
        <v>#N/A</v>
      </c>
      <c r="AD181" s="426" t="e">
        <f aca="false">IF(ABS(t-ROUND(t,0))&lt;0.001,pos_x,NA())</f>
        <v>#N/A</v>
      </c>
      <c r="AE181" s="427" t="n">
        <f aca="false">IF(t&lt;T_para, pos_z, NA())</f>
        <v>108.128647726681</v>
      </c>
      <c r="AF181" s="413"/>
      <c r="AG181" s="419" t="n">
        <f aca="false">IF(AND(L180&lt;L_rampe,Poussee&lt;Poids*SIN(M180)),0,(-W180+Poussee)/m-Poids*SIN(M180)/m)</f>
        <v>-13.2104989190941</v>
      </c>
      <c r="AH181" s="418" t="n">
        <f aca="false">IF(AND(L180&lt;L_rampe,Poussee&lt;Poids*SIN(M180)), g*SIN(M180), (-W180+Poussee)/m)</f>
        <v>-3.63847134089603</v>
      </c>
    </row>
    <row r="182" customFormat="false" ht="12" hidden="false" customHeight="false" outlineLevel="0" collapsed="false">
      <c r="A182" s="417" t="n">
        <f aca="false">IF(B181+0.01&lt;=T_ini+ROUNDUP(Temps_fin_propu,0), 0.01, IF(K181&gt;0, 0.1, 0.0001))</f>
        <v>0.01</v>
      </c>
      <c r="B182" s="418" t="n">
        <f aca="false">B181+pas</f>
        <v>1.78</v>
      </c>
      <c r="C182" s="402"/>
      <c r="D182" s="419" t="n">
        <f aca="false">IF(AND(L181&lt;L_rampe,Poussee&lt;Poids*SIN(M181)),0,(-W181+Poussee)/m*COS(M181)-U181/m*SIN(M181))</f>
        <v>-0.794607799002046</v>
      </c>
      <c r="E182" s="420" t="n">
        <f aca="false">IF(AND(L181&lt;L_rampe,Poussee&lt;Poids*SIN(M181)),0,(-W181+Poussee)/m*SIN(M181)+U181/m*COS(M181)-Poids/m)</f>
        <v>-13.3465433948943</v>
      </c>
      <c r="F182" s="418" t="n">
        <f aca="false">SQRT(acc_x^2+acc_z^2)</f>
        <v>13.3701765936741</v>
      </c>
      <c r="G182" s="419" t="n">
        <f aca="false">G181+acc_x*pas</f>
        <v>15.5498284632554</v>
      </c>
      <c r="H182" s="420" t="n">
        <f aca="false">H181+acc_z*pas</f>
        <v>69.1091783737219</v>
      </c>
      <c r="I182" s="418" t="n">
        <f aca="false">SQRT(vit_x^2+vit_z^2)</f>
        <v>70.8369656374945</v>
      </c>
      <c r="J182" s="419" t="n">
        <f aca="false">J181+0.5*(vit_x+G181)*pas*(K181&gt;=0)</f>
        <v>22.1877830599215</v>
      </c>
      <c r="K182" s="420" t="n">
        <f aca="false">K181+0.5*(vit_z+H181)*pas</f>
        <v>108.820406837588</v>
      </c>
      <c r="L182" s="418" t="n">
        <f aca="false">SQRT(pos_x^2+pos_z^2)</f>
        <v>111.059347474278</v>
      </c>
      <c r="M182" s="419" t="n">
        <f aca="false">IF(AND(L181&gt;L_rampe,G182&gt;0),ATAN2(G182,H182),$M$4)</f>
        <v>1.34947825771771</v>
      </c>
      <c r="N182" s="418" t="n">
        <f aca="false">DEGREES(Beta)</f>
        <v>77.3194087118925</v>
      </c>
      <c r="O182" s="402"/>
      <c r="P182" s="421" t="n">
        <f aca="false">MATCH(t-pas/2-T_ini,CdP_t)</f>
        <v>13</v>
      </c>
      <c r="Q182" s="418" t="n">
        <f aca="false">(INDEX(CdP,2,i_P+1)-INDEX(CdP,2,i_P+0))/(INDEX(CdP,1,i_P+1)-INDEX(CdP,1,i_P+0))*(t-pas/2-T_ini-INDEX(CdP,1,i_P+0))+INDEX(CdP,2,i_P+0)</f>
        <v>0</v>
      </c>
      <c r="R182" s="419" t="n">
        <f aca="false">Poussee/(g*ISP)</f>
        <v>0</v>
      </c>
      <c r="S182" s="420" t="n">
        <f aca="false">S181-Débit*pas</f>
        <v>1.4843</v>
      </c>
      <c r="T182" s="418" t="n">
        <f aca="false">m*g</f>
        <v>14.560983</v>
      </c>
      <c r="U182" s="422" t="n">
        <f aca="false">IF(pos_xz&lt;L_rampe,Poids*COS(Beta),0)</f>
        <v>0</v>
      </c>
      <c r="V182" s="419" t="n">
        <f aca="false">Rho_moyen*(20000-Alt_rampe-pos_z)/(20000+Alt_rampe+pos_z)</f>
        <v>1.21174163917335</v>
      </c>
      <c r="W182" s="418" t="n">
        <f aca="false">1/2*Rho*Sref*Cx*vit_xz^2</f>
        <v>5.35980113658721</v>
      </c>
      <c r="X182" s="402"/>
      <c r="Y182" s="423" t="str">
        <f aca="false">IF(AND(pos_z&lt;=0,K181&gt;0),"Impact balistique","") &amp; IF(AND(H183&lt;0,vit_z&gt;=0),"Apogée","") &amp; IF(AND(Poussee=0,Q181&gt;0),"Fin de propulsion","") &amp; IF(AND(L183&gt;L_rampe,pos_xz&lt;=L_rampe),"Sortie de rampe","")</f>
        <v/>
      </c>
      <c r="Z182" s="424" t="str">
        <f aca="false">IF(ABS(t-T_para)&lt;pas/2,"Para","")</f>
        <v/>
      </c>
      <c r="AA182" s="425" t="str">
        <f aca="false">IF(ABS(t-T_satellite)&lt;pas/2,"Satellite","")</f>
        <v/>
      </c>
      <c r="AB182" s="413"/>
      <c r="AC182" s="421" t="e">
        <f aca="false">IF(ABS(t-ROUND(t,0))&lt;0.001,t,NA())</f>
        <v>#N/A</v>
      </c>
      <c r="AD182" s="426" t="e">
        <f aca="false">IF(ABS(t-ROUND(t,0))&lt;0.001,pos_x,NA())</f>
        <v>#N/A</v>
      </c>
      <c r="AE182" s="427" t="n">
        <f aca="false">IF(t&lt;T_para, pos_z, NA())</f>
        <v>108.820406837588</v>
      </c>
      <c r="AF182" s="413"/>
      <c r="AG182" s="419" t="n">
        <f aca="false">IF(AND(L181&lt;L_rampe,Poussee&lt;Poids*SIN(M181)),0,(-W181+Poussee)/m-Poids*SIN(M181)/m)</f>
        <v>-13.1960897275329</v>
      </c>
      <c r="AH182" s="418" t="n">
        <f aca="false">IF(AND(L181&lt;L_rampe,Poussee&lt;Poids*SIN(M181)), g*SIN(M181), (-W181+Poussee)/m)</f>
        <v>-3.62471250421399</v>
      </c>
    </row>
    <row r="183" customFormat="false" ht="12" hidden="false" customHeight="false" outlineLevel="0" collapsed="false">
      <c r="A183" s="417" t="n">
        <f aca="false">IF(B182+0.01&lt;=T_ini+ROUNDUP(Temps_fin_propu,0), 0.01, IF(K182&gt;0, 0.1, 0.0001))</f>
        <v>0.01</v>
      </c>
      <c r="B183" s="418" t="n">
        <f aca="false">B182+pas</f>
        <v>1.79</v>
      </c>
      <c r="C183" s="402"/>
      <c r="D183" s="419" t="n">
        <f aca="false">IF(AND(L182&lt;L_rampe,Poussee&lt;Poids*SIN(M182)),0,(-W182+Poussee)/m*COS(M182)-U182/m*SIN(M182))</f>
        <v>-0.792670401764494</v>
      </c>
      <c r="E183" s="420" t="n">
        <f aca="false">IF(AND(L182&lt;L_rampe,Poussee&lt;Poids*SIN(M182)),0,(-W182+Poussee)/m*SIN(M182)+U182/m*COS(M182)-Poids/m)</f>
        <v>-13.3329199033649</v>
      </c>
      <c r="F183" s="418" t="n">
        <f aca="false">SQRT(acc_x^2+acc_z^2)</f>
        <v>13.3564620882694</v>
      </c>
      <c r="G183" s="419" t="n">
        <f aca="false">G182+acc_x*pas</f>
        <v>15.5419017592378</v>
      </c>
      <c r="H183" s="420" t="n">
        <f aca="false">H182+acc_z*pas</f>
        <v>68.9758491746882</v>
      </c>
      <c r="I183" s="418" t="n">
        <f aca="false">SQRT(vit_x^2+vit_z^2)</f>
        <v>70.7051517193983</v>
      </c>
      <c r="J183" s="419" t="n">
        <f aca="false">J182+0.5*(vit_x+G182)*pas*(K182&gt;=0)</f>
        <v>22.343241711034</v>
      </c>
      <c r="K183" s="420" t="n">
        <f aca="false">K182+0.5*(vit_z+H182)*pas</f>
        <v>109.51083197533</v>
      </c>
      <c r="L183" s="418" t="n">
        <f aca="false">SQRT(pos_x^2+pos_z^2)</f>
        <v>111.766912680304</v>
      </c>
      <c r="M183" s="419" t="n">
        <f aca="false">IF(AND(L182&gt;L_rampe,G183&gt;0),ATAN2(G183,H183),$M$4)</f>
        <v>1.3491736901826</v>
      </c>
      <c r="N183" s="418" t="n">
        <f aca="false">DEGREES(Beta)</f>
        <v>77.301958277554</v>
      </c>
      <c r="O183" s="402"/>
      <c r="P183" s="421" t="n">
        <f aca="false">MATCH(t-pas/2-T_ini,CdP_t)</f>
        <v>13</v>
      </c>
      <c r="Q183" s="418" t="n">
        <f aca="false">(INDEX(CdP,2,i_P+1)-INDEX(CdP,2,i_P+0))/(INDEX(CdP,1,i_P+1)-INDEX(CdP,1,i_P+0))*(t-pas/2-T_ini-INDEX(CdP,1,i_P+0))+INDEX(CdP,2,i_P+0)</f>
        <v>0</v>
      </c>
      <c r="R183" s="419" t="n">
        <f aca="false">Poussee/(g*ISP)</f>
        <v>0</v>
      </c>
      <c r="S183" s="420" t="n">
        <f aca="false">S182-Débit*pas</f>
        <v>1.4843</v>
      </c>
      <c r="T183" s="418" t="n">
        <f aca="false">m*g</f>
        <v>14.560983</v>
      </c>
      <c r="U183" s="422" t="n">
        <f aca="false">IF(pos_xz&lt;L_rampe,Poids*COS(Beta),0)</f>
        <v>0</v>
      </c>
      <c r="V183" s="419" t="n">
        <f aca="false">Rho_moyen*(20000-Alt_rampe-pos_z)/(20000+Alt_rampe+pos_z)</f>
        <v>1.21165797788015</v>
      </c>
      <c r="W183" s="418" t="n">
        <f aca="false">1/2*Rho*Sref*Cx*vit_xz^2</f>
        <v>5.33950390853548</v>
      </c>
      <c r="X183" s="402"/>
      <c r="Y183" s="423" t="str">
        <f aca="false">IF(AND(pos_z&lt;=0,K182&gt;0),"Impact balistique","") &amp; IF(AND(H184&lt;0,vit_z&gt;=0),"Apogée","") &amp; IF(AND(Poussee=0,Q182&gt;0),"Fin de propulsion","") &amp; IF(AND(L184&gt;L_rampe,pos_xz&lt;=L_rampe),"Sortie de rampe","")</f>
        <v/>
      </c>
      <c r="Z183" s="424" t="str">
        <f aca="false">IF(ABS(t-T_para)&lt;pas/2,"Para","")</f>
        <v/>
      </c>
      <c r="AA183" s="425" t="str">
        <f aca="false">IF(ABS(t-T_satellite)&lt;pas/2,"Satellite","")</f>
        <v/>
      </c>
      <c r="AB183" s="413"/>
      <c r="AC183" s="421" t="e">
        <f aca="false">IF(ABS(t-ROUND(t,0))&lt;0.001,t,NA())</f>
        <v>#N/A</v>
      </c>
      <c r="AD183" s="426" t="e">
        <f aca="false">IF(ABS(t-ROUND(t,0))&lt;0.001,pos_x,NA())</f>
        <v>#N/A</v>
      </c>
      <c r="AE183" s="427" t="n">
        <f aca="false">IF(t&lt;T_para, pos_z, NA())</f>
        <v>109.51083197533</v>
      </c>
      <c r="AF183" s="413"/>
      <c r="AG183" s="419" t="n">
        <f aca="false">IF(AND(L182&lt;L_rampe,Poussee&lt;Poids*SIN(M182)),0,(-W182+Poussee)/m-Poids*SIN(M182)/m)</f>
        <v>-13.1817197449983</v>
      </c>
      <c r="AH183" s="418" t="n">
        <f aca="false">IF(AND(L182&lt;L_rampe,Poussee&lt;Poids*SIN(M182)), g*SIN(M182), (-W182+Poussee)/m)</f>
        <v>-3.61099584759632</v>
      </c>
    </row>
    <row r="184" customFormat="false" ht="12" hidden="false" customHeight="false" outlineLevel="0" collapsed="false">
      <c r="A184" s="417" t="n">
        <f aca="false">IF(B183+0.01&lt;=T_ini+ROUNDUP(Temps_fin_propu,0), 0.01, IF(K183&gt;0, 0.1, 0.0001))</f>
        <v>0.01</v>
      </c>
      <c r="B184" s="418" t="n">
        <f aca="false">B183+pas</f>
        <v>1.8</v>
      </c>
      <c r="C184" s="402"/>
      <c r="D184" s="419" t="n">
        <f aca="false">IF(AND(L183&lt;L_rampe,Poussee&lt;Poids*SIN(M183)),0,(-W183+Poussee)/m*COS(M183)-U183/m*SIN(M183))</f>
        <v>-0.790737476197652</v>
      </c>
      <c r="E184" s="420" t="n">
        <f aca="false">IF(AND(L183&lt;L_rampe,Poussee&lt;Poids*SIN(M183)),0,(-W183+Poussee)/m*SIN(M183)+U183/m*COS(M183)-Poids/m)</f>
        <v>-13.3193381582189</v>
      </c>
      <c r="F184" s="418" t="n">
        <f aca="false">SQRT(acc_x^2+acc_z^2)</f>
        <v>13.3427896157157</v>
      </c>
      <c r="G184" s="419" t="n">
        <f aca="false">G183+acc_x*pas</f>
        <v>15.5339943844758</v>
      </c>
      <c r="H184" s="420" t="n">
        <f aca="false">H183+acc_z*pas</f>
        <v>68.8426557931061</v>
      </c>
      <c r="I184" s="418" t="n">
        <f aca="false">SQRT(vit_x^2+vit_z^2)</f>
        <v>70.5734811255971</v>
      </c>
      <c r="J184" s="419" t="n">
        <f aca="false">J183+0.5*(vit_x+G183)*pas*(K183&gt;=0)</f>
        <v>22.4986211917525</v>
      </c>
      <c r="K184" s="420" t="n">
        <f aca="false">K183+0.5*(vit_z+H183)*pas</f>
        <v>110.199924500169</v>
      </c>
      <c r="L184" s="418" t="n">
        <f aca="false">SQRT(pos_x^2+pos_z^2)</f>
        <v>112.473158199514</v>
      </c>
      <c r="M184" s="419" t="n">
        <f aca="false">IF(AND(L183&gt;L_rampe,G184&gt;0),ATAN2(G184,H184),$M$4)</f>
        <v>1.34886814138784</v>
      </c>
      <c r="N184" s="418" t="n">
        <f aca="false">DEGREES(Beta)</f>
        <v>77.2844516211789</v>
      </c>
      <c r="O184" s="402"/>
      <c r="P184" s="421" t="n">
        <f aca="false">MATCH(t-pas/2-T_ini,CdP_t)</f>
        <v>13</v>
      </c>
      <c r="Q184" s="418" t="n">
        <f aca="false">(INDEX(CdP,2,i_P+1)-INDEX(CdP,2,i_P+0))/(INDEX(CdP,1,i_P+1)-INDEX(CdP,1,i_P+0))*(t-pas/2-T_ini-INDEX(CdP,1,i_P+0))+INDEX(CdP,2,i_P+0)</f>
        <v>0</v>
      </c>
      <c r="R184" s="419" t="n">
        <f aca="false">Poussee/(g*ISP)</f>
        <v>0</v>
      </c>
      <c r="S184" s="420" t="n">
        <f aca="false">S183-Débit*pas</f>
        <v>1.4843</v>
      </c>
      <c r="T184" s="418" t="n">
        <f aca="false">m*g</f>
        <v>14.560983</v>
      </c>
      <c r="U184" s="422" t="n">
        <f aca="false">IF(pos_xz&lt;L_rampe,Poids*COS(Beta),0)</f>
        <v>0</v>
      </c>
      <c r="V184" s="419" t="n">
        <f aca="false">Rho_moyen*(20000-Alt_rampe-pos_z)/(20000+Alt_rampe+pos_z)</f>
        <v>1.21157448379235</v>
      </c>
      <c r="W184" s="418" t="n">
        <f aca="false">1/2*Rho*Sref*Cx*vit_xz^2</f>
        <v>5.31926888426721</v>
      </c>
      <c r="X184" s="402"/>
      <c r="Y184" s="423" t="str">
        <f aca="false">IF(AND(pos_z&lt;=0,K183&gt;0),"Impact balistique","") &amp; IF(AND(H185&lt;0,vit_z&gt;=0),"Apogée","") &amp; IF(AND(Poussee=0,Q183&gt;0),"Fin de propulsion","") &amp; IF(AND(L185&gt;L_rampe,pos_xz&lt;=L_rampe),"Sortie de rampe","")</f>
        <v/>
      </c>
      <c r="Z184" s="424" t="str">
        <f aca="false">IF(ABS(t-T_para)&lt;pas/2,"Para","")</f>
        <v/>
      </c>
      <c r="AA184" s="425" t="str">
        <f aca="false">IF(ABS(t-T_satellite)&lt;pas/2,"Satellite","")</f>
        <v/>
      </c>
      <c r="AB184" s="413"/>
      <c r="AC184" s="421" t="e">
        <f aca="false">IF(ABS(t-ROUND(t,0))&lt;0.001,t,NA())</f>
        <v>#N/A</v>
      </c>
      <c r="AD184" s="426" t="e">
        <f aca="false">IF(ABS(t-ROUND(t,0))&lt;0.001,pos_x,NA())</f>
        <v>#N/A</v>
      </c>
      <c r="AE184" s="427" t="n">
        <f aca="false">IF(t&lt;T_para, pos_z, NA())</f>
        <v>110.199924500169</v>
      </c>
      <c r="AF184" s="413"/>
      <c r="AG184" s="419" t="n">
        <f aca="false">IF(AND(L183&lt;L_rampe,Poussee&lt;Poids*SIN(M183)),0,(-W183+Poussee)/m-Poids*SIN(M183)/m)</f>
        <v>-13.1673888173691</v>
      </c>
      <c r="AH184" s="418" t="n">
        <f aca="false">IF(AND(L183&lt;L_rampe,Poussee&lt;Poids*SIN(M183)), g*SIN(M183), (-W183+Poussee)/m)</f>
        <v>-3.59732123461261</v>
      </c>
    </row>
    <row r="185" customFormat="false" ht="12" hidden="false" customHeight="false" outlineLevel="0" collapsed="false">
      <c r="A185" s="417" t="n">
        <f aca="false">IF(B184+0.01&lt;=T_ini+ROUNDUP(Temps_fin_propu,0), 0.01, IF(K184&gt;0, 0.1, 0.0001))</f>
        <v>0.01</v>
      </c>
      <c r="B185" s="418" t="n">
        <f aca="false">B184+pas</f>
        <v>1.81</v>
      </c>
      <c r="C185" s="402"/>
      <c r="D185" s="419" t="n">
        <f aca="false">IF(AND(L184&lt;L_rampe,Poussee&lt;Poids*SIN(M184)),0,(-W184+Poussee)/m*COS(M184)-U184/m*SIN(M184))</f>
        <v>-0.788809005937549</v>
      </c>
      <c r="E185" s="420" t="n">
        <f aca="false">IF(AND(L184&lt;L_rampe,Poussee&lt;Poids*SIN(M184)),0,(-W184+Poussee)/m*SIN(M184)+U184/m*COS(M184)-Poids/m)</f>
        <v>-13.3057980245268</v>
      </c>
      <c r="F185" s="418" t="n">
        <f aca="false">SQRT(acc_x^2+acc_z^2)</f>
        <v>13.3291590401401</v>
      </c>
      <c r="G185" s="419" t="n">
        <f aca="false">G184+acc_x*pas</f>
        <v>15.5261062944164</v>
      </c>
      <c r="H185" s="420" t="n">
        <f aca="false">H184+acc_z*pas</f>
        <v>68.7095978128608</v>
      </c>
      <c r="I185" s="418" t="n">
        <f aca="false">SQRT(vit_x^2+vit_z^2)</f>
        <v>70.4419534671676</v>
      </c>
      <c r="J185" s="419" t="n">
        <f aca="false">J184+0.5*(vit_x+G184)*pas*(K184&gt;=0)</f>
        <v>22.653921695147</v>
      </c>
      <c r="K185" s="420" t="n">
        <f aca="false">K184+0.5*(vit_z+H184)*pas</f>
        <v>110.887685768199</v>
      </c>
      <c r="L185" s="418" t="n">
        <f aca="false">SQRT(pos_x^2+pos_z^2)</f>
        <v>113.178085437052</v>
      </c>
      <c r="M185" s="419" t="n">
        <f aca="false">IF(AND(L184&gt;L_rampe,G185&gt;0),ATAN2(G185,H185),$M$4)</f>
        <v>1.34856160698243</v>
      </c>
      <c r="N185" s="418" t="n">
        <f aca="false">DEGREES(Beta)</f>
        <v>77.2668884934735</v>
      </c>
      <c r="O185" s="402"/>
      <c r="P185" s="421" t="n">
        <f aca="false">MATCH(t-pas/2-T_ini,CdP_t)</f>
        <v>13</v>
      </c>
      <c r="Q185" s="418" t="n">
        <f aca="false">(INDEX(CdP,2,i_P+1)-INDEX(CdP,2,i_P+0))/(INDEX(CdP,1,i_P+1)-INDEX(CdP,1,i_P+0))*(t-pas/2-T_ini-INDEX(CdP,1,i_P+0))+INDEX(CdP,2,i_P+0)</f>
        <v>0</v>
      </c>
      <c r="R185" s="419" t="n">
        <f aca="false">Poussee/(g*ISP)</f>
        <v>0</v>
      </c>
      <c r="S185" s="420" t="n">
        <f aca="false">S184-Débit*pas</f>
        <v>1.4843</v>
      </c>
      <c r="T185" s="418" t="n">
        <f aca="false">m*g</f>
        <v>14.560983</v>
      </c>
      <c r="U185" s="422" t="n">
        <f aca="false">IF(pos_xz&lt;L_rampe,Poids*COS(Beta),0)</f>
        <v>0</v>
      </c>
      <c r="V185" s="419" t="n">
        <f aca="false">Rho_moyen*(20000-Alt_rampe-pos_z)/(20000+Alt_rampe+pos_z)</f>
        <v>1.21149115671188</v>
      </c>
      <c r="W185" s="418" t="n">
        <f aca="false">1/2*Rho*Sref*Cx*vit_xz^2</f>
        <v>5.29909586311643</v>
      </c>
      <c r="X185" s="402"/>
      <c r="Y185" s="423" t="str">
        <f aca="false">IF(AND(pos_z&lt;=0,K184&gt;0),"Impact balistique","") &amp; IF(AND(H186&lt;0,vit_z&gt;=0),"Apogée","") &amp; IF(AND(Poussee=0,Q184&gt;0),"Fin de propulsion","") &amp; IF(AND(L186&gt;L_rampe,pos_xz&lt;=L_rampe),"Sortie de rampe","")</f>
        <v/>
      </c>
      <c r="Z185" s="424" t="str">
        <f aca="false">IF(ABS(t-T_para)&lt;pas/2,"Para","")</f>
        <v/>
      </c>
      <c r="AA185" s="425" t="str">
        <f aca="false">IF(ABS(t-T_satellite)&lt;pas/2,"Satellite","")</f>
        <v/>
      </c>
      <c r="AB185" s="413"/>
      <c r="AC185" s="421" t="e">
        <f aca="false">IF(ABS(t-ROUND(t,0))&lt;0.001,t,NA())</f>
        <v>#N/A</v>
      </c>
      <c r="AD185" s="426" t="e">
        <f aca="false">IF(ABS(t-ROUND(t,0))&lt;0.001,pos_x,NA())</f>
        <v>#N/A</v>
      </c>
      <c r="AE185" s="427" t="n">
        <f aca="false">IF(t&lt;T_para, pos_z, NA())</f>
        <v>110.887685768199</v>
      </c>
      <c r="AF185" s="413"/>
      <c r="AG185" s="419" t="n">
        <f aca="false">IF(AND(L184&lt;L_rampe,Poussee&lt;Poids*SIN(M184)),0,(-W184+Poussee)/m-Poids*SIN(M184)/m)</f>
        <v>-13.1530967910136</v>
      </c>
      <c r="AH185" s="418" t="n">
        <f aca="false">IF(AND(L184&lt;L_rampe,Poussee&lt;Poids*SIN(M184)), g*SIN(M184), (-W184+Poussee)/m)</f>
        <v>-3.58368852945309</v>
      </c>
    </row>
    <row r="186" customFormat="false" ht="12" hidden="false" customHeight="false" outlineLevel="0" collapsed="false">
      <c r="A186" s="417" t="n">
        <f aca="false">IF(B185+0.01&lt;=T_ini+ROUNDUP(Temps_fin_propu,0), 0.01, IF(K185&gt;0, 0.1, 0.0001))</f>
        <v>0.01</v>
      </c>
      <c r="B186" s="418" t="n">
        <f aca="false">B185+pas</f>
        <v>1.82</v>
      </c>
      <c r="C186" s="402"/>
      <c r="D186" s="419" t="n">
        <f aca="false">IF(AND(L185&lt;L_rampe,Poussee&lt;Poids*SIN(M185)),0,(-W185+Poussee)/m*COS(M185)-U185/m*SIN(M185))</f>
        <v>-0.786884974692539</v>
      </c>
      <c r="E186" s="420" t="n">
        <f aca="false">IF(AND(L185&lt;L_rampe,Poussee&lt;Poids*SIN(M185)),0,(-W185+Poussee)/m*SIN(M185)+U185/m*COS(M185)-Poids/m)</f>
        <v>-13.2922993679717</v>
      </c>
      <c r="F186" s="418" t="n">
        <f aca="false">SQRT(acc_x^2+acc_z^2)</f>
        <v>13.3155702262869</v>
      </c>
      <c r="G186" s="419" t="n">
        <f aca="false">G185+acc_x*pas</f>
        <v>15.5182374446695</v>
      </c>
      <c r="H186" s="420" t="n">
        <f aca="false">H185+acc_z*pas</f>
        <v>68.5766748191811</v>
      </c>
      <c r="I186" s="418" t="n">
        <f aca="false">SQRT(vit_x^2+vit_z^2)</f>
        <v>70.3105683567189</v>
      </c>
      <c r="J186" s="419" t="n">
        <f aca="false">J185+0.5*(vit_x+G185)*pas*(K185&gt;=0)</f>
        <v>22.8091434138424</v>
      </c>
      <c r="K186" s="420" t="n">
        <f aca="false">K185+0.5*(vit_z+H185)*pas</f>
        <v>111.574117131359</v>
      </c>
      <c r="L186" s="418" t="n">
        <f aca="false">SQRT(pos_x^2+pos_z^2)</f>
        <v>113.881695793993</v>
      </c>
      <c r="M186" s="419" t="n">
        <f aca="false">IF(AND(L185&gt;L_rampe,G186&gt;0),ATAN2(G186,H186),$M$4)</f>
        <v>1.34825408258968</v>
      </c>
      <c r="N186" s="418" t="n">
        <f aca="false">DEGREES(Beta)</f>
        <v>77.2492686436713</v>
      </c>
      <c r="O186" s="402"/>
      <c r="P186" s="421" t="n">
        <f aca="false">MATCH(t-pas/2-T_ini,CdP_t)</f>
        <v>13</v>
      </c>
      <c r="Q186" s="418" t="n">
        <f aca="false">(INDEX(CdP,2,i_P+1)-INDEX(CdP,2,i_P+0))/(INDEX(CdP,1,i_P+1)-INDEX(CdP,1,i_P+0))*(t-pas/2-T_ini-INDEX(CdP,1,i_P+0))+INDEX(CdP,2,i_P+0)</f>
        <v>0</v>
      </c>
      <c r="R186" s="419" t="n">
        <f aca="false">Poussee/(g*ISP)</f>
        <v>0</v>
      </c>
      <c r="S186" s="420" t="n">
        <f aca="false">S185-Débit*pas</f>
        <v>1.4843</v>
      </c>
      <c r="T186" s="418" t="n">
        <f aca="false">m*g</f>
        <v>14.560983</v>
      </c>
      <c r="U186" s="422" t="n">
        <f aca="false">IF(pos_xz&lt;L_rampe,Poids*COS(Beta),0)</f>
        <v>0</v>
      </c>
      <c r="V186" s="419" t="n">
        <f aca="false">Rho_moyen*(20000-Alt_rampe-pos_z)/(20000+Alt_rampe+pos_z)</f>
        <v>1.21140799644126</v>
      </c>
      <c r="W186" s="418" t="n">
        <f aca="false">1/2*Rho*Sref*Cx*vit_xz^2</f>
        <v>5.2789846453289</v>
      </c>
      <c r="X186" s="402"/>
      <c r="Y186" s="423" t="str">
        <f aca="false">IF(AND(pos_z&lt;=0,K185&gt;0),"Impact balistique","") &amp; IF(AND(H187&lt;0,vit_z&gt;=0),"Apogée","") &amp; IF(AND(Poussee=0,Q185&gt;0),"Fin de propulsion","") &amp; IF(AND(L187&gt;L_rampe,pos_xz&lt;=L_rampe),"Sortie de rampe","")</f>
        <v/>
      </c>
      <c r="Z186" s="424" t="str">
        <f aca="false">IF(ABS(t-T_para)&lt;pas/2,"Para","")</f>
        <v/>
      </c>
      <c r="AA186" s="425" t="str">
        <f aca="false">IF(ABS(t-T_satellite)&lt;pas/2,"Satellite","")</f>
        <v/>
      </c>
      <c r="AB186" s="413"/>
      <c r="AC186" s="421" t="e">
        <f aca="false">IF(ABS(t-ROUND(t,0))&lt;0.001,t,NA())</f>
        <v>#N/A</v>
      </c>
      <c r="AD186" s="426" t="e">
        <f aca="false">IF(ABS(t-ROUND(t,0))&lt;0.001,pos_x,NA())</f>
        <v>#N/A</v>
      </c>
      <c r="AE186" s="427" t="n">
        <f aca="false">IF(t&lt;T_para, pos_z, NA())</f>
        <v>111.574117131359</v>
      </c>
      <c r="AF186" s="413"/>
      <c r="AG186" s="419" t="n">
        <f aca="false">IF(AND(L185&lt;L_rampe,Poussee&lt;Poids*SIN(M185)),0,(-W185+Poussee)/m-Poids*SIN(M185)/m)</f>
        <v>-13.1388435127855</v>
      </c>
      <c r="AH186" s="418" t="n">
        <f aca="false">IF(AND(L185&lt;L_rampe,Poussee&lt;Poids*SIN(M185)), g*SIN(M185), (-W185+Poussee)/m)</f>
        <v>-3.57009759692544</v>
      </c>
    </row>
    <row r="187" customFormat="false" ht="12" hidden="false" customHeight="false" outlineLevel="0" collapsed="false">
      <c r="A187" s="417" t="n">
        <f aca="false">IF(B186+0.01&lt;=T_ini+ROUNDUP(Temps_fin_propu,0), 0.01, IF(K186&gt;0, 0.1, 0.0001))</f>
        <v>0.01</v>
      </c>
      <c r="B187" s="418" t="n">
        <f aca="false">B186+pas</f>
        <v>1.83</v>
      </c>
      <c r="C187" s="402"/>
      <c r="D187" s="419" t="n">
        <f aca="false">IF(AND(L186&lt;L_rampe,Poussee&lt;Poids*SIN(M186)),0,(-W186+Poussee)/m*COS(M186)-U186/m*SIN(M186))</f>
        <v>-0.784965366242926</v>
      </c>
      <c r="E187" s="420" t="n">
        <f aca="false">IF(AND(L186&lt;L_rampe,Poussee&lt;Poids*SIN(M186)),0,(-W186+Poussee)/m*SIN(M186)+U186/m*COS(M186)-Poids/m)</f>
        <v>-13.2788420548463</v>
      </c>
      <c r="F187" s="418" t="n">
        <f aca="false">SQRT(acc_x^2+acc_z^2)</f>
        <v>13.3020230395138</v>
      </c>
      <c r="G187" s="419" t="n">
        <f aca="false">G186+acc_x*pas</f>
        <v>15.5103877910071</v>
      </c>
      <c r="H187" s="420" t="n">
        <f aca="false">H186+acc_z*pas</f>
        <v>68.4438863986326</v>
      </c>
      <c r="I187" s="418" t="n">
        <f aca="false">SQRT(vit_x^2+vit_z^2)</f>
        <v>70.1793254083875</v>
      </c>
      <c r="J187" s="419" t="n">
        <f aca="false">J186+0.5*(vit_x+G186)*pas*(K186&gt;=0)</f>
        <v>22.9642865400208</v>
      </c>
      <c r="K187" s="420" t="n">
        <f aca="false">K186+0.5*(vit_z+H186)*pas</f>
        <v>112.259219937448</v>
      </c>
      <c r="L187" s="418" t="n">
        <f aca="false">SQRT(pos_x^2+pos_z^2)</f>
        <v>114.583990667355</v>
      </c>
      <c r="M187" s="419" t="n">
        <f aca="false">IF(AND(L186&gt;L_rampe,G187&gt;0),ATAN2(G187,H187),$M$4)</f>
        <v>1.34794556380698</v>
      </c>
      <c r="N187" s="418" t="n">
        <f aca="false">DEGREES(Beta)</f>
        <v>77.231591819522</v>
      </c>
      <c r="O187" s="402"/>
      <c r="P187" s="421" t="n">
        <f aca="false">MATCH(t-pas/2-T_ini,CdP_t)</f>
        <v>13</v>
      </c>
      <c r="Q187" s="418" t="n">
        <f aca="false">(INDEX(CdP,2,i_P+1)-INDEX(CdP,2,i_P+0))/(INDEX(CdP,1,i_P+1)-INDEX(CdP,1,i_P+0))*(t-pas/2-T_ini-INDEX(CdP,1,i_P+0))+INDEX(CdP,2,i_P+0)</f>
        <v>0</v>
      </c>
      <c r="R187" s="419" t="n">
        <f aca="false">Poussee/(g*ISP)</f>
        <v>0</v>
      </c>
      <c r="S187" s="420" t="n">
        <f aca="false">S186-Débit*pas</f>
        <v>1.4843</v>
      </c>
      <c r="T187" s="418" t="n">
        <f aca="false">m*g</f>
        <v>14.560983</v>
      </c>
      <c r="U187" s="422" t="n">
        <f aca="false">IF(pos_xz&lt;L_rampe,Poids*COS(Beta),0)</f>
        <v>0</v>
      </c>
      <c r="V187" s="419" t="n">
        <f aca="false">Rho_moyen*(20000-Alt_rampe-pos_z)/(20000+Alt_rampe+pos_z)</f>
        <v>1.21132500278367</v>
      </c>
      <c r="W187" s="418" t="n">
        <f aca="false">1/2*Rho*Sref*Cx*vit_xz^2</f>
        <v>5.25893503205733</v>
      </c>
      <c r="X187" s="402"/>
      <c r="Y187" s="423" t="str">
        <f aca="false">IF(AND(pos_z&lt;=0,K186&gt;0),"Impact balistique","") &amp; IF(AND(H188&lt;0,vit_z&gt;=0),"Apogée","") &amp; IF(AND(Poussee=0,Q186&gt;0),"Fin de propulsion","") &amp; IF(AND(L188&gt;L_rampe,pos_xz&lt;=L_rampe),"Sortie de rampe","")</f>
        <v/>
      </c>
      <c r="Z187" s="424" t="str">
        <f aca="false">IF(ABS(t-T_para)&lt;pas/2,"Para","")</f>
        <v/>
      </c>
      <c r="AA187" s="425" t="str">
        <f aca="false">IF(ABS(t-T_satellite)&lt;pas/2,"Satellite","")</f>
        <v/>
      </c>
      <c r="AB187" s="413"/>
      <c r="AC187" s="421" t="e">
        <f aca="false">IF(ABS(t-ROUND(t,0))&lt;0.001,t,NA())</f>
        <v>#N/A</v>
      </c>
      <c r="AD187" s="426" t="e">
        <f aca="false">IF(ABS(t-ROUND(t,0))&lt;0.001,pos_x,NA())</f>
        <v>#N/A</v>
      </c>
      <c r="AE187" s="427" t="n">
        <f aca="false">IF(t&lt;T_para, pos_z, NA())</f>
        <v>112.259219937448</v>
      </c>
      <c r="AF187" s="413"/>
      <c r="AG187" s="419" t="n">
        <f aca="false">IF(AND(L186&lt;L_rampe,Poussee&lt;Poids*SIN(M186)),0,(-W186+Poussee)/m-Poids*SIN(M186)/m)</f>
        <v>-13.1246288300197</v>
      </c>
      <c r="AH187" s="418" t="n">
        <f aca="false">IF(AND(L186&lt;L_rampe,Poussee&lt;Poids*SIN(M186)), g*SIN(M186), (-W186+Poussee)/m)</f>
        <v>-3.5565483024516</v>
      </c>
    </row>
    <row r="188" customFormat="false" ht="12" hidden="false" customHeight="false" outlineLevel="0" collapsed="false">
      <c r="A188" s="417" t="n">
        <f aca="false">IF(B187+0.01&lt;=T_ini+ROUNDUP(Temps_fin_propu,0), 0.01, IF(K187&gt;0, 0.1, 0.0001))</f>
        <v>0.01</v>
      </c>
      <c r="B188" s="418" t="n">
        <f aca="false">B187+pas</f>
        <v>1.84</v>
      </c>
      <c r="C188" s="402"/>
      <c r="D188" s="419" t="n">
        <f aca="false">IF(AND(L187&lt;L_rampe,Poussee&lt;Poids*SIN(M187)),0,(-W187+Poussee)/m*COS(M187)-U187/m*SIN(M187))</f>
        <v>-0.783050164440606</v>
      </c>
      <c r="E188" s="420" t="n">
        <f aca="false">IF(AND(L187&lt;L_rampe,Poussee&lt;Poids*SIN(M187)),0,(-W187+Poussee)/m*SIN(M187)+U187/m*COS(M187)-Poids/m)</f>
        <v>-13.2654259520499</v>
      </c>
      <c r="F188" s="418" t="n">
        <f aca="false">SQRT(acc_x^2+acc_z^2)</f>
        <v>13.2885173457895</v>
      </c>
      <c r="G188" s="419" t="n">
        <f aca="false">G187+acc_x*pas</f>
        <v>15.5025572893627</v>
      </c>
      <c r="H188" s="420" t="n">
        <f aca="false">H187+acc_z*pas</f>
        <v>68.3112321391121</v>
      </c>
      <c r="I188" s="418" t="n">
        <f aca="false">SQRT(vit_x^2+vit_z^2)</f>
        <v>70.0482242378323</v>
      </c>
      <c r="J188" s="419" t="n">
        <f aca="false">J187+0.5*(vit_x+G187)*pas*(K187&gt;=0)</f>
        <v>23.1193512654227</v>
      </c>
      <c r="K188" s="420" t="n">
        <f aca="false">K187+0.5*(vit_z+H187)*pas</f>
        <v>112.942995530137</v>
      </c>
      <c r="L188" s="418" t="n">
        <f aca="false">SQRT(pos_x^2+pos_z^2)</f>
        <v>115.284971450118</v>
      </c>
      <c r="M188" s="419" t="n">
        <f aca="false">IF(AND(L187&gt;L_rampe,G188&gt;0),ATAN2(G188,H188),$M$4)</f>
        <v>1.34763604620565</v>
      </c>
      <c r="N188" s="418" t="n">
        <f aca="false">DEGREES(Beta)</f>
        <v>77.2138577672811</v>
      </c>
      <c r="O188" s="402"/>
      <c r="P188" s="421" t="n">
        <f aca="false">MATCH(t-pas/2-T_ini,CdP_t)</f>
        <v>13</v>
      </c>
      <c r="Q188" s="418" t="n">
        <f aca="false">(INDEX(CdP,2,i_P+1)-INDEX(CdP,2,i_P+0))/(INDEX(CdP,1,i_P+1)-INDEX(CdP,1,i_P+0))*(t-pas/2-T_ini-INDEX(CdP,1,i_P+0))+INDEX(CdP,2,i_P+0)</f>
        <v>0</v>
      </c>
      <c r="R188" s="419" t="n">
        <f aca="false">Poussee/(g*ISP)</f>
        <v>0</v>
      </c>
      <c r="S188" s="420" t="n">
        <f aca="false">S187-Débit*pas</f>
        <v>1.4843</v>
      </c>
      <c r="T188" s="418" t="n">
        <f aca="false">m*g</f>
        <v>14.560983</v>
      </c>
      <c r="U188" s="422" t="n">
        <f aca="false">IF(pos_xz&lt;L_rampe,Poids*COS(Beta),0)</f>
        <v>0</v>
      </c>
      <c r="V188" s="419" t="n">
        <f aca="false">Rho_moyen*(20000-Alt_rampe-pos_z)/(20000+Alt_rampe+pos_z)</f>
        <v>1.21124217554287</v>
      </c>
      <c r="W188" s="418" t="n">
        <f aca="false">1/2*Rho*Sref*Cx*vit_xz^2</f>
        <v>5.23894682535673</v>
      </c>
      <c r="X188" s="402"/>
      <c r="Y188" s="423" t="str">
        <f aca="false">IF(AND(pos_z&lt;=0,K187&gt;0),"Impact balistique","") &amp; IF(AND(H189&lt;0,vit_z&gt;=0),"Apogée","") &amp; IF(AND(Poussee=0,Q187&gt;0),"Fin de propulsion","") &amp; IF(AND(L189&gt;L_rampe,pos_xz&lt;=L_rampe),"Sortie de rampe","")</f>
        <v/>
      </c>
      <c r="Z188" s="424" t="str">
        <f aca="false">IF(ABS(t-T_para)&lt;pas/2,"Para","")</f>
        <v/>
      </c>
      <c r="AA188" s="425" t="str">
        <f aca="false">IF(ABS(t-T_satellite)&lt;pas/2,"Satellite","")</f>
        <v/>
      </c>
      <c r="AB188" s="413"/>
      <c r="AC188" s="421" t="e">
        <f aca="false">IF(ABS(t-ROUND(t,0))&lt;0.001,t,NA())</f>
        <v>#N/A</v>
      </c>
      <c r="AD188" s="426" t="e">
        <f aca="false">IF(ABS(t-ROUND(t,0))&lt;0.001,pos_x,NA())</f>
        <v>#N/A</v>
      </c>
      <c r="AE188" s="427" t="n">
        <f aca="false">IF(t&lt;T_para, pos_z, NA())</f>
        <v>112.942995530137</v>
      </c>
      <c r="AF188" s="413"/>
      <c r="AG188" s="419" t="n">
        <f aca="false">IF(AND(L187&lt;L_rampe,Poussee&lt;Poids*SIN(M187)),0,(-W187+Poussee)/m-Poids*SIN(M187)/m)</f>
        <v>-13.1104525905274</v>
      </c>
      <c r="AH188" s="418" t="n">
        <f aca="false">IF(AND(L187&lt;L_rampe,Poussee&lt;Poids*SIN(M187)), g*SIN(M187), (-W187+Poussee)/m)</f>
        <v>-3.5430405120645</v>
      </c>
    </row>
    <row r="189" customFormat="false" ht="12" hidden="false" customHeight="false" outlineLevel="0" collapsed="false">
      <c r="A189" s="417" t="n">
        <f aca="false">IF(B188+0.01&lt;=T_ini+ROUNDUP(Temps_fin_propu,0), 0.01, IF(K188&gt;0, 0.1, 0.0001))</f>
        <v>0.01</v>
      </c>
      <c r="B189" s="418" t="n">
        <f aca="false">B188+pas</f>
        <v>1.85</v>
      </c>
      <c r="C189" s="402"/>
      <c r="D189" s="419" t="n">
        <f aca="false">IF(AND(L188&lt;L_rampe,Poussee&lt;Poids*SIN(M188)),0,(-W188+Poussee)/m*COS(M188)-U188/m*SIN(M188))</f>
        <v>-0.781139353208707</v>
      </c>
      <c r="E189" s="420" t="n">
        <f aca="false">IF(AND(L188&lt;L_rampe,Poussee&lt;Poids*SIN(M188)),0,(-W188+Poussee)/m*SIN(M188)+U188/m*COS(M188)-Poids/m)</f>
        <v>-13.2520509270848</v>
      </c>
      <c r="F189" s="418" t="n">
        <f aca="false">SQRT(acc_x^2+acc_z^2)</f>
        <v>13.27505301169</v>
      </c>
      <c r="G189" s="419" t="n">
        <f aca="false">G188+acc_x*pas</f>
        <v>15.4947458958306</v>
      </c>
      <c r="H189" s="420" t="n">
        <f aca="false">H188+acc_z*pas</f>
        <v>68.1787116298413</v>
      </c>
      <c r="I189" s="418" t="n">
        <f aca="false">SQRT(vit_x^2+vit_z^2)</f>
        <v>69.91726446223</v>
      </c>
      <c r="J189" s="419" t="n">
        <f aca="false">J188+0.5*(vit_x+G188)*pas*(K188&gt;=0)</f>
        <v>23.2743377813486</v>
      </c>
      <c r="K189" s="420" t="n">
        <f aca="false">K188+0.5*(vit_z+H188)*pas</f>
        <v>113.625445248982</v>
      </c>
      <c r="L189" s="418" t="n">
        <f aca="false">SQRT(pos_x^2+pos_z^2)</f>
        <v>115.984639531231</v>
      </c>
      <c r="M189" s="419" t="n">
        <f aca="false">IF(AND(L188&gt;L_rampe,G189&gt;0),ATAN2(G189,H189),$M$4)</f>
        <v>1.34732552533076</v>
      </c>
      <c r="N189" s="418" t="n">
        <f aca="false">DEGREES(Beta)</f>
        <v>77.1960662316988</v>
      </c>
      <c r="O189" s="402"/>
      <c r="P189" s="421" t="n">
        <f aca="false">MATCH(t-pas/2-T_ini,CdP_t)</f>
        <v>13</v>
      </c>
      <c r="Q189" s="418" t="n">
        <f aca="false">(INDEX(CdP,2,i_P+1)-INDEX(CdP,2,i_P+0))/(INDEX(CdP,1,i_P+1)-INDEX(CdP,1,i_P+0))*(t-pas/2-T_ini-INDEX(CdP,1,i_P+0))+INDEX(CdP,2,i_P+0)</f>
        <v>0</v>
      </c>
      <c r="R189" s="419" t="n">
        <f aca="false">Poussee/(g*ISP)</f>
        <v>0</v>
      </c>
      <c r="S189" s="420" t="n">
        <f aca="false">S188-Débit*pas</f>
        <v>1.4843</v>
      </c>
      <c r="T189" s="418" t="n">
        <f aca="false">m*g</f>
        <v>14.560983</v>
      </c>
      <c r="U189" s="422" t="n">
        <f aca="false">IF(pos_xz&lt;L_rampe,Poids*COS(Beta),0)</f>
        <v>0</v>
      </c>
      <c r="V189" s="419" t="n">
        <f aca="false">Rho_moyen*(20000-Alt_rampe-pos_z)/(20000+Alt_rampe+pos_z)</f>
        <v>1.21115951452324</v>
      </c>
      <c r="W189" s="418" t="n">
        <f aca="false">1/2*Rho*Sref*Cx*vit_xz^2</f>
        <v>5.21901982817973</v>
      </c>
      <c r="X189" s="402"/>
      <c r="Y189" s="423" t="str">
        <f aca="false">IF(AND(pos_z&lt;=0,K188&gt;0),"Impact balistique","") &amp; IF(AND(H190&lt;0,vit_z&gt;=0),"Apogée","") &amp; IF(AND(Poussee=0,Q188&gt;0),"Fin de propulsion","") &amp; IF(AND(L190&gt;L_rampe,pos_xz&lt;=L_rampe),"Sortie de rampe","")</f>
        <v/>
      </c>
      <c r="Z189" s="424" t="str">
        <f aca="false">IF(ABS(t-T_para)&lt;pas/2,"Para","")</f>
        <v/>
      </c>
      <c r="AA189" s="425" t="str">
        <f aca="false">IF(ABS(t-T_satellite)&lt;pas/2,"Satellite","")</f>
        <v/>
      </c>
      <c r="AB189" s="413"/>
      <c r="AC189" s="421" t="e">
        <f aca="false">IF(ABS(t-ROUND(t,0))&lt;0.001,t,NA())</f>
        <v>#N/A</v>
      </c>
      <c r="AD189" s="426" t="e">
        <f aca="false">IF(ABS(t-ROUND(t,0))&lt;0.001,pos_x,NA())</f>
        <v>#N/A</v>
      </c>
      <c r="AE189" s="427" t="n">
        <f aca="false">IF(t&lt;T_para, pos_z, NA())</f>
        <v>113.625445248982</v>
      </c>
      <c r="AF189" s="413"/>
      <c r="AG189" s="419" t="n">
        <f aca="false">IF(AND(L188&lt;L_rampe,Poussee&lt;Poids*SIN(M188)),0,(-W188+Poussee)/m-Poids*SIN(M188)/m)</f>
        <v>-13.0963146425924</v>
      </c>
      <c r="AH189" s="418" t="n">
        <f aca="false">IF(AND(L188&lt;L_rampe,Poussee&lt;Poids*SIN(M188)), g*SIN(M188), (-W188+Poussee)/m)</f>
        <v>-3.529574092405</v>
      </c>
    </row>
    <row r="190" customFormat="false" ht="12" hidden="false" customHeight="false" outlineLevel="0" collapsed="false">
      <c r="A190" s="417" t="n">
        <f aca="false">IF(B189+0.01&lt;=T_ini+ROUNDUP(Temps_fin_propu,0), 0.01, IF(K189&gt;0, 0.1, 0.0001))</f>
        <v>0.01</v>
      </c>
      <c r="B190" s="418" t="n">
        <f aca="false">B189+pas</f>
        <v>1.86</v>
      </c>
      <c r="C190" s="402"/>
      <c r="D190" s="419" t="n">
        <f aca="false">IF(AND(L189&lt;L_rampe,Poussee&lt;Poids*SIN(M189)),0,(-W189+Poussee)/m*COS(M189)-U189/m*SIN(M189))</f>
        <v>-0.779232916541223</v>
      </c>
      <c r="E190" s="420" t="n">
        <f aca="false">IF(AND(L189&lt;L_rampe,Poussee&lt;Poids*SIN(M189)),0,(-W189+Poussee)/m*SIN(M189)+U189/m*COS(M189)-Poids/m)</f>
        <v>-13.2387168480536</v>
      </c>
      <c r="F190" s="418" t="n">
        <f aca="false">SQRT(acc_x^2+acc_z^2)</f>
        <v>13.2616299043956</v>
      </c>
      <c r="G190" s="419" t="n">
        <f aca="false">G189+acc_x*pas</f>
        <v>15.4869535666652</v>
      </c>
      <c r="H190" s="420" t="n">
        <f aca="false">H189+acc_z*pas</f>
        <v>68.0463244613607</v>
      </c>
      <c r="I190" s="418" t="n">
        <f aca="false">SQRT(vit_x^2+vit_z^2)</f>
        <v>69.7864457002707</v>
      </c>
      <c r="J190" s="419" t="n">
        <f aca="false">J189+0.5*(vit_x+G189)*pas*(K189&gt;=0)</f>
        <v>23.4292462786611</v>
      </c>
      <c r="K190" s="420" t="n">
        <f aca="false">K189+0.5*(vit_z+H189)*pas</f>
        <v>114.306570429438</v>
      </c>
      <c r="L190" s="418" t="n">
        <f aca="false">SQRT(pos_x^2+pos_z^2)</f>
        <v>116.682996295631</v>
      </c>
      <c r="M190" s="419" t="n">
        <f aca="false">IF(AND(L189&gt;L_rampe,G190&gt;0),ATAN2(G190,H190),$M$4)</f>
        <v>1.34701399670088</v>
      </c>
      <c r="N190" s="418" t="n">
        <f aca="false">DEGREES(Beta)</f>
        <v>77.1782169560092</v>
      </c>
      <c r="O190" s="402"/>
      <c r="P190" s="421" t="n">
        <f aca="false">MATCH(t-pas/2-T_ini,CdP_t)</f>
        <v>13</v>
      </c>
      <c r="Q190" s="418" t="n">
        <f aca="false">(INDEX(CdP,2,i_P+1)-INDEX(CdP,2,i_P+0))/(INDEX(CdP,1,i_P+1)-INDEX(CdP,1,i_P+0))*(t-pas/2-T_ini-INDEX(CdP,1,i_P+0))+INDEX(CdP,2,i_P+0)</f>
        <v>0</v>
      </c>
      <c r="R190" s="419" t="n">
        <f aca="false">Poussee/(g*ISP)</f>
        <v>0</v>
      </c>
      <c r="S190" s="420" t="n">
        <f aca="false">S189-Débit*pas</f>
        <v>1.4843</v>
      </c>
      <c r="T190" s="418" t="n">
        <f aca="false">m*g</f>
        <v>14.560983</v>
      </c>
      <c r="U190" s="422" t="n">
        <f aca="false">IF(pos_xz&lt;L_rampe,Poids*COS(Beta),0)</f>
        <v>0</v>
      </c>
      <c r="V190" s="419" t="n">
        <f aca="false">Rho_moyen*(20000-Alt_rampe-pos_z)/(20000+Alt_rampe+pos_z)</f>
        <v>1.21107701952978</v>
      </c>
      <c r="W190" s="418" t="n">
        <f aca="false">1/2*Rho*Sref*Cx*vit_xz^2</f>
        <v>5.19915384437189</v>
      </c>
      <c r="X190" s="402"/>
      <c r="Y190" s="423" t="str">
        <f aca="false">IF(AND(pos_z&lt;=0,K189&gt;0),"Impact balistique","") &amp; IF(AND(H191&lt;0,vit_z&gt;=0),"Apogée","") &amp; IF(AND(Poussee=0,Q189&gt;0),"Fin de propulsion","") &amp; IF(AND(L191&gt;L_rampe,pos_xz&lt;=L_rampe),"Sortie de rampe","")</f>
        <v/>
      </c>
      <c r="Z190" s="424" t="str">
        <f aca="false">IF(ABS(t-T_para)&lt;pas/2,"Para","")</f>
        <v/>
      </c>
      <c r="AA190" s="425" t="str">
        <f aca="false">IF(ABS(t-T_satellite)&lt;pas/2,"Satellite","")</f>
        <v/>
      </c>
      <c r="AB190" s="413"/>
      <c r="AC190" s="421" t="e">
        <f aca="false">IF(ABS(t-ROUND(t,0))&lt;0.001,t,NA())</f>
        <v>#N/A</v>
      </c>
      <c r="AD190" s="426" t="e">
        <f aca="false">IF(ABS(t-ROUND(t,0))&lt;0.001,pos_x,NA())</f>
        <v>#N/A</v>
      </c>
      <c r="AE190" s="427" t="n">
        <f aca="false">IF(t&lt;T_para, pos_z, NA())</f>
        <v>114.306570429438</v>
      </c>
      <c r="AF190" s="413"/>
      <c r="AG190" s="419" t="n">
        <f aca="false">IF(AND(L189&lt;L_rampe,Poussee&lt;Poids*SIN(M189)),0,(-W189+Poussee)/m-Poids*SIN(M189)/m)</f>
        <v>-13.0822148349662</v>
      </c>
      <c r="AH190" s="418" t="n">
        <f aca="false">IF(AND(L189&lt;L_rampe,Poussee&lt;Poids*SIN(M189)), g*SIN(M189), (-W189+Poussee)/m)</f>
        <v>-3.51614891071868</v>
      </c>
    </row>
    <row r="191" customFormat="false" ht="12" hidden="false" customHeight="false" outlineLevel="0" collapsed="false">
      <c r="A191" s="417" t="n">
        <f aca="false">IF(B190+0.01&lt;=T_ini+ROUNDUP(Temps_fin_propu,0), 0.01, IF(K190&gt;0, 0.1, 0.0001))</f>
        <v>0.01</v>
      </c>
      <c r="B191" s="418" t="n">
        <f aca="false">B190+pas</f>
        <v>1.87</v>
      </c>
      <c r="C191" s="402"/>
      <c r="D191" s="419" t="n">
        <f aca="false">IF(AND(L190&lt;L_rampe,Poussee&lt;Poids*SIN(M190)),0,(-W190+Poussee)/m*COS(M190)-U190/m*SIN(M190))</f>
        <v>-0.777330838502661</v>
      </c>
      <c r="E191" s="420" t="n">
        <f aca="false">IF(AND(L190&lt;L_rampe,Poussee&lt;Poids*SIN(M190)),0,(-W190+Poussee)/m*SIN(M190)+U190/m*COS(M190)-Poids/m)</f>
        <v>-13.225423583656</v>
      </c>
      <c r="F191" s="418" t="n">
        <f aca="false">SQRT(acc_x^2+acc_z^2)</f>
        <v>13.2482478916879</v>
      </c>
      <c r="G191" s="419" t="n">
        <f aca="false">G190+acc_x*pas</f>
        <v>15.4791802582801</v>
      </c>
      <c r="H191" s="420" t="n">
        <f aca="false">H190+acc_z*pas</f>
        <v>67.9140702255242</v>
      </c>
      <c r="I191" s="418" t="n">
        <f aca="false">SQRT(vit_x^2+vit_z^2)</f>
        <v>69.6557675721527</v>
      </c>
      <c r="J191" s="419" t="n">
        <f aca="false">J190+0.5*(vit_x+G190)*pas*(K190&gt;=0)</f>
        <v>23.5840769477858</v>
      </c>
      <c r="K191" s="420" t="n">
        <f aca="false">K190+0.5*(vit_z+H190)*pas</f>
        <v>114.986372402872</v>
      </c>
      <c r="L191" s="418" t="n">
        <f aca="false">SQRT(pos_x^2+pos_z^2)</f>
        <v>117.380043124251</v>
      </c>
      <c r="M191" s="419" t="n">
        <f aca="false">IF(AND(L190&gt;L_rampe,G191&gt;0),ATAN2(G191,H191),$M$4)</f>
        <v>1.34670145580795</v>
      </c>
      <c r="N191" s="418" t="n">
        <f aca="false">DEGREES(Beta)</f>
        <v>77.1603096819191</v>
      </c>
      <c r="O191" s="402"/>
      <c r="P191" s="421" t="n">
        <f aca="false">MATCH(t-pas/2-T_ini,CdP_t)</f>
        <v>13</v>
      </c>
      <c r="Q191" s="418" t="n">
        <f aca="false">(INDEX(CdP,2,i_P+1)-INDEX(CdP,2,i_P+0))/(INDEX(CdP,1,i_P+1)-INDEX(CdP,1,i_P+0))*(t-pas/2-T_ini-INDEX(CdP,1,i_P+0))+INDEX(CdP,2,i_P+0)</f>
        <v>0</v>
      </c>
      <c r="R191" s="419" t="n">
        <f aca="false">Poussee/(g*ISP)</f>
        <v>0</v>
      </c>
      <c r="S191" s="420" t="n">
        <f aca="false">S190-Débit*pas</f>
        <v>1.4843</v>
      </c>
      <c r="T191" s="418" t="n">
        <f aca="false">m*g</f>
        <v>14.560983</v>
      </c>
      <c r="U191" s="422" t="n">
        <f aca="false">IF(pos_xz&lt;L_rampe,Poids*COS(Beta),0)</f>
        <v>0</v>
      </c>
      <c r="V191" s="419" t="n">
        <f aca="false">Rho_moyen*(20000-Alt_rampe-pos_z)/(20000+Alt_rampe+pos_z)</f>
        <v>1.2109946903681</v>
      </c>
      <c r="W191" s="418" t="n">
        <f aca="false">1/2*Rho*Sref*Cx*vit_xz^2</f>
        <v>5.17934867866716</v>
      </c>
      <c r="X191" s="402"/>
      <c r="Y191" s="423" t="str">
        <f aca="false">IF(AND(pos_z&lt;=0,K190&gt;0),"Impact balistique","") &amp; IF(AND(H192&lt;0,vit_z&gt;=0),"Apogée","") &amp; IF(AND(Poussee=0,Q190&gt;0),"Fin de propulsion","") &amp; IF(AND(L192&gt;L_rampe,pos_xz&lt;=L_rampe),"Sortie de rampe","")</f>
        <v/>
      </c>
      <c r="Z191" s="424" t="str">
        <f aca="false">IF(ABS(t-T_para)&lt;pas/2,"Para","")</f>
        <v/>
      </c>
      <c r="AA191" s="425" t="str">
        <f aca="false">IF(ABS(t-T_satellite)&lt;pas/2,"Satellite","")</f>
        <v/>
      </c>
      <c r="AB191" s="413"/>
      <c r="AC191" s="421" t="e">
        <f aca="false">IF(ABS(t-ROUND(t,0))&lt;0.001,t,NA())</f>
        <v>#N/A</v>
      </c>
      <c r="AD191" s="426" t="e">
        <f aca="false">IF(ABS(t-ROUND(t,0))&lt;0.001,pos_x,NA())</f>
        <v>#N/A</v>
      </c>
      <c r="AE191" s="427" t="n">
        <f aca="false">IF(t&lt;T_para, pos_z, NA())</f>
        <v>114.986372402872</v>
      </c>
      <c r="AF191" s="413"/>
      <c r="AG191" s="419" t="n">
        <f aca="false">IF(AND(L190&lt;L_rampe,Poussee&lt;Poids*SIN(M190)),0,(-W190+Poussee)/m-Poids*SIN(M190)/m)</f>
        <v>-13.0681530168641</v>
      </c>
      <c r="AH191" s="418" t="n">
        <f aca="false">IF(AND(L190&lt;L_rampe,Poussee&lt;Poids*SIN(M190)), g*SIN(M190), (-W190+Poussee)/m)</f>
        <v>-3.50276483485272</v>
      </c>
    </row>
    <row r="192" customFormat="false" ht="12" hidden="false" customHeight="false" outlineLevel="0" collapsed="false">
      <c r="A192" s="417" t="n">
        <f aca="false">IF(B191+0.01&lt;=T_ini+ROUNDUP(Temps_fin_propu,0), 0.01, IF(K191&gt;0, 0.1, 0.0001))</f>
        <v>0.01</v>
      </c>
      <c r="B192" s="418" t="n">
        <f aca="false">B191+pas</f>
        <v>1.88</v>
      </c>
      <c r="C192" s="402"/>
      <c r="D192" s="419" t="n">
        <f aca="false">IF(AND(L191&lt;L_rampe,Poussee&lt;Poids*SIN(M191)),0,(-W191+Poussee)/m*COS(M191)-U191/m*SIN(M191))</f>
        <v>-0.775433103227687</v>
      </c>
      <c r="E192" s="420" t="n">
        <f aca="false">IF(AND(L191&lt;L_rampe,Poussee&lt;Poids*SIN(M191)),0,(-W191+Poussee)/m*SIN(M191)+U191/m*COS(M191)-Poids/m)</f>
        <v>-13.2121710031854</v>
      </c>
      <c r="F192" s="418" t="n">
        <f aca="false">SQRT(acc_x^2+acc_z^2)</f>
        <v>13.2349068419462</v>
      </c>
      <c r="G192" s="419" t="n">
        <f aca="false">G191+acc_x*pas</f>
        <v>15.4714259272479</v>
      </c>
      <c r="H192" s="420" t="n">
        <f aca="false">H191+acc_z*pas</f>
        <v>67.7819485154923</v>
      </c>
      <c r="I192" s="418" t="n">
        <f aca="false">SQRT(vit_x^2+vit_z^2)</f>
        <v>69.5252296995786</v>
      </c>
      <c r="J192" s="419" t="n">
        <f aca="false">J191+0.5*(vit_x+G191)*pas*(K191&gt;=0)</f>
        <v>23.7388299787135</v>
      </c>
      <c r="K192" s="420" t="n">
        <f aca="false">K191+0.5*(vit_z+H191)*pas</f>
        <v>115.664852496577</v>
      </c>
      <c r="L192" s="418" t="n">
        <f aca="false">SQRT(pos_x^2+pos_z^2)</f>
        <v>118.075781394041</v>
      </c>
      <c r="M192" s="419" t="n">
        <f aca="false">IF(AND(L191&gt;L_rampe,G192&gt;0),ATAN2(G192,H192),$M$4)</f>
        <v>1.34638789811706</v>
      </c>
      <c r="N192" s="418" t="n">
        <f aca="false">DEGREES(Beta)</f>
        <v>77.1423441495972</v>
      </c>
      <c r="O192" s="402"/>
      <c r="P192" s="421" t="n">
        <f aca="false">MATCH(t-pas/2-T_ini,CdP_t)</f>
        <v>13</v>
      </c>
      <c r="Q192" s="418" t="n">
        <f aca="false">(INDEX(CdP,2,i_P+1)-INDEX(CdP,2,i_P+0))/(INDEX(CdP,1,i_P+1)-INDEX(CdP,1,i_P+0))*(t-pas/2-T_ini-INDEX(CdP,1,i_P+0))+INDEX(CdP,2,i_P+0)</f>
        <v>0</v>
      </c>
      <c r="R192" s="419" t="n">
        <f aca="false">Poussee/(g*ISP)</f>
        <v>0</v>
      </c>
      <c r="S192" s="420" t="n">
        <f aca="false">S191-Débit*pas</f>
        <v>1.4843</v>
      </c>
      <c r="T192" s="418" t="n">
        <f aca="false">m*g</f>
        <v>14.560983</v>
      </c>
      <c r="U192" s="422" t="n">
        <f aca="false">IF(pos_xz&lt;L_rampe,Poids*COS(Beta),0)</f>
        <v>0</v>
      </c>
      <c r="V192" s="419" t="n">
        <f aca="false">Rho_moyen*(20000-Alt_rampe-pos_z)/(20000+Alt_rampe+pos_z)</f>
        <v>1.2109125268444</v>
      </c>
      <c r="W192" s="418" t="n">
        <f aca="false">1/2*Rho*Sref*Cx*vit_xz^2</f>
        <v>5.15960413668326</v>
      </c>
      <c r="X192" s="402"/>
      <c r="Y192" s="423" t="str">
        <f aca="false">IF(AND(pos_z&lt;=0,K191&gt;0),"Impact balistique","") &amp; IF(AND(H193&lt;0,vit_z&gt;=0),"Apogée","") &amp; IF(AND(Poussee=0,Q191&gt;0),"Fin de propulsion","") &amp; IF(AND(L193&gt;L_rampe,pos_xz&lt;=L_rampe),"Sortie de rampe","")</f>
        <v/>
      </c>
      <c r="Z192" s="424" t="str">
        <f aca="false">IF(ABS(t-T_para)&lt;pas/2,"Para","")</f>
        <v/>
      </c>
      <c r="AA192" s="425" t="str">
        <f aca="false">IF(ABS(t-T_satellite)&lt;pas/2,"Satellite","")</f>
        <v/>
      </c>
      <c r="AB192" s="413"/>
      <c r="AC192" s="421" t="e">
        <f aca="false">IF(ABS(t-ROUND(t,0))&lt;0.001,t,NA())</f>
        <v>#N/A</v>
      </c>
      <c r="AD192" s="426" t="e">
        <f aca="false">IF(ABS(t-ROUND(t,0))&lt;0.001,pos_x,NA())</f>
        <v>#N/A</v>
      </c>
      <c r="AE192" s="427" t="n">
        <f aca="false">IF(t&lt;T_para, pos_z, NA())</f>
        <v>115.664852496577</v>
      </c>
      <c r="AF192" s="413"/>
      <c r="AG192" s="419" t="n">
        <f aca="false">IF(AND(L191&lt;L_rampe,Poussee&lt;Poids*SIN(M191)),0,(-W191+Poussee)/m-Poids*SIN(M191)/m)</f>
        <v>-13.0541290379606</v>
      </c>
      <c r="AH192" s="418" t="n">
        <f aca="false">IF(AND(L191&lt;L_rampe,Poussee&lt;Poids*SIN(M191)), g*SIN(M191), (-W191+Poussee)/m)</f>
        <v>-3.48942173325283</v>
      </c>
    </row>
    <row r="193" customFormat="false" ht="12" hidden="false" customHeight="false" outlineLevel="0" collapsed="false">
      <c r="A193" s="417" t="n">
        <f aca="false">IF(B192+0.01&lt;=T_ini+ROUNDUP(Temps_fin_propu,0), 0.01, IF(K192&gt;0, 0.1, 0.0001))</f>
        <v>0.01</v>
      </c>
      <c r="B193" s="418" t="n">
        <f aca="false">B192+pas</f>
        <v>1.89</v>
      </c>
      <c r="C193" s="402"/>
      <c r="D193" s="419" t="n">
        <f aca="false">IF(AND(L192&lt;L_rampe,Poussee&lt;Poids*SIN(M192)),0,(-W192+Poussee)/m*COS(M192)-U192/m*SIN(M192))</f>
        <v>-0.773539694920775</v>
      </c>
      <c r="E193" s="420" t="n">
        <f aca="false">IF(AND(L192&lt;L_rampe,Poussee&lt;Poids*SIN(M192)),0,(-W192+Poussee)/m*SIN(M192)+U192/m*COS(M192)-Poids/m)</f>
        <v>-13.1989589765264</v>
      </c>
      <c r="F193" s="418" t="n">
        <f aca="false">SQRT(acc_x^2+acc_z^2)</f>
        <v>13.2216066241454</v>
      </c>
      <c r="G193" s="419" t="n">
        <f aca="false">G192+acc_x*pas</f>
        <v>15.4636905302987</v>
      </c>
      <c r="H193" s="420" t="n">
        <f aca="false">H192+acc_z*pas</f>
        <v>67.6499589257271</v>
      </c>
      <c r="I193" s="418" t="n">
        <f aca="false">SQRT(vit_x^2+vit_z^2)</f>
        <v>69.3948317057503</v>
      </c>
      <c r="J193" s="419" t="n">
        <f aca="false">J192+0.5*(vit_x+G192)*pas*(K192&gt;=0)</f>
        <v>23.8935055610012</v>
      </c>
      <c r="K193" s="420" t="n">
        <f aca="false">K192+0.5*(vit_z+H192)*pas</f>
        <v>116.342012033783</v>
      </c>
      <c r="L193" s="418" t="n">
        <f aca="false">SQRT(pos_x^2+pos_z^2)</f>
        <v>118.770212477972</v>
      </c>
      <c r="M193" s="419" t="n">
        <f aca="false">IF(AND(L192&gt;L_rampe,G193&gt;0),ATAN2(G193,H193),$M$4)</f>
        <v>1.34607331906624</v>
      </c>
      <c r="N193" s="418" t="n">
        <f aca="false">DEGREES(Beta)</f>
        <v>77.1243200976623</v>
      </c>
      <c r="O193" s="402"/>
      <c r="P193" s="421" t="n">
        <f aca="false">MATCH(t-pas/2-T_ini,CdP_t)</f>
        <v>13</v>
      </c>
      <c r="Q193" s="418" t="n">
        <f aca="false">(INDEX(CdP,2,i_P+1)-INDEX(CdP,2,i_P+0))/(INDEX(CdP,1,i_P+1)-INDEX(CdP,1,i_P+0))*(t-pas/2-T_ini-INDEX(CdP,1,i_P+0))+INDEX(CdP,2,i_P+0)</f>
        <v>0</v>
      </c>
      <c r="R193" s="419" t="n">
        <f aca="false">Poussee/(g*ISP)</f>
        <v>0</v>
      </c>
      <c r="S193" s="420" t="n">
        <f aca="false">S192-Débit*pas</f>
        <v>1.4843</v>
      </c>
      <c r="T193" s="418" t="n">
        <f aca="false">m*g</f>
        <v>14.560983</v>
      </c>
      <c r="U193" s="422" t="n">
        <f aca="false">IF(pos_xz&lt;L_rampe,Poids*COS(Beta),0)</f>
        <v>0</v>
      </c>
      <c r="V193" s="419" t="n">
        <f aca="false">Rho_moyen*(20000-Alt_rampe-pos_z)/(20000+Alt_rampe+pos_z)</f>
        <v>1.21083052876551</v>
      </c>
      <c r="W193" s="418" t="n">
        <f aca="false">1/2*Rho*Sref*Cx*vit_xz^2</f>
        <v>5.13992002491712</v>
      </c>
      <c r="X193" s="402"/>
      <c r="Y193" s="423" t="str">
        <f aca="false">IF(AND(pos_z&lt;=0,K192&gt;0),"Impact balistique","") &amp; IF(AND(H194&lt;0,vit_z&gt;=0),"Apogée","") &amp; IF(AND(Poussee=0,Q192&gt;0),"Fin de propulsion","") &amp; IF(AND(L194&gt;L_rampe,pos_xz&lt;=L_rampe),"Sortie de rampe","")</f>
        <v/>
      </c>
      <c r="Z193" s="424" t="str">
        <f aca="false">IF(ABS(t-T_para)&lt;pas/2,"Para","")</f>
        <v/>
      </c>
      <c r="AA193" s="425" t="str">
        <f aca="false">IF(ABS(t-T_satellite)&lt;pas/2,"Satellite","")</f>
        <v/>
      </c>
      <c r="AB193" s="413"/>
      <c r="AC193" s="421" t="e">
        <f aca="false">IF(ABS(t-ROUND(t,0))&lt;0.001,t,NA())</f>
        <v>#N/A</v>
      </c>
      <c r="AD193" s="426" t="e">
        <f aca="false">IF(ABS(t-ROUND(t,0))&lt;0.001,pos_x,NA())</f>
        <v>#N/A</v>
      </c>
      <c r="AE193" s="427" t="n">
        <f aca="false">IF(t&lt;T_para, pos_z, NA())</f>
        <v>116.342012033783</v>
      </c>
      <c r="AF193" s="413"/>
      <c r="AG193" s="419" t="n">
        <f aca="false">IF(AND(L192&lt;L_rampe,Poussee&lt;Poids*SIN(M192)),0,(-W192+Poussee)/m-Poids*SIN(M192)/m)</f>
        <v>-13.040142748385</v>
      </c>
      <c r="AH193" s="418" t="n">
        <f aca="false">IF(AND(L192&lt;L_rampe,Poussee&lt;Poids*SIN(M192)), g*SIN(M192), (-W192+Poussee)/m)</f>
        <v>-3.47611947496009</v>
      </c>
    </row>
    <row r="194" customFormat="false" ht="12" hidden="false" customHeight="false" outlineLevel="0" collapsed="false">
      <c r="A194" s="417" t="n">
        <f aca="false">IF(B193+0.01&lt;=T_ini+ROUNDUP(Temps_fin_propu,0), 0.01, IF(K193&gt;0, 0.1, 0.0001))</f>
        <v>0.01</v>
      </c>
      <c r="B194" s="418" t="n">
        <f aca="false">B193+pas</f>
        <v>1.9</v>
      </c>
      <c r="C194" s="402"/>
      <c r="D194" s="419" t="n">
        <f aca="false">IF(AND(L193&lt;L_rampe,Poussee&lt;Poids*SIN(M193)),0,(-W193+Poussee)/m*COS(M193)-U193/m*SIN(M193))</f>
        <v>-0.771650597855853</v>
      </c>
      <c r="E194" s="420" t="n">
        <f aca="false">IF(AND(L193&lt;L_rampe,Poussee&lt;Poids*SIN(M193)),0,(-W193+Poussee)/m*SIN(M193)+U193/m*COS(M193)-Poids/m)</f>
        <v>-13.185787374151</v>
      </c>
      <c r="F194" s="418" t="n">
        <f aca="false">SQRT(acc_x^2+acc_z^2)</f>
        <v>13.2083471078516</v>
      </c>
      <c r="G194" s="419" t="n">
        <f aca="false">G193+acc_x*pas</f>
        <v>15.4559740243201</v>
      </c>
      <c r="H194" s="420" t="n">
        <f aca="false">H193+acc_z*pas</f>
        <v>67.5181010519855</v>
      </c>
      <c r="I194" s="418" t="n">
        <f aca="false">SQRT(vit_x^2+vit_z^2)</f>
        <v>69.2645732153645</v>
      </c>
      <c r="J194" s="419" t="n">
        <f aca="false">J193+0.5*(vit_x+G193)*pas*(K193&gt;=0)</f>
        <v>24.0481038837743</v>
      </c>
      <c r="K194" s="420" t="n">
        <f aca="false">K193+0.5*(vit_z+H193)*pas</f>
        <v>117.017852333672</v>
      </c>
      <c r="L194" s="418" t="n">
        <f aca="false">SQRT(pos_x^2+pos_z^2)</f>
        <v>119.463337745058</v>
      </c>
      <c r="M194" s="419" t="n">
        <f aca="false">IF(AND(L193&gt;L_rampe,G194&gt;0),ATAN2(G194,H194),$M$4)</f>
        <v>1.34575771406631</v>
      </c>
      <c r="N194" s="418" t="n">
        <f aca="false">DEGREES(Beta)</f>
        <v>77.1062372631728</v>
      </c>
      <c r="O194" s="402"/>
      <c r="P194" s="421" t="n">
        <f aca="false">MATCH(t-pas/2-T_ini,CdP_t)</f>
        <v>13</v>
      </c>
      <c r="Q194" s="418" t="n">
        <f aca="false">(INDEX(CdP,2,i_P+1)-INDEX(CdP,2,i_P+0))/(INDEX(CdP,1,i_P+1)-INDEX(CdP,1,i_P+0))*(t-pas/2-T_ini-INDEX(CdP,1,i_P+0))+INDEX(CdP,2,i_P+0)</f>
        <v>0</v>
      </c>
      <c r="R194" s="419" t="n">
        <f aca="false">Poussee/(g*ISP)</f>
        <v>0</v>
      </c>
      <c r="S194" s="420" t="n">
        <f aca="false">S193-Débit*pas</f>
        <v>1.4843</v>
      </c>
      <c r="T194" s="418" t="n">
        <f aca="false">m*g</f>
        <v>14.560983</v>
      </c>
      <c r="U194" s="422" t="n">
        <f aca="false">IF(pos_xz&lt;L_rampe,Poids*COS(Beta),0)</f>
        <v>0</v>
      </c>
      <c r="V194" s="419" t="n">
        <f aca="false">Rho_moyen*(20000-Alt_rampe-pos_z)/(20000+Alt_rampe+pos_z)</f>
        <v>1.21074869593883</v>
      </c>
      <c r="W194" s="418" t="n">
        <f aca="false">1/2*Rho*Sref*Cx*vit_xz^2</f>
        <v>5.12029615074035</v>
      </c>
      <c r="X194" s="402"/>
      <c r="Y194" s="423" t="str">
        <f aca="false">IF(AND(pos_z&lt;=0,K193&gt;0),"Impact balistique","") &amp; IF(AND(H195&lt;0,vit_z&gt;=0),"Apogée","") &amp; IF(AND(Poussee=0,Q193&gt;0),"Fin de propulsion","") &amp; IF(AND(L195&gt;L_rampe,pos_xz&lt;=L_rampe),"Sortie de rampe","")</f>
        <v/>
      </c>
      <c r="Z194" s="424" t="str">
        <f aca="false">IF(ABS(t-T_para)&lt;pas/2,"Para","")</f>
        <v/>
      </c>
      <c r="AA194" s="425" t="str">
        <f aca="false">IF(ABS(t-T_satellite)&lt;pas/2,"Satellite","")</f>
        <v/>
      </c>
      <c r="AB194" s="413"/>
      <c r="AC194" s="421" t="e">
        <f aca="false">IF(ABS(t-ROUND(t,0))&lt;0.001,t,NA())</f>
        <v>#N/A</v>
      </c>
      <c r="AD194" s="426" t="e">
        <f aca="false">IF(ABS(t-ROUND(t,0))&lt;0.001,pos_x,NA())</f>
        <v>#N/A</v>
      </c>
      <c r="AE194" s="427" t="n">
        <f aca="false">IF(t&lt;T_para, pos_z, NA())</f>
        <v>117.017852333672</v>
      </c>
      <c r="AF194" s="413"/>
      <c r="AG194" s="419" t="n">
        <f aca="false">IF(AND(L193&lt;L_rampe,Poussee&lt;Poids*SIN(M193)),0,(-W193+Poussee)/m-Poids*SIN(M193)/m)</f>
        <v>-13.0261939987174</v>
      </c>
      <c r="AH194" s="418" t="n">
        <f aca="false">IF(AND(L193&lt;L_rampe,Poussee&lt;Poids*SIN(M193)), g*SIN(M193), (-W193+Poussee)/m)</f>
        <v>-3.46285792960798</v>
      </c>
    </row>
    <row r="195" customFormat="false" ht="12" hidden="false" customHeight="false" outlineLevel="0" collapsed="false">
      <c r="A195" s="417" t="n">
        <f aca="false">IF(B194+0.01&lt;=T_ini+ROUNDUP(Temps_fin_propu,0), 0.01, IF(K194&gt;0, 0.1, 0.0001))</f>
        <v>0.01</v>
      </c>
      <c r="B195" s="418" t="n">
        <f aca="false">B194+pas</f>
        <v>1.91</v>
      </c>
      <c r="C195" s="402"/>
      <c r="D195" s="419" t="n">
        <f aca="false">IF(AND(L194&lt;L_rampe,Poussee&lt;Poids*SIN(M194)),0,(-W194+Poussee)/m*COS(M194)-U194/m*SIN(M194))</f>
        <v>-0.769765796375959</v>
      </c>
      <c r="E195" s="420" t="n">
        <f aca="false">IF(AND(L194&lt;L_rampe,Poussee&lt;Poids*SIN(M194)),0,(-W194+Poussee)/m*SIN(M194)+U194/m*COS(M194)-Poids/m)</f>
        <v>-13.1726560671164</v>
      </c>
      <c r="F195" s="418" t="n">
        <f aca="false">SQRT(acc_x^2+acc_z^2)</f>
        <v>13.1951281632203</v>
      </c>
      <c r="G195" s="419" t="n">
        <f aca="false">G194+acc_x*pas</f>
        <v>15.4482763663563</v>
      </c>
      <c r="H195" s="420" t="n">
        <f aca="false">H194+acc_z*pas</f>
        <v>67.3863744913144</v>
      </c>
      <c r="I195" s="418" t="n">
        <f aca="false">SQRT(vit_x^2+vit_z^2)</f>
        <v>69.1344538546085</v>
      </c>
      <c r="J195" s="419" t="n">
        <f aca="false">J194+0.5*(vit_x+G194)*pas*(K194&gt;=0)</f>
        <v>24.2026251357277</v>
      </c>
      <c r="K195" s="420" t="n">
        <f aca="false">K194+0.5*(vit_z+H194)*pas</f>
        <v>117.692374711388</v>
      </c>
      <c r="L195" s="418" t="n">
        <f aca="false">SQRT(pos_x^2+pos_z^2)</f>
        <v>120.155158560365</v>
      </c>
      <c r="M195" s="419" t="n">
        <f aca="false">IF(AND(L194&gt;L_rampe,G195&gt;0),ATAN2(G195,H195),$M$4)</f>
        <v>1.34544107850061</v>
      </c>
      <c r="N195" s="418" t="n">
        <f aca="false">DEGREES(Beta)</f>
        <v>77.0880953816144</v>
      </c>
      <c r="O195" s="402"/>
      <c r="P195" s="421" t="n">
        <f aca="false">MATCH(t-pas/2-T_ini,CdP_t)</f>
        <v>13</v>
      </c>
      <c r="Q195" s="418" t="n">
        <f aca="false">(INDEX(CdP,2,i_P+1)-INDEX(CdP,2,i_P+0))/(INDEX(CdP,1,i_P+1)-INDEX(CdP,1,i_P+0))*(t-pas/2-T_ini-INDEX(CdP,1,i_P+0))+INDEX(CdP,2,i_P+0)</f>
        <v>0</v>
      </c>
      <c r="R195" s="419" t="n">
        <f aca="false">Poussee/(g*ISP)</f>
        <v>0</v>
      </c>
      <c r="S195" s="420" t="n">
        <f aca="false">S194-Débit*pas</f>
        <v>1.4843</v>
      </c>
      <c r="T195" s="418" t="n">
        <f aca="false">m*g</f>
        <v>14.560983</v>
      </c>
      <c r="U195" s="422" t="n">
        <f aca="false">IF(pos_xz&lt;L_rampe,Poids*COS(Beta),0)</f>
        <v>0</v>
      </c>
      <c r="V195" s="419" t="n">
        <f aca="false">Rho_moyen*(20000-Alt_rampe-pos_z)/(20000+Alt_rampe+pos_z)</f>
        <v>1.21066702817241</v>
      </c>
      <c r="W195" s="418" t="n">
        <f aca="false">1/2*Rho*Sref*Cx*vit_xz^2</f>
        <v>5.10073232239479</v>
      </c>
      <c r="X195" s="402"/>
      <c r="Y195" s="423" t="str">
        <f aca="false">IF(AND(pos_z&lt;=0,K194&gt;0),"Impact balistique","") &amp; IF(AND(H196&lt;0,vit_z&gt;=0),"Apogée","") &amp; IF(AND(Poussee=0,Q194&gt;0),"Fin de propulsion","") &amp; IF(AND(L196&gt;L_rampe,pos_xz&lt;=L_rampe),"Sortie de rampe","")</f>
        <v/>
      </c>
      <c r="Z195" s="424" t="str">
        <f aca="false">IF(ABS(t-T_para)&lt;pas/2,"Para","")</f>
        <v/>
      </c>
      <c r="AA195" s="425" t="str">
        <f aca="false">IF(ABS(t-T_satellite)&lt;pas/2,"Satellite","")</f>
        <v/>
      </c>
      <c r="AB195" s="413"/>
      <c r="AC195" s="421" t="e">
        <f aca="false">IF(ABS(t-ROUND(t,0))&lt;0.001,t,NA())</f>
        <v>#N/A</v>
      </c>
      <c r="AD195" s="426" t="e">
        <f aca="false">IF(ABS(t-ROUND(t,0))&lt;0.001,pos_x,NA())</f>
        <v>#N/A</v>
      </c>
      <c r="AE195" s="427" t="n">
        <f aca="false">IF(t&lt;T_para, pos_z, NA())</f>
        <v>117.692374711388</v>
      </c>
      <c r="AF195" s="413"/>
      <c r="AG195" s="419" t="n">
        <f aca="false">IF(AND(L194&lt;L_rampe,Poussee&lt;Poids*SIN(M194)),0,(-W194+Poussee)/m-Poids*SIN(M194)/m)</f>
        <v>-13.0122826399844</v>
      </c>
      <c r="AH195" s="418" t="n">
        <f aca="false">IF(AND(L194&lt;L_rampe,Poussee&lt;Poids*SIN(M194)), g*SIN(M194), (-W194+Poussee)/m)</f>
        <v>-3.44963696741923</v>
      </c>
    </row>
    <row r="196" customFormat="false" ht="12" hidden="false" customHeight="false" outlineLevel="0" collapsed="false">
      <c r="A196" s="417" t="n">
        <f aca="false">IF(B195+0.01&lt;=T_ini+ROUNDUP(Temps_fin_propu,0), 0.01, IF(K195&gt;0, 0.1, 0.0001))</f>
        <v>0.01</v>
      </c>
      <c r="B196" s="418" t="n">
        <f aca="false">B195+pas</f>
        <v>1.92</v>
      </c>
      <c r="C196" s="402"/>
      <c r="D196" s="419" t="n">
        <f aca="false">IF(AND(L195&lt;L_rampe,Poussee&lt;Poids*SIN(M195)),0,(-W195+Poussee)/m*COS(M195)-U195/m*SIN(M195))</f>
        <v>-0.767885274892892</v>
      </c>
      <c r="E196" s="420" t="n">
        <f aca="false">IF(AND(L195&lt;L_rampe,Poussee&lt;Poids*SIN(M195)),0,(-W195+Poussee)/m*SIN(M195)+U195/m*COS(M195)-Poids/m)</f>
        <v>-13.1595649270614</v>
      </c>
      <c r="F196" s="418" t="n">
        <f aca="false">SQRT(acc_x^2+acc_z^2)</f>
        <v>13.1819496609925</v>
      </c>
      <c r="G196" s="419" t="n">
        <f aca="false">G195+acc_x*pas</f>
        <v>15.4405975136074</v>
      </c>
      <c r="H196" s="420" t="n">
        <f aca="false">H195+acc_z*pas</f>
        <v>67.2547788420438</v>
      </c>
      <c r="I196" s="418" t="n">
        <f aca="false">SQRT(vit_x^2+vit_z^2)</f>
        <v>69.0044732511555</v>
      </c>
      <c r="J196" s="419" t="n">
        <f aca="false">J195+0.5*(vit_x+G195)*pas*(K195&gt;=0)</f>
        <v>24.3570695051275</v>
      </c>
      <c r="K196" s="420" t="n">
        <f aca="false">K195+0.5*(vit_z+H195)*pas</f>
        <v>118.365580478055</v>
      </c>
      <c r="L196" s="418" t="n">
        <f aca="false">SQRT(pos_x^2+pos_z^2)</f>
        <v>120.845676285023</v>
      </c>
      <c r="M196" s="419" t="n">
        <f aca="false">IF(AND(L195&gt;L_rampe,G196&gt;0),ATAN2(G196,H196),$M$4)</f>
        <v>1.34512340772486</v>
      </c>
      <c r="N196" s="418" t="n">
        <f aca="false">DEGREES(Beta)</f>
        <v>77.0698941868893</v>
      </c>
      <c r="O196" s="402"/>
      <c r="P196" s="421" t="n">
        <f aca="false">MATCH(t-pas/2-T_ini,CdP_t)</f>
        <v>13</v>
      </c>
      <c r="Q196" s="418" t="n">
        <f aca="false">(INDEX(CdP,2,i_P+1)-INDEX(CdP,2,i_P+0))/(INDEX(CdP,1,i_P+1)-INDEX(CdP,1,i_P+0))*(t-pas/2-T_ini-INDEX(CdP,1,i_P+0))+INDEX(CdP,2,i_P+0)</f>
        <v>0</v>
      </c>
      <c r="R196" s="419" t="n">
        <f aca="false">Poussee/(g*ISP)</f>
        <v>0</v>
      </c>
      <c r="S196" s="420" t="n">
        <f aca="false">S195-Débit*pas</f>
        <v>1.4843</v>
      </c>
      <c r="T196" s="418" t="n">
        <f aca="false">m*g</f>
        <v>14.560983</v>
      </c>
      <c r="U196" s="422" t="n">
        <f aca="false">IF(pos_xz&lt;L_rampe,Poids*COS(Beta),0)</f>
        <v>0</v>
      </c>
      <c r="V196" s="419" t="n">
        <f aca="false">Rho_moyen*(20000-Alt_rampe-pos_z)/(20000+Alt_rampe+pos_z)</f>
        <v>1.21058552527485</v>
      </c>
      <c r="W196" s="418" t="n">
        <f aca="false">1/2*Rho*Sref*Cx*vit_xz^2</f>
        <v>5.08122834898796</v>
      </c>
      <c r="X196" s="402"/>
      <c r="Y196" s="423" t="str">
        <f aca="false">IF(AND(pos_z&lt;=0,K195&gt;0),"Impact balistique","") &amp; IF(AND(H197&lt;0,vit_z&gt;=0),"Apogée","") &amp; IF(AND(Poussee=0,Q195&gt;0),"Fin de propulsion","") &amp; IF(AND(L197&gt;L_rampe,pos_xz&lt;=L_rampe),"Sortie de rampe","")</f>
        <v/>
      </c>
      <c r="Z196" s="424" t="str">
        <f aca="false">IF(ABS(t-T_para)&lt;pas/2,"Para","")</f>
        <v/>
      </c>
      <c r="AA196" s="425" t="str">
        <f aca="false">IF(ABS(t-T_satellite)&lt;pas/2,"Satellite","")</f>
        <v/>
      </c>
      <c r="AB196" s="413"/>
      <c r="AC196" s="421" t="e">
        <f aca="false">IF(ABS(t-ROUND(t,0))&lt;0.001,t,NA())</f>
        <v>#N/A</v>
      </c>
      <c r="AD196" s="426" t="e">
        <f aca="false">IF(ABS(t-ROUND(t,0))&lt;0.001,pos_x,NA())</f>
        <v>#N/A</v>
      </c>
      <c r="AE196" s="427" t="n">
        <f aca="false">IF(t&lt;T_para, pos_z, NA())</f>
        <v>118.365580478055</v>
      </c>
      <c r="AF196" s="413"/>
      <c r="AG196" s="419" t="n">
        <f aca="false">IF(AND(L195&lt;L_rampe,Poussee&lt;Poids*SIN(M195)),0,(-W195+Poussee)/m-Poids*SIN(M195)/m)</f>
        <v>-12.9984085236543</v>
      </c>
      <c r="AH196" s="418" t="n">
        <f aca="false">IF(AND(L195&lt;L_rampe,Poussee&lt;Poids*SIN(M195)), g*SIN(M195), (-W195+Poussee)/m)</f>
        <v>-3.43645645920285</v>
      </c>
    </row>
    <row r="197" customFormat="false" ht="12" hidden="false" customHeight="false" outlineLevel="0" collapsed="false">
      <c r="A197" s="417" t="n">
        <f aca="false">IF(B196+0.01&lt;=T_ini+ROUNDUP(Temps_fin_propu,0), 0.01, IF(K196&gt;0, 0.1, 0.0001))</f>
        <v>0.01</v>
      </c>
      <c r="B197" s="418" t="n">
        <f aca="false">B196+pas</f>
        <v>1.93</v>
      </c>
      <c r="C197" s="402"/>
      <c r="D197" s="419" t="n">
        <f aca="false">IF(AND(L196&lt;L_rampe,Poussee&lt;Poids*SIN(M196)),0,(-W196+Poussee)/m*COS(M196)-U196/m*SIN(M196))</f>
        <v>-0.766009017886877</v>
      </c>
      <c r="E197" s="420" t="n">
        <f aca="false">IF(AND(L196&lt;L_rampe,Poussee&lt;Poids*SIN(M196)),0,(-W196+Poussee)/m*SIN(M196)+U196/m*COS(M196)-Poids/m)</f>
        <v>-13.1465138262034</v>
      </c>
      <c r="F197" s="418" t="n">
        <f aca="false">SQRT(acc_x^2+acc_z^2)</f>
        <v>13.1688114724922</v>
      </c>
      <c r="G197" s="419" t="n">
        <f aca="false">G196+acc_x*pas</f>
        <v>15.4329374234285</v>
      </c>
      <c r="H197" s="420" t="n">
        <f aca="false">H196+acc_z*pas</f>
        <v>67.1233137037817</v>
      </c>
      <c r="I197" s="418" t="n">
        <f aca="false">SQRT(vit_x^2+vit_z^2)</f>
        <v>68.8746310341606</v>
      </c>
      <c r="J197" s="419" t="n">
        <f aca="false">J196+0.5*(vit_x+G196)*pas*(K196&gt;=0)</f>
        <v>24.5114371798127</v>
      </c>
      <c r="K197" s="420" t="n">
        <f aca="false">K196+0.5*(vit_z+H196)*pas</f>
        <v>119.037470940784</v>
      </c>
      <c r="L197" s="418" t="n">
        <f aca="false">SQRT(pos_x^2+pos_z^2)</f>
        <v>121.534892276243</v>
      </c>
      <c r="M197" s="419" t="n">
        <f aca="false">IF(AND(L196&gt;L_rampe,G197&gt;0),ATAN2(G197,H197),$M$4)</f>
        <v>1.34480469706693</v>
      </c>
      <c r="N197" s="418" t="n">
        <f aca="false">DEGREES(Beta)</f>
        <v>77.0516334113041</v>
      </c>
      <c r="O197" s="402"/>
      <c r="P197" s="421" t="n">
        <f aca="false">MATCH(t-pas/2-T_ini,CdP_t)</f>
        <v>13</v>
      </c>
      <c r="Q197" s="418" t="n">
        <f aca="false">(INDEX(CdP,2,i_P+1)-INDEX(CdP,2,i_P+0))/(INDEX(CdP,1,i_P+1)-INDEX(CdP,1,i_P+0))*(t-pas/2-T_ini-INDEX(CdP,1,i_P+0))+INDEX(CdP,2,i_P+0)</f>
        <v>0</v>
      </c>
      <c r="R197" s="419" t="n">
        <f aca="false">Poussee/(g*ISP)</f>
        <v>0</v>
      </c>
      <c r="S197" s="420" t="n">
        <f aca="false">S196-Débit*pas</f>
        <v>1.4843</v>
      </c>
      <c r="T197" s="418" t="n">
        <f aca="false">m*g</f>
        <v>14.560983</v>
      </c>
      <c r="U197" s="422" t="n">
        <f aca="false">IF(pos_xz&lt;L_rampe,Poids*COS(Beta),0)</f>
        <v>0</v>
      </c>
      <c r="V197" s="419" t="n">
        <f aca="false">Rho_moyen*(20000-Alt_rampe-pos_z)/(20000+Alt_rampe+pos_z)</f>
        <v>1.21050418705536</v>
      </c>
      <c r="W197" s="418" t="n">
        <f aca="false">1/2*Rho*Sref*Cx*vit_xz^2</f>
        <v>5.0617840404887</v>
      </c>
      <c r="X197" s="402"/>
      <c r="Y197" s="423" t="str">
        <f aca="false">IF(AND(pos_z&lt;=0,K196&gt;0),"Impact balistique","") &amp; IF(AND(H198&lt;0,vit_z&gt;=0),"Apogée","") &amp; IF(AND(Poussee=0,Q196&gt;0),"Fin de propulsion","") &amp; IF(AND(L198&gt;L_rampe,pos_xz&lt;=L_rampe),"Sortie de rampe","")</f>
        <v/>
      </c>
      <c r="Z197" s="424" t="str">
        <f aca="false">IF(ABS(t-T_para)&lt;pas/2,"Para","")</f>
        <v/>
      </c>
      <c r="AA197" s="425" t="str">
        <f aca="false">IF(ABS(t-T_satellite)&lt;pas/2,"Satellite","")</f>
        <v/>
      </c>
      <c r="AB197" s="413"/>
      <c r="AC197" s="421" t="e">
        <f aca="false">IF(ABS(t-ROUND(t,0))&lt;0.001,t,NA())</f>
        <v>#N/A</v>
      </c>
      <c r="AD197" s="426" t="e">
        <f aca="false">IF(ABS(t-ROUND(t,0))&lt;0.001,pos_x,NA())</f>
        <v>#N/A</v>
      </c>
      <c r="AE197" s="427" t="n">
        <f aca="false">IF(t&lt;T_para, pos_z, NA())</f>
        <v>119.037470940784</v>
      </c>
      <c r="AF197" s="413"/>
      <c r="AG197" s="419" t="n">
        <f aca="false">IF(AND(L196&lt;L_rampe,Poussee&lt;Poids*SIN(M196)),0,(-W196+Poussee)/m-Poids*SIN(M196)/m)</f>
        <v>-12.9845715016332</v>
      </c>
      <c r="AH197" s="418" t="n">
        <f aca="false">IF(AND(L196&lt;L_rampe,Poussee&lt;Poids*SIN(M196)), g*SIN(M196), (-W196+Poussee)/m)</f>
        <v>-3.42331627635112</v>
      </c>
    </row>
    <row r="198" customFormat="false" ht="12" hidden="false" customHeight="false" outlineLevel="0" collapsed="false">
      <c r="A198" s="417" t="n">
        <f aca="false">IF(B197+0.01&lt;=T_ini+ROUNDUP(Temps_fin_propu,0), 0.01, IF(K197&gt;0, 0.1, 0.0001))</f>
        <v>0.01</v>
      </c>
      <c r="B198" s="418" t="n">
        <f aca="false">B197+pas</f>
        <v>1.94</v>
      </c>
      <c r="C198" s="402"/>
      <c r="D198" s="419" t="n">
        <f aca="false">IF(AND(L197&lt;L_rampe,Poussee&lt;Poids*SIN(M197)),0,(-W197+Poussee)/m*COS(M197)-U197/m*SIN(M197))</f>
        <v>-0.764137009906215</v>
      </c>
      <c r="E198" s="420" t="n">
        <f aca="false">IF(AND(L197&lt;L_rampe,Poussee&lt;Poids*SIN(M197)),0,(-W197+Poussee)/m*SIN(M197)+U197/m*COS(M197)-Poids/m)</f>
        <v>-13.1335026373359</v>
      </c>
      <c r="F198" s="418" t="n">
        <f aca="false">SQRT(acc_x^2+acc_z^2)</f>
        <v>13.1557134696229</v>
      </c>
      <c r="G198" s="419" t="n">
        <f aca="false">G197+acc_x*pas</f>
        <v>15.4252960533295</v>
      </c>
      <c r="H198" s="420" t="n">
        <f aca="false">H197+acc_z*pas</f>
        <v>66.9919786774084</v>
      </c>
      <c r="I198" s="418" t="n">
        <f aca="false">SQRT(vit_x^2+vit_z^2)</f>
        <v>68.7449268342559</v>
      </c>
      <c r="J198" s="419" t="n">
        <f aca="false">J197+0.5*(vit_x+G197)*pas*(K197&gt;=0)</f>
        <v>24.6657283471965</v>
      </c>
      <c r="K198" s="420" t="n">
        <f aca="false">K197+0.5*(vit_z+H197)*pas</f>
        <v>119.70804740269</v>
      </c>
      <c r="L198" s="418" t="n">
        <f aca="false">SQRT(pos_x^2+pos_z^2)</f>
        <v>122.222807887327</v>
      </c>
      <c r="M198" s="419" t="n">
        <f aca="false">IF(AND(L197&gt;L_rampe,G198&gt;0),ATAN2(G198,H198),$M$4)</f>
        <v>1.34448494182664</v>
      </c>
      <c r="N198" s="418" t="n">
        <f aca="false">DEGREES(Beta)</f>
        <v>77.0333127855583</v>
      </c>
      <c r="O198" s="402"/>
      <c r="P198" s="421" t="n">
        <f aca="false">MATCH(t-pas/2-T_ini,CdP_t)</f>
        <v>13</v>
      </c>
      <c r="Q198" s="418" t="n">
        <f aca="false">(INDEX(CdP,2,i_P+1)-INDEX(CdP,2,i_P+0))/(INDEX(CdP,1,i_P+1)-INDEX(CdP,1,i_P+0))*(t-pas/2-T_ini-INDEX(CdP,1,i_P+0))+INDEX(CdP,2,i_P+0)</f>
        <v>0</v>
      </c>
      <c r="R198" s="419" t="n">
        <f aca="false">Poussee/(g*ISP)</f>
        <v>0</v>
      </c>
      <c r="S198" s="420" t="n">
        <f aca="false">S197-Débit*pas</f>
        <v>1.4843</v>
      </c>
      <c r="T198" s="418" t="n">
        <f aca="false">m*g</f>
        <v>14.560983</v>
      </c>
      <c r="U198" s="422" t="n">
        <f aca="false">IF(pos_xz&lt;L_rampe,Poids*COS(Beta),0)</f>
        <v>0</v>
      </c>
      <c r="V198" s="419" t="n">
        <f aca="false">Rho_moyen*(20000-Alt_rampe-pos_z)/(20000+Alt_rampe+pos_z)</f>
        <v>1.21042301332377</v>
      </c>
      <c r="W198" s="418" t="n">
        <f aca="false">1/2*Rho*Sref*Cx*vit_xz^2</f>
        <v>5.04239920772267</v>
      </c>
      <c r="X198" s="402"/>
      <c r="Y198" s="423" t="str">
        <f aca="false">IF(AND(pos_z&lt;=0,K197&gt;0),"Impact balistique","") &amp; IF(AND(H199&lt;0,vit_z&gt;=0),"Apogée","") &amp; IF(AND(Poussee=0,Q197&gt;0),"Fin de propulsion","") &amp; IF(AND(L199&gt;L_rampe,pos_xz&lt;=L_rampe),"Sortie de rampe","")</f>
        <v/>
      </c>
      <c r="Z198" s="424" t="str">
        <f aca="false">IF(ABS(t-T_para)&lt;pas/2,"Para","")</f>
        <v/>
      </c>
      <c r="AA198" s="425" t="str">
        <f aca="false">IF(ABS(t-T_satellite)&lt;pas/2,"Satellite","")</f>
        <v/>
      </c>
      <c r="AB198" s="413"/>
      <c r="AC198" s="421" t="e">
        <f aca="false">IF(ABS(t-ROUND(t,0))&lt;0.001,t,NA())</f>
        <v>#N/A</v>
      </c>
      <c r="AD198" s="426" t="e">
        <f aca="false">IF(ABS(t-ROUND(t,0))&lt;0.001,pos_x,NA())</f>
        <v>#N/A</v>
      </c>
      <c r="AE198" s="427" t="n">
        <f aca="false">IF(t&lt;T_para, pos_z, NA())</f>
        <v>119.70804740269</v>
      </c>
      <c r="AF198" s="413"/>
      <c r="AG198" s="419" t="n">
        <f aca="false">IF(AND(L197&lt;L_rampe,Poussee&lt;Poids*SIN(M197)),0,(-W197+Poussee)/m-Poids*SIN(M197)/m)</f>
        <v>-12.9707714262609</v>
      </c>
      <c r="AH198" s="418" t="n">
        <f aca="false">IF(AND(L197&lt;L_rampe,Poussee&lt;Poids*SIN(M197)), g*SIN(M197), (-W197+Poussee)/m)</f>
        <v>-3.41021629083656</v>
      </c>
    </row>
    <row r="199" customFormat="false" ht="12" hidden="false" customHeight="false" outlineLevel="0" collapsed="false">
      <c r="A199" s="417" t="n">
        <f aca="false">IF(B198+0.01&lt;=T_ini+ROUNDUP(Temps_fin_propu,0), 0.01, IF(K198&gt;0, 0.1, 0.0001))</f>
        <v>0.01</v>
      </c>
      <c r="B199" s="418" t="n">
        <f aca="false">B198+pas</f>
        <v>1.95</v>
      </c>
      <c r="C199" s="402"/>
      <c r="D199" s="419" t="n">
        <f aca="false">IF(AND(L198&lt;L_rampe,Poussee&lt;Poids*SIN(M198)),0,(-W198+Poussee)/m*COS(M198)-U198/m*SIN(M198))</f>
        <v>-0.762269235566948</v>
      </c>
      <c r="E199" s="420" t="n">
        <f aca="false">IF(AND(L198&lt;L_rampe,Poussee&lt;Poids*SIN(M198)),0,(-W198+Poussee)/m*SIN(M198)+U198/m*COS(M198)-Poids/m)</f>
        <v>-13.120531233825</v>
      </c>
      <c r="F199" s="418" t="n">
        <f aca="false">SQRT(acc_x^2+acc_z^2)</f>
        <v>13.1426555248652</v>
      </c>
      <c r="G199" s="419" t="n">
        <f aca="false">G198+acc_x*pas</f>
        <v>15.4176733609738</v>
      </c>
      <c r="H199" s="420" t="n">
        <f aca="false">H198+acc_z*pas</f>
        <v>66.8607733650701</v>
      </c>
      <c r="I199" s="418" t="n">
        <f aca="false">SQRT(vit_x^2+vit_z^2)</f>
        <v>68.615360283547</v>
      </c>
      <c r="J199" s="419" t="n">
        <f aca="false">J198+0.5*(vit_x+G198)*pas*(K198&gt;=0)</f>
        <v>24.819943194268</v>
      </c>
      <c r="K199" s="420" t="n">
        <f aca="false">K198+0.5*(vit_z+H198)*pas</f>
        <v>120.377311162903</v>
      </c>
      <c r="L199" s="418" t="n">
        <f aca="false">SQRT(pos_x^2+pos_z^2)</f>
        <v>122.909424467683</v>
      </c>
      <c r="M199" s="419" t="n">
        <f aca="false">IF(AND(L198&gt;L_rampe,G199&gt;0),ATAN2(G199,H199),$M$4)</f>
        <v>1.34416413727555</v>
      </c>
      <c r="N199" s="418" t="n">
        <f aca="false">DEGREES(Beta)</f>
        <v>77.0149320387324</v>
      </c>
      <c r="O199" s="402"/>
      <c r="P199" s="421" t="n">
        <f aca="false">MATCH(t-pas/2-T_ini,CdP_t)</f>
        <v>13</v>
      </c>
      <c r="Q199" s="418" t="n">
        <f aca="false">(INDEX(CdP,2,i_P+1)-INDEX(CdP,2,i_P+0))/(INDEX(CdP,1,i_P+1)-INDEX(CdP,1,i_P+0))*(t-pas/2-T_ini-INDEX(CdP,1,i_P+0))+INDEX(CdP,2,i_P+0)</f>
        <v>0</v>
      </c>
      <c r="R199" s="419" t="n">
        <f aca="false">Poussee/(g*ISP)</f>
        <v>0</v>
      </c>
      <c r="S199" s="420" t="n">
        <f aca="false">S198-Débit*pas</f>
        <v>1.4843</v>
      </c>
      <c r="T199" s="418" t="n">
        <f aca="false">m*g</f>
        <v>14.560983</v>
      </c>
      <c r="U199" s="422" t="n">
        <f aca="false">IF(pos_xz&lt;L_rampe,Poids*COS(Beta),0)</f>
        <v>0</v>
      </c>
      <c r="V199" s="419" t="n">
        <f aca="false">Rho_moyen*(20000-Alt_rampe-pos_z)/(20000+Alt_rampe+pos_z)</f>
        <v>1.21034200389048</v>
      </c>
      <c r="W199" s="418" t="n">
        <f aca="false">1/2*Rho*Sref*Cx*vit_xz^2</f>
        <v>5.02307366236804</v>
      </c>
      <c r="X199" s="402"/>
      <c r="Y199" s="423" t="str">
        <f aca="false">IF(AND(pos_z&lt;=0,K198&gt;0),"Impact balistique","") &amp; IF(AND(H200&lt;0,vit_z&gt;=0),"Apogée","") &amp; IF(AND(Poussee=0,Q198&gt;0),"Fin de propulsion","") &amp; IF(AND(L200&gt;L_rampe,pos_xz&lt;=L_rampe),"Sortie de rampe","")</f>
        <v/>
      </c>
      <c r="Z199" s="424" t="str">
        <f aca="false">IF(ABS(t-T_para)&lt;pas/2,"Para","")</f>
        <v/>
      </c>
      <c r="AA199" s="425" t="str">
        <f aca="false">IF(ABS(t-T_satellite)&lt;pas/2,"Satellite","")</f>
        <v/>
      </c>
      <c r="AB199" s="413"/>
      <c r="AC199" s="421" t="e">
        <f aca="false">IF(ABS(t-ROUND(t,0))&lt;0.001,t,NA())</f>
        <v>#N/A</v>
      </c>
      <c r="AD199" s="426" t="e">
        <f aca="false">IF(ABS(t-ROUND(t,0))&lt;0.001,pos_x,NA())</f>
        <v>#N/A</v>
      </c>
      <c r="AE199" s="427" t="n">
        <f aca="false">IF(t&lt;T_para, pos_z, NA())</f>
        <v>120.377311162903</v>
      </c>
      <c r="AF199" s="413"/>
      <c r="AG199" s="419" t="n">
        <f aca="false">IF(AND(L198&lt;L_rampe,Poussee&lt;Poids*SIN(M198)),0,(-W198+Poussee)/m-Poids*SIN(M198)/m)</f>
        <v>-12.957008150306</v>
      </c>
      <c r="AH199" s="418" t="n">
        <f aca="false">IF(AND(L198&lt;L_rampe,Poussee&lt;Poids*SIN(M198)), g*SIN(M198), (-W198+Poussee)/m)</f>
        <v>-3.39715637520897</v>
      </c>
    </row>
    <row r="200" customFormat="false" ht="12" hidden="false" customHeight="false" outlineLevel="0" collapsed="false">
      <c r="A200" s="417" t="n">
        <f aca="false">IF(B199+0.01&lt;=T_ini+ROUNDUP(Temps_fin_propu,0), 0.01, IF(K199&gt;0, 0.1, 0.0001))</f>
        <v>0.01</v>
      </c>
      <c r="B200" s="418" t="n">
        <f aca="false">B199+pas</f>
        <v>1.96</v>
      </c>
      <c r="C200" s="402"/>
      <c r="D200" s="419" t="n">
        <f aca="false">IF(AND(L199&lt;L_rampe,Poussee&lt;Poids*SIN(M199)),0,(-W199+Poussee)/m*COS(M199)-U199/m*SIN(M199))</f>
        <v>-0.76040567955253</v>
      </c>
      <c r="E200" s="420" t="n">
        <f aca="false">IF(AND(L199&lt;L_rampe,Poussee&lt;Poids*SIN(M199)),0,(-W199+Poussee)/m*SIN(M199)+U199/m*COS(M199)-Poids/m)</f>
        <v>-13.1075994896069</v>
      </c>
      <c r="F200" s="418" t="n">
        <f aca="false">SQRT(acc_x^2+acc_z^2)</f>
        <v>13.1296375112735</v>
      </c>
      <c r="G200" s="419" t="n">
        <f aca="false">G199+acc_x*pas</f>
        <v>15.4100693041783</v>
      </c>
      <c r="H200" s="420" t="n">
        <f aca="false">H199+acc_z*pas</f>
        <v>66.7296973701741</v>
      </c>
      <c r="I200" s="418" t="n">
        <f aca="false">SQRT(vit_x^2+vit_z^2)</f>
        <v>68.4859310156078</v>
      </c>
      <c r="J200" s="419" t="n">
        <f aca="false">J199+0.5*(vit_x+G199)*pas*(K199&gt;=0)</f>
        <v>24.9740819075937</v>
      </c>
      <c r="K200" s="420" t="n">
        <f aca="false">K199+0.5*(vit_z+H199)*pas</f>
        <v>121.045263516579</v>
      </c>
      <c r="L200" s="418" t="n">
        <f aca="false">SQRT(pos_x^2+pos_z^2)</f>
        <v>123.594743362836</v>
      </c>
      <c r="M200" s="419" t="n">
        <f aca="false">IF(AND(L199&gt;L_rampe,G200&gt;0),ATAN2(G200,H200),$M$4)</f>
        <v>1.34384227865677</v>
      </c>
      <c r="N200" s="418" t="n">
        <f aca="false">DEGREES(Beta)</f>
        <v>76.9964908982763</v>
      </c>
      <c r="O200" s="402"/>
      <c r="P200" s="421" t="n">
        <f aca="false">MATCH(t-pas/2-T_ini,CdP_t)</f>
        <v>13</v>
      </c>
      <c r="Q200" s="418" t="n">
        <f aca="false">(INDEX(CdP,2,i_P+1)-INDEX(CdP,2,i_P+0))/(INDEX(CdP,1,i_P+1)-INDEX(CdP,1,i_P+0))*(t-pas/2-T_ini-INDEX(CdP,1,i_P+0))+INDEX(CdP,2,i_P+0)</f>
        <v>0</v>
      </c>
      <c r="R200" s="419" t="n">
        <f aca="false">Poussee/(g*ISP)</f>
        <v>0</v>
      </c>
      <c r="S200" s="420" t="n">
        <f aca="false">S199-Débit*pas</f>
        <v>1.4843</v>
      </c>
      <c r="T200" s="418" t="n">
        <f aca="false">m*g</f>
        <v>14.560983</v>
      </c>
      <c r="U200" s="422" t="n">
        <f aca="false">IF(pos_xz&lt;L_rampe,Poids*COS(Beta),0)</f>
        <v>0</v>
      </c>
      <c r="V200" s="419" t="n">
        <f aca="false">Rho_moyen*(20000-Alt_rampe-pos_z)/(20000+Alt_rampe+pos_z)</f>
        <v>1.21026115856648</v>
      </c>
      <c r="W200" s="418" t="n">
        <f aca="false">1/2*Rho*Sref*Cx*vit_xz^2</f>
        <v>5.00380721695107</v>
      </c>
      <c r="X200" s="402"/>
      <c r="Y200" s="423" t="str">
        <f aca="false">IF(AND(pos_z&lt;=0,K199&gt;0),"Impact balistique","") &amp; IF(AND(H201&lt;0,vit_z&gt;=0),"Apogée","") &amp; IF(AND(Poussee=0,Q199&gt;0),"Fin de propulsion","") &amp; IF(AND(L201&gt;L_rampe,pos_xz&lt;=L_rampe),"Sortie de rampe","")</f>
        <v/>
      </c>
      <c r="Z200" s="424" t="str">
        <f aca="false">IF(ABS(t-T_para)&lt;pas/2,"Para","")</f>
        <v/>
      </c>
      <c r="AA200" s="425" t="str">
        <f aca="false">IF(ABS(t-T_satellite)&lt;pas/2,"Satellite","")</f>
        <v/>
      </c>
      <c r="AB200" s="413"/>
      <c r="AC200" s="421" t="e">
        <f aca="false">IF(ABS(t-ROUND(t,0))&lt;0.001,t,NA())</f>
        <v>#N/A</v>
      </c>
      <c r="AD200" s="426" t="e">
        <f aca="false">IF(ABS(t-ROUND(t,0))&lt;0.001,pos_x,NA())</f>
        <v>#N/A</v>
      </c>
      <c r="AE200" s="427" t="n">
        <f aca="false">IF(t&lt;T_para, pos_z, NA())</f>
        <v>121.045263516579</v>
      </c>
      <c r="AF200" s="413"/>
      <c r="AG200" s="419" t="n">
        <f aca="false">IF(AND(L199&lt;L_rampe,Poussee&lt;Poids*SIN(M199)),0,(-W199+Poussee)/m-Poids*SIN(M199)/m)</f>
        <v>-12.9432815269622</v>
      </c>
      <c r="AH200" s="418" t="n">
        <f aca="false">IF(AND(L199&lt;L_rampe,Poussee&lt;Poids*SIN(M199)), g*SIN(M199), (-W199+Poussee)/m)</f>
        <v>-3.3841364025925</v>
      </c>
    </row>
    <row r="201" customFormat="false" ht="12" hidden="false" customHeight="false" outlineLevel="0" collapsed="false">
      <c r="A201" s="417" t="n">
        <f aca="false">IF(B200+0.01&lt;=T_ini+ROUNDUP(Temps_fin_propu,0), 0.01, IF(K200&gt;0, 0.1, 0.0001))</f>
        <v>0.01</v>
      </c>
      <c r="B201" s="418" t="n">
        <f aca="false">B200+pas</f>
        <v>1.97</v>
      </c>
      <c r="C201" s="402"/>
      <c r="D201" s="419" t="n">
        <f aca="false">IF(AND(L200&lt;L_rampe,Poussee&lt;Poids*SIN(M200)),0,(-W200+Poussee)/m*COS(M200)-U200/m*SIN(M200))</f>
        <v>-0.758546326613479</v>
      </c>
      <c r="E201" s="420" t="n">
        <f aca="false">IF(AND(L200&lt;L_rampe,Poussee&lt;Poids*SIN(M200)),0,(-W200+Poussee)/m*SIN(M200)+U200/m*COS(M200)-Poids/m)</f>
        <v>-13.0947072791847</v>
      </c>
      <c r="F201" s="418" t="n">
        <f aca="false">SQRT(acc_x^2+acc_z^2)</f>
        <v>13.116659302473</v>
      </c>
      <c r="G201" s="419" t="n">
        <f aca="false">G200+acc_x*pas</f>
        <v>15.4024838409122</v>
      </c>
      <c r="H201" s="420" t="n">
        <f aca="false">H200+acc_z*pas</f>
        <v>66.5987502973822</v>
      </c>
      <c r="I201" s="418" t="n">
        <f aca="false">SQRT(vit_x^2+vit_z^2)</f>
        <v>68.3566386654773</v>
      </c>
      <c r="J201" s="419" t="n">
        <f aca="false">J200+0.5*(vit_x+G200)*pas*(K200&gt;=0)</f>
        <v>25.1281446733192</v>
      </c>
      <c r="K201" s="420" t="n">
        <f aca="false">K200+0.5*(vit_z+H200)*pas</f>
        <v>121.711905754917</v>
      </c>
      <c r="L201" s="418" t="n">
        <f aca="false">SQRT(pos_x^2+pos_z^2)</f>
        <v>124.278765914443</v>
      </c>
      <c r="M201" s="419" t="n">
        <f aca="false">IF(AND(L200&gt;L_rampe,G201&gt;0),ATAN2(G201,H201),$M$4)</f>
        <v>1.34351936118471</v>
      </c>
      <c r="N201" s="418" t="n">
        <f aca="false">DEGREES(Beta)</f>
        <v>76.9779890899965</v>
      </c>
      <c r="O201" s="402"/>
      <c r="P201" s="421" t="n">
        <f aca="false">MATCH(t-pas/2-T_ini,CdP_t)</f>
        <v>13</v>
      </c>
      <c r="Q201" s="418" t="n">
        <f aca="false">(INDEX(CdP,2,i_P+1)-INDEX(CdP,2,i_P+0))/(INDEX(CdP,1,i_P+1)-INDEX(CdP,1,i_P+0))*(t-pas/2-T_ini-INDEX(CdP,1,i_P+0))+INDEX(CdP,2,i_P+0)</f>
        <v>0</v>
      </c>
      <c r="R201" s="419" t="n">
        <f aca="false">Poussee/(g*ISP)</f>
        <v>0</v>
      </c>
      <c r="S201" s="420" t="n">
        <f aca="false">S200-Débit*pas</f>
        <v>1.4843</v>
      </c>
      <c r="T201" s="418" t="n">
        <f aca="false">m*g</f>
        <v>14.560983</v>
      </c>
      <c r="U201" s="422" t="n">
        <f aca="false">IF(pos_xz&lt;L_rampe,Poids*COS(Beta),0)</f>
        <v>0</v>
      </c>
      <c r="V201" s="419" t="n">
        <f aca="false">Rho_moyen*(20000-Alt_rampe-pos_z)/(20000+Alt_rampe+pos_z)</f>
        <v>1.21018047716336</v>
      </c>
      <c r="W201" s="418" t="n">
        <f aca="false">1/2*Rho*Sref*Cx*vit_xz^2</f>
        <v>4.98459968484181</v>
      </c>
      <c r="X201" s="402"/>
      <c r="Y201" s="423" t="str">
        <f aca="false">IF(AND(pos_z&lt;=0,K200&gt;0),"Impact balistique","") &amp; IF(AND(H202&lt;0,vit_z&gt;=0),"Apogée","") &amp; IF(AND(Poussee=0,Q200&gt;0),"Fin de propulsion","") &amp; IF(AND(L202&gt;L_rampe,pos_xz&lt;=L_rampe),"Sortie de rampe","")</f>
        <v/>
      </c>
      <c r="Z201" s="424" t="str">
        <f aca="false">IF(ABS(t-T_para)&lt;pas/2,"Para","")</f>
        <v/>
      </c>
      <c r="AA201" s="425" t="str">
        <f aca="false">IF(ABS(t-T_satellite)&lt;pas/2,"Satellite","")</f>
        <v/>
      </c>
      <c r="AB201" s="413"/>
      <c r="AC201" s="421" t="e">
        <f aca="false">IF(ABS(t-ROUND(t,0))&lt;0.001,t,NA())</f>
        <v>#N/A</v>
      </c>
      <c r="AD201" s="426" t="e">
        <f aca="false">IF(ABS(t-ROUND(t,0))&lt;0.001,pos_x,NA())</f>
        <v>#N/A</v>
      </c>
      <c r="AE201" s="427" t="n">
        <f aca="false">IF(t&lt;T_para, pos_z, NA())</f>
        <v>121.711905754917</v>
      </c>
      <c r="AF201" s="413"/>
      <c r="AG201" s="419" t="n">
        <f aca="false">IF(AND(L200&lt;L_rampe,Poussee&lt;Poids*SIN(M200)),0,(-W200+Poussee)/m-Poids*SIN(M200)/m)</f>
        <v>-12.9295914098437</v>
      </c>
      <c r="AH201" s="418" t="n">
        <f aca="false">IF(AND(L200&lt;L_rampe,Poussee&lt;Poids*SIN(M200)), g*SIN(M200), (-W200+Poussee)/m)</f>
        <v>-3.37115624668266</v>
      </c>
    </row>
    <row r="202" customFormat="false" ht="12" hidden="false" customHeight="false" outlineLevel="0" collapsed="false">
      <c r="A202" s="417" t="n">
        <f aca="false">IF(B201+0.01&lt;=T_ini+ROUNDUP(Temps_fin_propu,0), 0.01, IF(K201&gt;0, 0.1, 0.0001))</f>
        <v>0.01</v>
      </c>
      <c r="B202" s="418" t="n">
        <f aca="false">B201+pas</f>
        <v>1.98</v>
      </c>
      <c r="C202" s="402"/>
      <c r="D202" s="419" t="n">
        <f aca="false">IF(AND(L201&lt;L_rampe,Poussee&lt;Poids*SIN(M201)),0,(-W201+Poussee)/m*COS(M201)-U201/m*SIN(M201))</f>
        <v>-0.756691161567059</v>
      </c>
      <c r="E202" s="420" t="n">
        <f aca="false">IF(AND(L201&lt;L_rampe,Poussee&lt;Poids*SIN(M201)),0,(-W201+Poussee)/m*SIN(M201)+U201/m*COS(M201)-Poids/m)</f>
        <v>-13.0818544776254</v>
      </c>
      <c r="F202" s="418" t="n">
        <f aca="false">SQRT(acc_x^2+acc_z^2)</f>
        <v>13.1037207726569</v>
      </c>
      <c r="G202" s="419" t="n">
        <f aca="false">G201+acc_x*pas</f>
        <v>15.3949169292965</v>
      </c>
      <c r="H202" s="420" t="n">
        <f aca="false">H201+acc_z*pas</f>
        <v>66.467931752606</v>
      </c>
      <c r="I202" s="418" t="n">
        <f aca="false">SQRT(vit_x^2+vit_z^2)</f>
        <v>68.2274828696547</v>
      </c>
      <c r="J202" s="419" t="n">
        <f aca="false">J201+0.5*(vit_x+G201)*pas*(K201&gt;=0)</f>
        <v>25.2821316771702</v>
      </c>
      <c r="K202" s="420" t="n">
        <f aca="false">K201+0.5*(vit_z+H201)*pas</f>
        <v>122.377239165167</v>
      </c>
      <c r="L202" s="418" t="n">
        <f aca="false">SQRT(pos_x^2+pos_z^2)</f>
        <v>124.961493460306</v>
      </c>
      <c r="M202" s="419" t="n">
        <f aca="false">IF(AND(L201&gt;L_rampe,G202&gt;0),ATAN2(G202,H202),$M$4)</f>
        <v>1.34319538004493</v>
      </c>
      <c r="N202" s="418" t="n">
        <f aca="false">DEGREES(Beta)</f>
        <v>76.959426338045</v>
      </c>
      <c r="O202" s="402"/>
      <c r="P202" s="421" t="n">
        <f aca="false">MATCH(t-pas/2-T_ini,CdP_t)</f>
        <v>13</v>
      </c>
      <c r="Q202" s="418" t="n">
        <f aca="false">(INDEX(CdP,2,i_P+1)-INDEX(CdP,2,i_P+0))/(INDEX(CdP,1,i_P+1)-INDEX(CdP,1,i_P+0))*(t-pas/2-T_ini-INDEX(CdP,1,i_P+0))+INDEX(CdP,2,i_P+0)</f>
        <v>0</v>
      </c>
      <c r="R202" s="419" t="n">
        <f aca="false">Poussee/(g*ISP)</f>
        <v>0</v>
      </c>
      <c r="S202" s="420" t="n">
        <f aca="false">S201-Débit*pas</f>
        <v>1.4843</v>
      </c>
      <c r="T202" s="418" t="n">
        <f aca="false">m*g</f>
        <v>14.560983</v>
      </c>
      <c r="U202" s="422" t="n">
        <f aca="false">IF(pos_xz&lt;L_rampe,Poids*COS(Beta),0)</f>
        <v>0</v>
      </c>
      <c r="V202" s="419" t="n">
        <f aca="false">Rho_moyen*(20000-Alt_rampe-pos_z)/(20000+Alt_rampe+pos_z)</f>
        <v>1.2100999594933</v>
      </c>
      <c r="W202" s="418" t="n">
        <f aca="false">1/2*Rho*Sref*Cx*vit_xz^2</f>
        <v>4.96545088024976</v>
      </c>
      <c r="X202" s="402"/>
      <c r="Y202" s="423" t="str">
        <f aca="false">IF(AND(pos_z&lt;=0,K201&gt;0),"Impact balistique","") &amp; IF(AND(H203&lt;0,vit_z&gt;=0),"Apogée","") &amp; IF(AND(Poussee=0,Q201&gt;0),"Fin de propulsion","") &amp; IF(AND(L203&gt;L_rampe,pos_xz&lt;=L_rampe),"Sortie de rampe","")</f>
        <v/>
      </c>
      <c r="Z202" s="424" t="str">
        <f aca="false">IF(ABS(t-T_para)&lt;pas/2,"Para","")</f>
        <v/>
      </c>
      <c r="AA202" s="425" t="str">
        <f aca="false">IF(ABS(t-T_satellite)&lt;pas/2,"Satellite","")</f>
        <v/>
      </c>
      <c r="AB202" s="413"/>
      <c r="AC202" s="421" t="e">
        <f aca="false">IF(ABS(t-ROUND(t,0))&lt;0.001,t,NA())</f>
        <v>#N/A</v>
      </c>
      <c r="AD202" s="426" t="e">
        <f aca="false">IF(ABS(t-ROUND(t,0))&lt;0.001,pos_x,NA())</f>
        <v>#N/A</v>
      </c>
      <c r="AE202" s="427" t="n">
        <f aca="false">IF(t&lt;T_para, pos_z, NA())</f>
        <v>122.377239165167</v>
      </c>
      <c r="AF202" s="413"/>
      <c r="AG202" s="419" t="n">
        <f aca="false">IF(AND(L201&lt;L_rampe,Poussee&lt;Poids*SIN(M201)),0,(-W201+Poussee)/m-Poids*SIN(M201)/m)</f>
        <v>-12.9159376529811</v>
      </c>
      <c r="AH202" s="418" t="n">
        <f aca="false">IF(AND(L201&lt;L_rampe,Poussee&lt;Poids*SIN(M201)), g*SIN(M201), (-W201+Poussee)/m)</f>
        <v>-3.35821578174346</v>
      </c>
    </row>
    <row r="203" customFormat="false" ht="12" hidden="false" customHeight="false" outlineLevel="0" collapsed="false">
      <c r="A203" s="417" t="n">
        <f aca="false">IF(B202+0.01&lt;=T_ini+ROUNDUP(Temps_fin_propu,0), 0.01, IF(K202&gt;0, 0.1, 0.0001))</f>
        <v>0.01</v>
      </c>
      <c r="B203" s="418" t="n">
        <f aca="false">B202+pas</f>
        <v>1.99</v>
      </c>
      <c r="C203" s="402"/>
      <c r="D203" s="419" t="n">
        <f aca="false">IF(AND(L202&lt;L_rampe,Poussee&lt;Poids*SIN(M202)),0,(-W202+Poussee)/m*COS(M202)-U202/m*SIN(M202))</f>
        <v>-0.754840169296944</v>
      </c>
      <c r="E203" s="420" t="n">
        <f aca="false">IF(AND(L202&lt;L_rampe,Poussee&lt;Poids*SIN(M202)),0,(-W202+Poussee)/m*SIN(M202)+U202/m*COS(M202)-Poids/m)</f>
        <v>-13.0690409605573</v>
      </c>
      <c r="F203" s="418" t="n">
        <f aca="false">SQRT(acc_x^2+acc_z^2)</f>
        <v>13.0908217965837</v>
      </c>
      <c r="G203" s="419" t="n">
        <f aca="false">G202+acc_x*pas</f>
        <v>15.3873685276035</v>
      </c>
      <c r="H203" s="420" t="n">
        <f aca="false">H202+acc_z*pas</f>
        <v>66.3372413430004</v>
      </c>
      <c r="I203" s="418" t="n">
        <f aca="false">SQRT(vit_x^2+vit_z^2)</f>
        <v>68.0984632660955</v>
      </c>
      <c r="J203" s="419" t="n">
        <f aca="false">J202+0.5*(vit_x+G202)*pas*(K202&gt;=0)</f>
        <v>25.4360431044547</v>
      </c>
      <c r="K203" s="420" t="n">
        <f aca="false">K202+0.5*(vit_z+H202)*pas</f>
        <v>123.041265030645</v>
      </c>
      <c r="L203" s="418" t="n">
        <f aca="false">SQRT(pos_x^2+pos_z^2)</f>
        <v>125.642927334383</v>
      </c>
      <c r="M203" s="419" t="n">
        <f aca="false">IF(AND(L202&gt;L_rampe,G203&gt;0),ATAN2(G203,H203),$M$4)</f>
        <v>1.34287033039385</v>
      </c>
      <c r="N203" s="418" t="n">
        <f aca="false">DEGREES(Beta)</f>
        <v>76.940802364906</v>
      </c>
      <c r="O203" s="402"/>
      <c r="P203" s="421" t="n">
        <f aca="false">MATCH(t-pas/2-T_ini,CdP_t)</f>
        <v>13</v>
      </c>
      <c r="Q203" s="418" t="n">
        <f aca="false">(INDEX(CdP,2,i_P+1)-INDEX(CdP,2,i_P+0))/(INDEX(CdP,1,i_P+1)-INDEX(CdP,1,i_P+0))*(t-pas/2-T_ini-INDEX(CdP,1,i_P+0))+INDEX(CdP,2,i_P+0)</f>
        <v>0</v>
      </c>
      <c r="R203" s="419" t="n">
        <f aca="false">Poussee/(g*ISP)</f>
        <v>0</v>
      </c>
      <c r="S203" s="420" t="n">
        <f aca="false">S202-Débit*pas</f>
        <v>1.4843</v>
      </c>
      <c r="T203" s="418" t="n">
        <f aca="false">m*g</f>
        <v>14.560983</v>
      </c>
      <c r="U203" s="422" t="n">
        <f aca="false">IF(pos_xz&lt;L_rampe,Poids*COS(Beta),0)</f>
        <v>0</v>
      </c>
      <c r="V203" s="419" t="n">
        <f aca="false">Rho_moyen*(20000-Alt_rampe-pos_z)/(20000+Alt_rampe+pos_z)</f>
        <v>1.21001960536905</v>
      </c>
      <c r="W203" s="418" t="n">
        <f aca="false">1/2*Rho*Sref*Cx*vit_xz^2</f>
        <v>4.94636061821962</v>
      </c>
      <c r="X203" s="402"/>
      <c r="Y203" s="423" t="str">
        <f aca="false">IF(AND(pos_z&lt;=0,K202&gt;0),"Impact balistique","") &amp; IF(AND(H204&lt;0,vit_z&gt;=0),"Apogée","") &amp; IF(AND(Poussee=0,Q202&gt;0),"Fin de propulsion","") &amp; IF(AND(L204&gt;L_rampe,pos_xz&lt;=L_rampe),"Sortie de rampe","")</f>
        <v/>
      </c>
      <c r="Z203" s="424" t="str">
        <f aca="false">IF(ABS(t-T_para)&lt;pas/2,"Para","")</f>
        <v/>
      </c>
      <c r="AA203" s="425" t="str">
        <f aca="false">IF(ABS(t-T_satellite)&lt;pas/2,"Satellite","")</f>
        <v/>
      </c>
      <c r="AB203" s="413"/>
      <c r="AC203" s="421" t="e">
        <f aca="false">IF(ABS(t-ROUND(t,0))&lt;0.001,t,NA())</f>
        <v>#N/A</v>
      </c>
      <c r="AD203" s="426" t="e">
        <f aca="false">IF(ABS(t-ROUND(t,0))&lt;0.001,pos_x,NA())</f>
        <v>#N/A</v>
      </c>
      <c r="AE203" s="427" t="n">
        <f aca="false">IF(t&lt;T_para, pos_z, NA())</f>
        <v>123.041265030645</v>
      </c>
      <c r="AF203" s="413"/>
      <c r="AG203" s="419" t="n">
        <f aca="false">IF(AND(L202&lt;L_rampe,Poussee&lt;Poids*SIN(M202)),0,(-W202+Poussee)/m-Poids*SIN(M202)/m)</f>
        <v>-12.9023201108169</v>
      </c>
      <c r="AH203" s="418" t="n">
        <f aca="false">IF(AND(L202&lt;L_rampe,Poussee&lt;Poids*SIN(M202)), g*SIN(M202), (-W202+Poussee)/m)</f>
        <v>-3.34531488260444</v>
      </c>
    </row>
    <row r="204" customFormat="false" ht="12" hidden="false" customHeight="false" outlineLevel="0" collapsed="false">
      <c r="A204" s="417" t="n">
        <f aca="false">IF(B203+0.01&lt;=T_ini+ROUNDUP(Temps_fin_propu,0), 0.01, IF(K203&gt;0, 0.1, 0.0001))</f>
        <v>0.01</v>
      </c>
      <c r="B204" s="418" t="n">
        <f aca="false">B203+pas</f>
        <v>2</v>
      </c>
      <c r="C204" s="402"/>
      <c r="D204" s="419" t="n">
        <f aca="false">IF(AND(L203&lt;L_rampe,Poussee&lt;Poids*SIN(M203)),0,(-W203+Poussee)/m*COS(M203)-U203/m*SIN(M203))</f>
        <v>-0.75299333475289</v>
      </c>
      <c r="E204" s="420" t="n">
        <f aca="false">IF(AND(L203&lt;L_rampe,Poussee&lt;Poids*SIN(M203)),0,(-W203+Poussee)/m*SIN(M203)+U203/m*COS(M203)-Poids/m)</f>
        <v>-13.0562666041672</v>
      </c>
      <c r="F204" s="418" t="n">
        <f aca="false">SQRT(acc_x^2+acc_z^2)</f>
        <v>13.0779622495737</v>
      </c>
      <c r="G204" s="419" t="n">
        <f aca="false">G203+acc_x*pas</f>
        <v>15.379838594256</v>
      </c>
      <c r="H204" s="420" t="n">
        <f aca="false">H203+acc_z*pas</f>
        <v>66.2066786769587</v>
      </c>
      <c r="I204" s="418" t="n">
        <f aca="false">SQRT(vit_x^2+vit_z^2)</f>
        <v>67.9695794942077</v>
      </c>
      <c r="J204" s="419" t="n">
        <f aca="false">J203+0.5*(vit_x+G203)*pas*(K203&gt;=0)</f>
        <v>25.589879140064</v>
      </c>
      <c r="K204" s="420" t="n">
        <f aca="false">K203+0.5*(vit_z+H203)*pas</f>
        <v>123.703984630745</v>
      </c>
      <c r="L204" s="418" t="n">
        <f aca="false">SQRT(pos_x^2+pos_z^2)</f>
        <v>126.323068866801</v>
      </c>
      <c r="M204" s="419" t="n">
        <f aca="false">IF(AND(L203&gt;L_rampe,G204&gt;0),ATAN2(G204,H204),$M$4)</f>
        <v>1.3425442073586</v>
      </c>
      <c r="N204" s="418" t="n">
        <f aca="false">DEGREES(Beta)</f>
        <v>76.9221168913845</v>
      </c>
      <c r="O204" s="402"/>
      <c r="P204" s="421" t="n">
        <f aca="false">MATCH(t-pas/2-T_ini,CdP_t)</f>
        <v>13</v>
      </c>
      <c r="Q204" s="418" t="n">
        <f aca="false">(INDEX(CdP,2,i_P+1)-INDEX(CdP,2,i_P+0))/(INDEX(CdP,1,i_P+1)-INDEX(CdP,1,i_P+0))*(t-pas/2-T_ini-INDEX(CdP,1,i_P+0))+INDEX(CdP,2,i_P+0)</f>
        <v>0</v>
      </c>
      <c r="R204" s="419" t="n">
        <f aca="false">Poussee/(g*ISP)</f>
        <v>0</v>
      </c>
      <c r="S204" s="420" t="n">
        <f aca="false">S203-Débit*pas</f>
        <v>1.4843</v>
      </c>
      <c r="T204" s="418" t="n">
        <f aca="false">m*g</f>
        <v>14.560983</v>
      </c>
      <c r="U204" s="422" t="n">
        <f aca="false">IF(pos_xz&lt;L_rampe,Poids*COS(Beta),0)</f>
        <v>0</v>
      </c>
      <c r="V204" s="419" t="n">
        <f aca="false">Rho_moyen*(20000-Alt_rampe-pos_z)/(20000+Alt_rampe+pos_z)</f>
        <v>1.20993941460395</v>
      </c>
      <c r="W204" s="418" t="n">
        <f aca="false">1/2*Rho*Sref*Cx*vit_xz^2</f>
        <v>4.92732871462701</v>
      </c>
      <c r="X204" s="402"/>
      <c r="Y204" s="423" t="str">
        <f aca="false">IF(AND(pos_z&lt;=0,K203&gt;0),"Impact balistique","") &amp; IF(AND(H205&lt;0,vit_z&gt;=0),"Apogée","") &amp; IF(AND(Poussee=0,Q203&gt;0),"Fin de propulsion","") &amp; IF(AND(L205&gt;L_rampe,pos_xz&lt;=L_rampe),"Sortie de rampe","")</f>
        <v/>
      </c>
      <c r="Z204" s="424" t="str">
        <f aca="false">IF(ABS(t-T_para)&lt;pas/2,"Para","")</f>
        <v/>
      </c>
      <c r="AA204" s="425" t="str">
        <f aca="false">IF(ABS(t-T_satellite)&lt;pas/2,"Satellite","")</f>
        <v/>
      </c>
      <c r="AB204" s="413"/>
      <c r="AC204" s="421" t="n">
        <f aca="false">IF(ABS(t-ROUND(t,0))&lt;0.001,t,NA())</f>
        <v>2</v>
      </c>
      <c r="AD204" s="426" t="n">
        <f aca="false">IF(ABS(t-ROUND(t,0))&lt;0.001,pos_x,NA())</f>
        <v>25.589879140064</v>
      </c>
      <c r="AE204" s="427" t="n">
        <f aca="false">IF(t&lt;T_para, pos_z, NA())</f>
        <v>123.703984630745</v>
      </c>
      <c r="AF204" s="413"/>
      <c r="AG204" s="419" t="n">
        <f aca="false">IF(AND(L203&lt;L_rampe,Poussee&lt;Poids*SIN(M203)),0,(-W203+Poussee)/m-Poids*SIN(M203)/m)</f>
        <v>-12.8887386382015</v>
      </c>
      <c r="AH204" s="418" t="n">
        <f aca="false">IF(AND(L203&lt;L_rampe,Poussee&lt;Poids*SIN(M203)), g*SIN(M203), (-W203+Poussee)/m)</f>
        <v>-3.33245342465783</v>
      </c>
    </row>
    <row r="205" customFormat="false" ht="12" hidden="false" customHeight="false" outlineLevel="0" collapsed="false">
      <c r="A205" s="417" t="n">
        <f aca="false">IF(B204+0.01&lt;=T_ini+ROUNDUP(Temps_fin_propu,0), 0.01, IF(K204&gt;0, 0.1, 0.0001))</f>
        <v>0.1</v>
      </c>
      <c r="B205" s="418" t="n">
        <f aca="false">B204+pas</f>
        <v>2.1</v>
      </c>
      <c r="C205" s="402"/>
      <c r="D205" s="419" t="n">
        <f aca="false">IF(AND(L204&lt;L_rampe,Poussee&lt;Poids*SIN(M204)),0,(-W204+Poussee)/m*COS(M204)-U204/m*SIN(M204))</f>
        <v>-0.751150642950414</v>
      </c>
      <c r="E205" s="420" t="n">
        <f aca="false">IF(AND(L204&lt;L_rampe,Poussee&lt;Poids*SIN(M204)),0,(-W204+Poussee)/m*SIN(M204)+U204/m*COS(M204)-Poids/m)</f>
        <v>-13.0435312851971</v>
      </c>
      <c r="F205" s="418" t="n">
        <f aca="false">SQRT(acc_x^2+acc_z^2)</f>
        <v>13.0651420075069</v>
      </c>
      <c r="G205" s="419" t="n">
        <f aca="false">G204+acc_x*pas</f>
        <v>15.3047235299609</v>
      </c>
      <c r="H205" s="420" t="n">
        <f aca="false">H204+acc_z*pas</f>
        <v>64.902325548439</v>
      </c>
      <c r="I205" s="418" t="n">
        <f aca="false">SQRT(vit_x^2+vit_z^2)</f>
        <v>66.6824296492269</v>
      </c>
      <c r="J205" s="419" t="n">
        <f aca="false">J204+0.5*(vit_x+G204)*pas*(K204&gt;=0)</f>
        <v>27.1241072462749</v>
      </c>
      <c r="K205" s="420" t="n">
        <f aca="false">K204+0.5*(vit_z+H204)*pas</f>
        <v>130.259434842014</v>
      </c>
      <c r="L205" s="418" t="n">
        <f aca="false">SQRT(pos_x^2+pos_z^2)</f>
        <v>133.053513892976</v>
      </c>
      <c r="M205" s="419" t="n">
        <f aca="false">IF(AND(L204&gt;L_rampe,G205&gt;0),ATAN2(G205,H205),$M$4)</f>
        <v>1.33921534691406</v>
      </c>
      <c r="N205" s="418" t="n">
        <f aca="false">DEGREES(Beta)</f>
        <v>76.7313872373238</v>
      </c>
      <c r="O205" s="402"/>
      <c r="P205" s="421" t="n">
        <f aca="false">MATCH(t-pas/2-T_ini,CdP_t)</f>
        <v>23</v>
      </c>
      <c r="Q205" s="418" t="n">
        <f aca="false">(INDEX(CdP,2,i_P+1)-INDEX(CdP,2,i_P+0))/(INDEX(CdP,1,i_P+1)-INDEX(CdP,1,i_P+0))*(t-pas/2-T_ini-INDEX(CdP,1,i_P+0))+INDEX(CdP,2,i_P+0)</f>
        <v>0</v>
      </c>
      <c r="R205" s="419" t="n">
        <f aca="false">Poussee/(g*ISP)</f>
        <v>0</v>
      </c>
      <c r="S205" s="420" t="n">
        <f aca="false">S204-Débit*pas</f>
        <v>1.4843</v>
      </c>
      <c r="T205" s="418" t="n">
        <f aca="false">m*g</f>
        <v>14.560983</v>
      </c>
      <c r="U205" s="422" t="n">
        <f aca="false">IF(pos_xz&lt;L_rampe,Poids*COS(Beta),0)</f>
        <v>0</v>
      </c>
      <c r="V205" s="419" t="n">
        <f aca="false">Rho_moyen*(20000-Alt_rampe-pos_z)/(20000+Alt_rampe+pos_z)</f>
        <v>1.20914647280648</v>
      </c>
      <c r="W205" s="418" t="n">
        <f aca="false">1/2*Rho*Sref*Cx*vit_xz^2</f>
        <v>4.73936863189512</v>
      </c>
      <c r="X205" s="402"/>
      <c r="Y205" s="423" t="str">
        <f aca="false">IF(AND(pos_z&lt;=0,K204&gt;0),"Impact balistique","") &amp; IF(AND(H206&lt;0,vit_z&gt;=0),"Apogée","") &amp; IF(AND(Poussee=0,Q204&gt;0),"Fin de propulsion","") &amp; IF(AND(L206&gt;L_rampe,pos_xz&lt;=L_rampe),"Sortie de rampe","")</f>
        <v/>
      </c>
      <c r="Z205" s="424" t="str">
        <f aca="false">IF(ABS(t-T_para)&lt;pas/2,"Para","")</f>
        <v/>
      </c>
      <c r="AA205" s="425" t="str">
        <f aca="false">IF(ABS(t-T_satellite)&lt;pas/2,"Satellite","")</f>
        <v/>
      </c>
      <c r="AB205" s="413"/>
      <c r="AC205" s="421" t="e">
        <f aca="false">IF(ABS(t-ROUND(t,0))&lt;0.001,t,NA())</f>
        <v>#N/A</v>
      </c>
      <c r="AD205" s="426" t="e">
        <f aca="false">IF(ABS(t-ROUND(t,0))&lt;0.001,pos_x,NA())</f>
        <v>#N/A</v>
      </c>
      <c r="AE205" s="427" t="n">
        <f aca="false">IF(t&lt;T_para, pos_z, NA())</f>
        <v>130.259434842014</v>
      </c>
      <c r="AF205" s="413"/>
      <c r="AG205" s="419" t="n">
        <f aca="false">IF(AND(L204&lt;L_rampe,Poussee&lt;Poids*SIN(M204)),0,(-W204+Poussee)/m-Poids*SIN(M204)/m)</f>
        <v>-12.8751930903888</v>
      </c>
      <c r="AH205" s="418" t="n">
        <f aca="false">IF(AND(L204&lt;L_rampe,Poussee&lt;Poids*SIN(M204)), g*SIN(M204), (-W204+Poussee)/m)</f>
        <v>-3.3196312838557</v>
      </c>
    </row>
    <row r="206" customFormat="false" ht="12" hidden="false" customHeight="false" outlineLevel="0" collapsed="false">
      <c r="A206" s="417" t="n">
        <f aca="false">IF(B205+0.01&lt;=T_ini+ROUNDUP(Temps_fin_propu,0), 0.01, IF(K205&gt;0, 0.1, 0.0001))</f>
        <v>0.1</v>
      </c>
      <c r="B206" s="418" t="n">
        <f aca="false">B205+pas</f>
        <v>2.2</v>
      </c>
      <c r="C206" s="402"/>
      <c r="D206" s="419" t="n">
        <f aca="false">IF(AND(L205&lt;L_rampe,Poussee&lt;Poids*SIN(M205)),0,(-W205+Poussee)/m*COS(M205)-U205/m*SIN(M205))</f>
        <v>-0.732846259692514</v>
      </c>
      <c r="E206" s="420" t="n">
        <f aca="false">IF(AND(L205&lt;L_rampe,Poussee&lt;Poids*SIN(M205)),0,(-W205+Poussee)/m*SIN(M205)+U205/m*COS(M205)-Poids/m)</f>
        <v>-12.9177612366148</v>
      </c>
      <c r="F206" s="418" t="n">
        <f aca="false">SQRT(acc_x^2+acc_z^2)</f>
        <v>12.938532335877</v>
      </c>
      <c r="G206" s="419" t="n">
        <f aca="false">G205+acc_x*pas</f>
        <v>15.2314389039917</v>
      </c>
      <c r="H206" s="420" t="n">
        <f aca="false">H205+acc_z*pas</f>
        <v>63.6105494247775</v>
      </c>
      <c r="I206" s="418" t="n">
        <f aca="false">SQRT(vit_x^2+vit_z^2)</f>
        <v>65.4087053014207</v>
      </c>
      <c r="J206" s="419" t="n">
        <f aca="false">J205+0.5*(vit_x+G205)*pas*(K205&gt;=0)</f>
        <v>28.6509153679725</v>
      </c>
      <c r="K206" s="420" t="n">
        <f aca="false">K205+0.5*(vit_z+H205)*pas</f>
        <v>136.685078590675</v>
      </c>
      <c r="L206" s="418" t="n">
        <f aca="false">SQRT(pos_x^2+pos_z^2)</f>
        <v>139.655596596634</v>
      </c>
      <c r="M206" s="419" t="n">
        <f aca="false">IF(AND(L205&gt;L_rampe,G206&gt;0),ATAN2(G206,H206),$M$4)</f>
        <v>1.33577304953988</v>
      </c>
      <c r="N206" s="418" t="n">
        <f aca="false">DEGREES(Beta)</f>
        <v>76.5341581259545</v>
      </c>
      <c r="O206" s="402"/>
      <c r="P206" s="421" t="n">
        <f aca="false">MATCH(t-pas/2-T_ini,CdP_t)</f>
        <v>23</v>
      </c>
      <c r="Q206" s="418" t="n">
        <f aca="false">(INDEX(CdP,2,i_P+1)-INDEX(CdP,2,i_P+0))/(INDEX(CdP,1,i_P+1)-INDEX(CdP,1,i_P+0))*(t-pas/2-T_ini-INDEX(CdP,1,i_P+0))+INDEX(CdP,2,i_P+0)</f>
        <v>0</v>
      </c>
      <c r="R206" s="419" t="n">
        <f aca="false">Poussee/(g*ISP)</f>
        <v>0</v>
      </c>
      <c r="S206" s="420" t="n">
        <f aca="false">S205-Débit*pas</f>
        <v>1.4843</v>
      </c>
      <c r="T206" s="418" t="n">
        <f aca="false">m*g</f>
        <v>14.560983</v>
      </c>
      <c r="U206" s="422" t="n">
        <f aca="false">IF(pos_xz&lt;L_rampe,Poids*COS(Beta),0)</f>
        <v>0</v>
      </c>
      <c r="V206" s="419" t="n">
        <f aca="false">Rho_moyen*(20000-Alt_rampe-pos_z)/(20000+Alt_rampe+pos_z)</f>
        <v>1.20836973333793</v>
      </c>
      <c r="W206" s="418" t="n">
        <f aca="false">1/2*Rho*Sref*Cx*vit_xz^2</f>
        <v>4.55711186921127</v>
      </c>
      <c r="X206" s="402"/>
      <c r="Y206" s="423" t="str">
        <f aca="false">IF(AND(pos_z&lt;=0,K205&gt;0),"Impact balistique","") &amp; IF(AND(H207&lt;0,vit_z&gt;=0),"Apogée","") &amp; IF(AND(Poussee=0,Q205&gt;0),"Fin de propulsion","") &amp; IF(AND(L207&gt;L_rampe,pos_xz&lt;=L_rampe),"Sortie de rampe","")</f>
        <v/>
      </c>
      <c r="Z206" s="424" t="str">
        <f aca="false">IF(ABS(t-T_para)&lt;pas/2,"Para","")</f>
        <v/>
      </c>
      <c r="AA206" s="425" t="str">
        <f aca="false">IF(ABS(t-T_satellite)&lt;pas/2,"Satellite","")</f>
        <v/>
      </c>
      <c r="AB206" s="413"/>
      <c r="AC206" s="421" t="e">
        <f aca="false">IF(ABS(t-ROUND(t,0))&lt;0.001,t,NA())</f>
        <v>#N/A</v>
      </c>
      <c r="AD206" s="426" t="e">
        <f aca="false">IF(ABS(t-ROUND(t,0))&lt;0.001,pos_x,NA())</f>
        <v>#N/A</v>
      </c>
      <c r="AE206" s="427" t="n">
        <f aca="false">IF(t&lt;T_para, pos_z, NA())</f>
        <v>136.685078590675</v>
      </c>
      <c r="AF206" s="413"/>
      <c r="AG206" s="419" t="n">
        <f aca="false">IF(AND(L205&lt;L_rampe,Poussee&lt;Poids*SIN(M205)),0,(-W205+Poussee)/m-Poids*SIN(M205)/m)</f>
        <v>-12.7411187474659</v>
      </c>
      <c r="AH206" s="418" t="n">
        <f aca="false">IF(AND(L205&lt;L_rampe,Poussee&lt;Poids*SIN(M205)), g*SIN(M205), (-W205+Poussee)/m)</f>
        <v>-3.1929991456546</v>
      </c>
    </row>
    <row r="207" customFormat="false" ht="12" hidden="false" customHeight="false" outlineLevel="0" collapsed="false">
      <c r="A207" s="417" t="n">
        <f aca="false">IF(B206+0.01&lt;=T_ini+ROUNDUP(Temps_fin_propu,0), 0.01, IF(K206&gt;0, 0.1, 0.0001))</f>
        <v>0.1</v>
      </c>
      <c r="B207" s="418" t="n">
        <f aca="false">B206+pas</f>
        <v>2.3</v>
      </c>
      <c r="C207" s="402"/>
      <c r="D207" s="419" t="n">
        <f aca="false">IF(AND(L206&lt;L_rampe,Poussee&lt;Poids*SIN(M206)),0,(-W206+Poussee)/m*COS(M206)-U206/m*SIN(M206))</f>
        <v>-0.714946233316137</v>
      </c>
      <c r="E207" s="420" t="n">
        <f aca="false">IF(AND(L206&lt;L_rampe,Poussee&lt;Poids*SIN(M206)),0,(-W206+Poussee)/m*SIN(M206)+U206/m*COS(M206)-Poids/m)</f>
        <v>-12.7958060684271</v>
      </c>
      <c r="F207" s="418" t="n">
        <f aca="false">SQRT(acc_x^2+acc_z^2)</f>
        <v>12.8157637719072</v>
      </c>
      <c r="G207" s="419" t="n">
        <f aca="false">G206+acc_x*pas</f>
        <v>15.1599442806601</v>
      </c>
      <c r="H207" s="420" t="n">
        <f aca="false">H206+acc_z*pas</f>
        <v>62.3309688179348</v>
      </c>
      <c r="I207" s="418" t="n">
        <f aca="false">SQRT(vit_x^2+vit_z^2)</f>
        <v>64.1480598644658</v>
      </c>
      <c r="J207" s="419" t="n">
        <f aca="false">J206+0.5*(vit_x+G206)*pas*(K206&gt;=0)</f>
        <v>30.1704845272051</v>
      </c>
      <c r="K207" s="420" t="n">
        <f aca="false">K206+0.5*(vit_z+H206)*pas</f>
        <v>142.982154502811</v>
      </c>
      <c r="L207" s="418" t="n">
        <f aca="false">SQRT(pos_x^2+pos_z^2)</f>
        <v>146.130608165682</v>
      </c>
      <c r="M207" s="419" t="n">
        <f aca="false">IF(AND(L206&gt;L_rampe,G207&gt;0),ATAN2(G207,H207),$M$4)</f>
        <v>1.33221188713831</v>
      </c>
      <c r="N207" s="418" t="n">
        <f aca="false">DEGREES(Beta)</f>
        <v>76.330118550184</v>
      </c>
      <c r="O207" s="402"/>
      <c r="P207" s="421" t="n">
        <f aca="false">MATCH(t-pas/2-T_ini,CdP_t)</f>
        <v>23</v>
      </c>
      <c r="Q207" s="418" t="n">
        <f aca="false">(INDEX(CdP,2,i_P+1)-INDEX(CdP,2,i_P+0))/(INDEX(CdP,1,i_P+1)-INDEX(CdP,1,i_P+0))*(t-pas/2-T_ini-INDEX(CdP,1,i_P+0))+INDEX(CdP,2,i_P+0)</f>
        <v>0</v>
      </c>
      <c r="R207" s="419" t="n">
        <f aca="false">Poussee/(g*ISP)</f>
        <v>0</v>
      </c>
      <c r="S207" s="420" t="n">
        <f aca="false">S206-Débit*pas</f>
        <v>1.4843</v>
      </c>
      <c r="T207" s="418" t="n">
        <f aca="false">m*g</f>
        <v>14.560983</v>
      </c>
      <c r="U207" s="422" t="n">
        <f aca="false">IF(pos_xz&lt;L_rampe,Poids*COS(Beta),0)</f>
        <v>0</v>
      </c>
      <c r="V207" s="419" t="n">
        <f aca="false">Rho_moyen*(20000-Alt_rampe-pos_z)/(20000+Alt_rampe+pos_z)</f>
        <v>1.20760901609082</v>
      </c>
      <c r="W207" s="418" t="n">
        <f aca="false">1/2*Rho*Sref*Cx*vit_xz^2</f>
        <v>4.38038359724989</v>
      </c>
      <c r="X207" s="402"/>
      <c r="Y207" s="423" t="str">
        <f aca="false">IF(AND(pos_z&lt;=0,K206&gt;0),"Impact balistique","") &amp; IF(AND(H208&lt;0,vit_z&gt;=0),"Apogée","") &amp; IF(AND(Poussee=0,Q206&gt;0),"Fin de propulsion","") &amp; IF(AND(L208&gt;L_rampe,pos_xz&lt;=L_rampe),"Sortie de rampe","")</f>
        <v/>
      </c>
      <c r="Z207" s="424" t="str">
        <f aca="false">IF(ABS(t-T_para)&lt;pas/2,"Para","")</f>
        <v/>
      </c>
      <c r="AA207" s="425" t="str">
        <f aca="false">IF(ABS(t-T_satellite)&lt;pas/2,"Satellite","")</f>
        <v/>
      </c>
      <c r="AB207" s="413"/>
      <c r="AC207" s="421" t="e">
        <f aca="false">IF(ABS(t-ROUND(t,0))&lt;0.001,t,NA())</f>
        <v>#N/A</v>
      </c>
      <c r="AD207" s="426" t="e">
        <f aca="false">IF(ABS(t-ROUND(t,0))&lt;0.001,pos_x,NA())</f>
        <v>#N/A</v>
      </c>
      <c r="AE207" s="427" t="n">
        <f aca="false">IF(t&lt;T_para, pos_z, NA())</f>
        <v>142.982154502811</v>
      </c>
      <c r="AF207" s="413"/>
      <c r="AG207" s="419" t="n">
        <f aca="false">IF(AND(L206&lt;L_rampe,Poussee&lt;Poids*SIN(M206)),0,(-W206+Poussee)/m-Poids*SIN(M206)/m)</f>
        <v>-12.6105219544841</v>
      </c>
      <c r="AH207" s="418" t="n">
        <f aca="false">IF(AND(L206&lt;L_rampe,Poussee&lt;Poids*SIN(M206)), g*SIN(M206), (-W206+Poussee)/m)</f>
        <v>-3.07020943826132</v>
      </c>
    </row>
    <row r="208" customFormat="false" ht="12" hidden="false" customHeight="false" outlineLevel="0" collapsed="false">
      <c r="A208" s="417" t="n">
        <f aca="false">IF(B207+0.01&lt;=T_ini+ROUNDUP(Temps_fin_propu,0), 0.01, IF(K207&gt;0, 0.1, 0.0001))</f>
        <v>0.1</v>
      </c>
      <c r="B208" s="418" t="n">
        <f aca="false">B207+pas</f>
        <v>2.4</v>
      </c>
      <c r="C208" s="402"/>
      <c r="D208" s="419" t="n">
        <f aca="false">IF(AND(L207&lt;L_rampe,Poussee&lt;Poids*SIN(M207)),0,(-W207+Poussee)/m*COS(M207)-U207/m*SIN(M207))</f>
        <v>-0.69743628097858</v>
      </c>
      <c r="E208" s="420" t="n">
        <f aca="false">IF(AND(L207&lt;L_rampe,Poussee&lt;Poids*SIN(M207)),0,(-W207+Poussee)/m*SIN(M207)+U207/m*COS(M207)-Poids/m)</f>
        <v>-12.6775487374733</v>
      </c>
      <c r="F208" s="418" t="n">
        <f aca="false">SQRT(acc_x^2+acc_z^2)</f>
        <v>12.6967184483644</v>
      </c>
      <c r="G208" s="419" t="n">
        <f aca="false">G207+acc_x*pas</f>
        <v>15.0902006525622</v>
      </c>
      <c r="H208" s="420" t="n">
        <f aca="false">H207+acc_z*pas</f>
        <v>61.0632139441875</v>
      </c>
      <c r="I208" s="418" t="n">
        <f aca="false">SQRT(vit_x^2+vit_z^2)</f>
        <v>62.9001609928639</v>
      </c>
      <c r="J208" s="419" t="n">
        <f aca="false">J207+0.5*(vit_x+G207)*pas*(K207&gt;=0)</f>
        <v>31.6829917738662</v>
      </c>
      <c r="K208" s="420" t="n">
        <f aca="false">K207+0.5*(vit_z+H207)*pas</f>
        <v>149.151863640917</v>
      </c>
      <c r="L208" s="418" t="n">
        <f aca="false">SQRT(pos_x^2+pos_z^2)</f>
        <v>152.479803237352</v>
      </c>
      <c r="M208" s="419" t="n">
        <f aca="false">IF(AND(L207&gt;L_rampe,G208&gt;0),ATAN2(G208,H208),$M$4)</f>
        <v>1.328526082494</v>
      </c>
      <c r="N208" s="418" t="n">
        <f aca="false">DEGREES(Beta)</f>
        <v>76.1189374999553</v>
      </c>
      <c r="O208" s="402"/>
      <c r="P208" s="421" t="n">
        <f aca="false">MATCH(t-pas/2-T_ini,CdP_t)</f>
        <v>23</v>
      </c>
      <c r="Q208" s="418" t="n">
        <f aca="false">(INDEX(CdP,2,i_P+1)-INDEX(CdP,2,i_P+0))/(INDEX(CdP,1,i_P+1)-INDEX(CdP,1,i_P+0))*(t-pas/2-T_ini-INDEX(CdP,1,i_P+0))+INDEX(CdP,2,i_P+0)</f>
        <v>0</v>
      </c>
      <c r="R208" s="419" t="n">
        <f aca="false">Poussee/(g*ISP)</f>
        <v>0</v>
      </c>
      <c r="S208" s="420" t="n">
        <f aca="false">S207-Débit*pas</f>
        <v>1.4843</v>
      </c>
      <c r="T208" s="418" t="n">
        <f aca="false">m*g</f>
        <v>14.560983</v>
      </c>
      <c r="U208" s="422" t="n">
        <f aca="false">IF(pos_xz&lt;L_rampe,Poids*COS(Beta),0)</f>
        <v>0</v>
      </c>
      <c r="V208" s="419" t="n">
        <f aca="false">Rho_moyen*(20000-Alt_rampe-pos_z)/(20000+Alt_rampe+pos_z)</f>
        <v>1.20686414652124</v>
      </c>
      <c r="W208" s="418" t="n">
        <f aca="false">1/2*Rho*Sref*Cx*vit_xz^2</f>
        <v>4.2090166630112</v>
      </c>
      <c r="X208" s="402"/>
      <c r="Y208" s="423" t="str">
        <f aca="false">IF(AND(pos_z&lt;=0,K207&gt;0),"Impact balistique","") &amp; IF(AND(H209&lt;0,vit_z&gt;=0),"Apogée","") &amp; IF(AND(Poussee=0,Q207&gt;0),"Fin de propulsion","") &amp; IF(AND(L209&gt;L_rampe,pos_xz&lt;=L_rampe),"Sortie de rampe","")</f>
        <v/>
      </c>
      <c r="Z208" s="424" t="str">
        <f aca="false">IF(ABS(t-T_para)&lt;pas/2,"Para","")</f>
        <v/>
      </c>
      <c r="AA208" s="425" t="str">
        <f aca="false">IF(ABS(t-T_satellite)&lt;pas/2,"Satellite","")</f>
        <v/>
      </c>
      <c r="AB208" s="413"/>
      <c r="AC208" s="421" t="e">
        <f aca="false">IF(ABS(t-ROUND(t,0))&lt;0.001,t,NA())</f>
        <v>#N/A</v>
      </c>
      <c r="AD208" s="426" t="e">
        <f aca="false">IF(ABS(t-ROUND(t,0))&lt;0.001,pos_x,NA())</f>
        <v>#N/A</v>
      </c>
      <c r="AE208" s="427" t="n">
        <f aca="false">IF(t&lt;T_para, pos_z, NA())</f>
        <v>149.151863640917</v>
      </c>
      <c r="AF208" s="413"/>
      <c r="AG208" s="419" t="n">
        <f aca="false">IF(AND(L207&lt;L_rampe,Poussee&lt;Poids*SIN(M207)),0,(-W207+Poussee)/m-Poids*SIN(M207)/m)</f>
        <v>-12.4832612536397</v>
      </c>
      <c r="AH208" s="418" t="n">
        <f aca="false">IF(AND(L207&lt;L_rampe,Poussee&lt;Poids*SIN(M207)), g*SIN(M207), (-W207+Poussee)/m)</f>
        <v>-2.9511443759684</v>
      </c>
    </row>
    <row r="209" customFormat="false" ht="12" hidden="false" customHeight="false" outlineLevel="0" collapsed="false">
      <c r="A209" s="417" t="n">
        <f aca="false">IF(B208+0.01&lt;=T_ini+ROUNDUP(Temps_fin_propu,0), 0.01, IF(K208&gt;0, 0.1, 0.0001))</f>
        <v>0.1</v>
      </c>
      <c r="B209" s="418" t="n">
        <f aca="false">B208+pas</f>
        <v>2.5</v>
      </c>
      <c r="C209" s="402"/>
      <c r="D209" s="419" t="n">
        <f aca="false">IF(AND(L208&lt;L_rampe,Poussee&lt;Poids*SIN(M208)),0,(-W208+Poussee)/m*COS(M208)-U208/m*SIN(M208))</f>
        <v>-0.680302732227565</v>
      </c>
      <c r="E209" s="420" t="n">
        <f aca="false">IF(AND(L208&lt;L_rampe,Poussee&lt;Poids*SIN(M208)),0,(-W208+Poussee)/m*SIN(M208)+U208/m*COS(M208)-Poids/m)</f>
        <v>-12.5628773302145</v>
      </c>
      <c r="F209" s="418" t="n">
        <f aca="false">SQRT(acc_x^2+acc_z^2)</f>
        <v>12.5812836635017</v>
      </c>
      <c r="G209" s="419" t="n">
        <f aca="false">G208+acc_x*pas</f>
        <v>15.0221703793395</v>
      </c>
      <c r="H209" s="420" t="n">
        <f aca="false">H208+acc_z*pas</f>
        <v>59.806926211166</v>
      </c>
      <c r="I209" s="418" t="n">
        <f aca="false">SQRT(vit_x^2+vit_z^2)</f>
        <v>61.6646902670707</v>
      </c>
      <c r="J209" s="419" t="n">
        <f aca="false">J208+0.5*(vit_x+G208)*pas*(K208&gt;=0)</f>
        <v>33.1886103254613</v>
      </c>
      <c r="K209" s="420" t="n">
        <f aca="false">K208+0.5*(vit_z+H208)*pas</f>
        <v>155.195370648685</v>
      </c>
      <c r="L209" s="418" t="n">
        <f aca="false">SQRT(pos_x^2+pos_z^2)</f>
        <v>158.704401092465</v>
      </c>
      <c r="M209" s="419" t="n">
        <f aca="false">IF(AND(L208&gt;L_rampe,G209&gt;0),ATAN2(G209,H209),$M$4)</f>
        <v>1.32470948144924</v>
      </c>
      <c r="N209" s="418" t="n">
        <f aca="false">DEGREES(Beta)</f>
        <v>75.9002623680052</v>
      </c>
      <c r="O209" s="402"/>
      <c r="P209" s="421" t="n">
        <f aca="false">MATCH(t-pas/2-T_ini,CdP_t)</f>
        <v>23</v>
      </c>
      <c r="Q209" s="418" t="n">
        <f aca="false">(INDEX(CdP,2,i_P+1)-INDEX(CdP,2,i_P+0))/(INDEX(CdP,1,i_P+1)-INDEX(CdP,1,i_P+0))*(t-pas/2-T_ini-INDEX(CdP,1,i_P+0))+INDEX(CdP,2,i_P+0)</f>
        <v>0</v>
      </c>
      <c r="R209" s="419" t="n">
        <f aca="false">Poussee/(g*ISP)</f>
        <v>0</v>
      </c>
      <c r="S209" s="420" t="n">
        <f aca="false">S208-Débit*pas</f>
        <v>1.4843</v>
      </c>
      <c r="T209" s="418" t="n">
        <f aca="false">m*g</f>
        <v>14.560983</v>
      </c>
      <c r="U209" s="422" t="n">
        <f aca="false">IF(pos_xz&lt;L_rampe,Poids*COS(Beta),0)</f>
        <v>0</v>
      </c>
      <c r="V209" s="419" t="n">
        <f aca="false">Rho_moyen*(20000-Alt_rampe-pos_z)/(20000+Alt_rampe+pos_z)</f>
        <v>1.20613495547441</v>
      </c>
      <c r="W209" s="418" t="n">
        <f aca="false">1/2*Rho*Sref*Cx*vit_xz^2</f>
        <v>4.04285121329646</v>
      </c>
      <c r="X209" s="402"/>
      <c r="Y209" s="423" t="str">
        <f aca="false">IF(AND(pos_z&lt;=0,K208&gt;0),"Impact balistique","") &amp; IF(AND(H210&lt;0,vit_z&gt;=0),"Apogée","") &amp; IF(AND(Poussee=0,Q208&gt;0),"Fin de propulsion","") &amp; IF(AND(L210&gt;L_rampe,pos_xz&lt;=L_rampe),"Sortie de rampe","")</f>
        <v/>
      </c>
      <c r="Z209" s="424" t="str">
        <f aca="false">IF(ABS(t-T_para)&lt;pas/2,"Para","")</f>
        <v/>
      </c>
      <c r="AA209" s="425" t="str">
        <f aca="false">IF(ABS(t-T_satellite)&lt;pas/2,"Satellite","")</f>
        <v/>
      </c>
      <c r="AB209" s="413"/>
      <c r="AC209" s="421" t="e">
        <f aca="false">IF(ABS(t-ROUND(t,0))&lt;0.001,t,NA())</f>
        <v>#N/A</v>
      </c>
      <c r="AD209" s="426" t="e">
        <f aca="false">IF(ABS(t-ROUND(t,0))&lt;0.001,pos_x,NA())</f>
        <v>#N/A</v>
      </c>
      <c r="AE209" s="427" t="n">
        <f aca="false">IF(t&lt;T_para, pos_z, NA())</f>
        <v>155.195370648685</v>
      </c>
      <c r="AF209" s="413"/>
      <c r="AG209" s="419" t="n">
        <f aca="false">IF(AND(L208&lt;L_rampe,Poussee&lt;Poids*SIN(M208)),0,(-W208+Poussee)/m-Poids*SIN(M208)/m)</f>
        <v>-12.3591984286252</v>
      </c>
      <c r="AH209" s="418" t="n">
        <f aca="false">IF(AND(L208&lt;L_rampe,Poussee&lt;Poids*SIN(M208)), g*SIN(M208), (-W208+Poussee)/m)</f>
        <v>-2.83569134474918</v>
      </c>
    </row>
    <row r="210" customFormat="false" ht="12" hidden="false" customHeight="false" outlineLevel="0" collapsed="false">
      <c r="A210" s="417" t="n">
        <f aca="false">IF(B209+0.01&lt;=T_ini+ROUNDUP(Temps_fin_propu,0), 0.01, IF(K209&gt;0, 0.1, 0.0001))</f>
        <v>0.1</v>
      </c>
      <c r="B210" s="418" t="n">
        <f aca="false">B209+pas</f>
        <v>2.6</v>
      </c>
      <c r="C210" s="402"/>
      <c r="D210" s="419" t="n">
        <f aca="false">IF(AND(L209&lt;L_rampe,Poussee&lt;Poids*SIN(M209)),0,(-W209+Poussee)/m*COS(M209)-U209/m*SIN(M209))</f>
        <v>-0.663532500679479</v>
      </c>
      <c r="E210" s="420" t="n">
        <f aca="false">IF(AND(L209&lt;L_rampe,Poussee&lt;Poids*SIN(M209)),0,(-W209+Poussee)/m*SIN(M209)+U209/m*COS(M209)-Poids/m)</f>
        <v>-12.4516848101674</v>
      </c>
      <c r="F210" s="418" t="n">
        <f aca="false">SQRT(acc_x^2+acc_z^2)</f>
        <v>12.4693516267371</v>
      </c>
      <c r="G210" s="419" t="n">
        <f aca="false">G209+acc_x*pas</f>
        <v>14.9558171292715</v>
      </c>
      <c r="H210" s="420" t="n">
        <f aca="false">H209+acc_z*pas</f>
        <v>58.5617577301493</v>
      </c>
      <c r="I210" s="418" t="n">
        <f aca="false">SQRT(vit_x^2+vit_z^2)</f>
        <v>60.4413429239367</v>
      </c>
      <c r="J210" s="419" t="n">
        <f aca="false">J209+0.5*(vit_x+G209)*pas*(K209&gt;=0)</f>
        <v>34.6875097008918</v>
      </c>
      <c r="K210" s="420" t="n">
        <f aca="false">K209+0.5*(vit_z+H209)*pas</f>
        <v>161.11380484575</v>
      </c>
      <c r="L210" s="418" t="n">
        <f aca="false">SQRT(pos_x^2+pos_z^2)</f>
        <v>164.805586801917</v>
      </c>
      <c r="M210" s="419" t="n">
        <f aca="false">IF(AND(L209&gt;L_rampe,G210&gt;0),ATAN2(G210,H210),$M$4)</f>
        <v>1.32075552243943</v>
      </c>
      <c r="N210" s="418" t="n">
        <f aca="false">DEGREES(Beta)</f>
        <v>75.6737172043754</v>
      </c>
      <c r="O210" s="402"/>
      <c r="P210" s="421" t="n">
        <f aca="false">MATCH(t-pas/2-T_ini,CdP_t)</f>
        <v>23</v>
      </c>
      <c r="Q210" s="418" t="n">
        <f aca="false">(INDEX(CdP,2,i_P+1)-INDEX(CdP,2,i_P+0))/(INDEX(CdP,1,i_P+1)-INDEX(CdP,1,i_P+0))*(t-pas/2-T_ini-INDEX(CdP,1,i_P+0))+INDEX(CdP,2,i_P+0)</f>
        <v>0</v>
      </c>
      <c r="R210" s="419" t="n">
        <f aca="false">Poussee/(g*ISP)</f>
        <v>0</v>
      </c>
      <c r="S210" s="420" t="n">
        <f aca="false">S209-Débit*pas</f>
        <v>1.4843</v>
      </c>
      <c r="T210" s="418" t="n">
        <f aca="false">m*g</f>
        <v>14.560983</v>
      </c>
      <c r="U210" s="422" t="n">
        <f aca="false">IF(pos_xz&lt;L_rampe,Poids*COS(Beta),0)</f>
        <v>0</v>
      </c>
      <c r="V210" s="419" t="n">
        <f aca="false">Rho_moyen*(20000-Alt_rampe-pos_z)/(20000+Alt_rampe+pos_z)</f>
        <v>1.20542127901797</v>
      </c>
      <c r="W210" s="418" t="n">
        <f aca="false">1/2*Rho*Sref*Cx*vit_xz^2</f>
        <v>3.88173434035926</v>
      </c>
      <c r="X210" s="402"/>
      <c r="Y210" s="423" t="str">
        <f aca="false">IF(AND(pos_z&lt;=0,K209&gt;0),"Impact balistique","") &amp; IF(AND(H211&lt;0,vit_z&gt;=0),"Apogée","") &amp; IF(AND(Poussee=0,Q209&gt;0),"Fin de propulsion","") &amp; IF(AND(L211&gt;L_rampe,pos_xz&lt;=L_rampe),"Sortie de rampe","")</f>
        <v/>
      </c>
      <c r="Z210" s="424" t="str">
        <f aca="false">IF(ABS(t-T_para)&lt;pas/2,"Para","")</f>
        <v/>
      </c>
      <c r="AA210" s="425" t="str">
        <f aca="false">IF(ABS(t-T_satellite)&lt;pas/2,"Satellite","")</f>
        <v/>
      </c>
      <c r="AB210" s="413"/>
      <c r="AC210" s="421" t="e">
        <f aca="false">IF(ABS(t-ROUND(t,0))&lt;0.001,t,NA())</f>
        <v>#N/A</v>
      </c>
      <c r="AD210" s="426" t="e">
        <f aca="false">IF(ABS(t-ROUND(t,0))&lt;0.001,pos_x,NA())</f>
        <v>#N/A</v>
      </c>
      <c r="AE210" s="427" t="n">
        <f aca="false">IF(t&lt;T_para, pos_z, NA())</f>
        <v>161.11380484575</v>
      </c>
      <c r="AF210" s="413"/>
      <c r="AG210" s="419" t="n">
        <f aca="false">IF(AND(L209&lt;L_rampe,Poussee&lt;Poids*SIN(M209)),0,(-W209+Poussee)/m-Poids*SIN(M209)/m)</f>
        <v>-12.2381980620571</v>
      </c>
      <c r="AH210" s="418" t="n">
        <f aca="false">IF(AND(L209&lt;L_rampe,Poussee&lt;Poids*SIN(M209)), g*SIN(M209), (-W209+Poussee)/m)</f>
        <v>-2.72374264858618</v>
      </c>
    </row>
    <row r="211" customFormat="false" ht="12" hidden="false" customHeight="false" outlineLevel="0" collapsed="false">
      <c r="A211" s="417" t="n">
        <f aca="false">IF(B210+0.01&lt;=T_ini+ROUNDUP(Temps_fin_propu,0), 0.01, IF(K210&gt;0, 0.1, 0.0001))</f>
        <v>0.1</v>
      </c>
      <c r="B211" s="418" t="n">
        <f aca="false">B210+pas</f>
        <v>2.7</v>
      </c>
      <c r="C211" s="402"/>
      <c r="D211" s="419" t="n">
        <f aca="false">IF(AND(L210&lt;L_rampe,Poussee&lt;Poids*SIN(M210)),0,(-W210+Poussee)/m*COS(M210)-U210/m*SIN(M210))</f>
        <v>-0.647113057625862</v>
      </c>
      <c r="E211" s="420" t="n">
        <f aca="false">IF(AND(L210&lt;L_rampe,Poussee&lt;Poids*SIN(M210)),0,(-W210+Poussee)/m*SIN(M210)+U210/m*COS(M210)-Poids/m)</f>
        <v>-12.3438687800971</v>
      </c>
      <c r="F211" s="418" t="n">
        <f aca="false">SQRT(acc_x^2+acc_z^2)</f>
        <v>12.3608192191944</v>
      </c>
      <c r="G211" s="419" t="n">
        <f aca="false">G210+acc_x*pas</f>
        <v>14.8911058235089</v>
      </c>
      <c r="H211" s="420" t="n">
        <f aca="false">H210+acc_z*pas</f>
        <v>57.3273708521396</v>
      </c>
      <c r="I211" s="418" t="n">
        <f aca="false">SQRT(vit_x^2+vit_z^2)</f>
        <v>59.22982763326</v>
      </c>
      <c r="J211" s="419" t="n">
        <f aca="false">J210+0.5*(vit_x+G210)*pas*(K210&gt;=0)</f>
        <v>36.1798558485309</v>
      </c>
      <c r="K211" s="420" t="n">
        <f aca="false">K210+0.5*(vit_z+H210)*pas</f>
        <v>166.908261274865</v>
      </c>
      <c r="L211" s="418" t="n">
        <f aca="false">SQRT(pos_x^2+pos_z^2)</f>
        <v>170.784512327726</v>
      </c>
      <c r="M211" s="419" t="n">
        <f aca="false">IF(AND(L210&gt;L_rampe,G211&gt;0),ATAN2(G211,H211),$M$4)</f>
        <v>1.31665720310071</v>
      </c>
      <c r="N211" s="418" t="n">
        <f aca="false">DEGREES(Beta)</f>
        <v>75.4389008031697</v>
      </c>
      <c r="O211" s="402"/>
      <c r="P211" s="421" t="n">
        <f aca="false">MATCH(t-pas/2-T_ini,CdP_t)</f>
        <v>23</v>
      </c>
      <c r="Q211" s="418" t="n">
        <f aca="false">(INDEX(CdP,2,i_P+1)-INDEX(CdP,2,i_P+0))/(INDEX(CdP,1,i_P+1)-INDEX(CdP,1,i_P+0))*(t-pas/2-T_ini-INDEX(CdP,1,i_P+0))+INDEX(CdP,2,i_P+0)</f>
        <v>0</v>
      </c>
      <c r="R211" s="419" t="n">
        <f aca="false">Poussee/(g*ISP)</f>
        <v>0</v>
      </c>
      <c r="S211" s="420" t="n">
        <f aca="false">S210-Débit*pas</f>
        <v>1.4843</v>
      </c>
      <c r="T211" s="418" t="n">
        <f aca="false">m*g</f>
        <v>14.560983</v>
      </c>
      <c r="U211" s="422" t="n">
        <f aca="false">IF(pos_xz&lt;L_rampe,Poids*COS(Beta),0)</f>
        <v>0</v>
      </c>
      <c r="V211" s="419" t="n">
        <f aca="false">Rho_moyen*(20000-Alt_rampe-pos_z)/(20000+Alt_rampe+pos_z)</f>
        <v>1.20472295828267</v>
      </c>
      <c r="W211" s="418" t="n">
        <f aca="false">1/2*Rho*Sref*Cx*vit_xz^2</f>
        <v>3.72551974827289</v>
      </c>
      <c r="X211" s="402"/>
      <c r="Y211" s="423" t="str">
        <f aca="false">IF(AND(pos_z&lt;=0,K210&gt;0),"Impact balistique","") &amp; IF(AND(H212&lt;0,vit_z&gt;=0),"Apogée","") &amp; IF(AND(Poussee=0,Q210&gt;0),"Fin de propulsion","") &amp; IF(AND(L212&gt;L_rampe,pos_xz&lt;=L_rampe),"Sortie de rampe","")</f>
        <v/>
      </c>
      <c r="Z211" s="424" t="str">
        <f aca="false">IF(ABS(t-T_para)&lt;pas/2,"Para","")</f>
        <v/>
      </c>
      <c r="AA211" s="425" t="str">
        <f aca="false">IF(ABS(t-T_satellite)&lt;pas/2,"Satellite","")</f>
        <v/>
      </c>
      <c r="AB211" s="413"/>
      <c r="AC211" s="421" t="e">
        <f aca="false">IF(ABS(t-ROUND(t,0))&lt;0.001,t,NA())</f>
        <v>#N/A</v>
      </c>
      <c r="AD211" s="426" t="e">
        <f aca="false">IF(ABS(t-ROUND(t,0))&lt;0.001,pos_x,NA())</f>
        <v>#N/A</v>
      </c>
      <c r="AE211" s="427" t="n">
        <f aca="false">IF(t&lt;T_para, pos_z, NA())</f>
        <v>166.908261274865</v>
      </c>
      <c r="AF211" s="413"/>
      <c r="AG211" s="419" t="n">
        <f aca="false">IF(AND(L210&lt;L_rampe,Poussee&lt;Poids*SIN(M210)),0,(-W210+Poussee)/m-Poids*SIN(M210)/m)</f>
        <v>-12.1201270862977</v>
      </c>
      <c r="AH211" s="418" t="n">
        <f aca="false">IF(AND(L210&lt;L_rampe,Poussee&lt;Poids*SIN(M210)), g*SIN(M210), (-W210+Poussee)/m)</f>
        <v>-2.61519527073992</v>
      </c>
    </row>
    <row r="212" customFormat="false" ht="12" hidden="false" customHeight="false" outlineLevel="0" collapsed="false">
      <c r="A212" s="417" t="n">
        <f aca="false">IF(B211+0.01&lt;=T_ini+ROUNDUP(Temps_fin_propu,0), 0.01, IF(K211&gt;0, 0.1, 0.0001))</f>
        <v>0.1</v>
      </c>
      <c r="B212" s="418" t="n">
        <f aca="false">B211+pas</f>
        <v>2.8</v>
      </c>
      <c r="C212" s="402"/>
      <c r="D212" s="419" t="n">
        <f aca="false">IF(AND(L211&lt;L_rampe,Poussee&lt;Poids*SIN(M211)),0,(-W211+Poussee)/m*COS(M211)-U211/m*SIN(M211))</f>
        <v>-0.631032407473639</v>
      </c>
      <c r="E212" s="420" t="n">
        <f aca="false">IF(AND(L211&lt;L_rampe,Poussee&lt;Poids*SIN(M211)),0,(-W211+Poussee)/m*SIN(M211)+U211/m*COS(M211)-Poids/m)</f>
        <v>-12.2393312579814</v>
      </c>
      <c r="F212" s="418" t="n">
        <f aca="false">SQRT(acc_x^2+acc_z^2)</f>
        <v>12.2555877681115</v>
      </c>
      <c r="G212" s="419" t="n">
        <f aca="false">G211+acc_x*pas</f>
        <v>14.8280025827616</v>
      </c>
      <c r="H212" s="420" t="n">
        <f aca="false">H211+acc_z*pas</f>
        <v>56.1034377263414</v>
      </c>
      <c r="I212" s="418" t="n">
        <f aca="false">SQRT(vit_x^2+vit_z^2)</f>
        <v>58.0298663216439</v>
      </c>
      <c r="J212" s="419" t="n">
        <f aca="false">J211+0.5*(vit_x+G211)*pas*(K211&gt;=0)</f>
        <v>37.6658112688444</v>
      </c>
      <c r="K212" s="420" t="n">
        <f aca="false">K211+0.5*(vit_z+H211)*pas</f>
        <v>172.579801703789</v>
      </c>
      <c r="L212" s="418" t="n">
        <f aca="false">SQRT(pos_x^2+pos_z^2)</f>
        <v>176.6422975809</v>
      </c>
      <c r="M212" s="419" t="n">
        <f aca="false">IF(AND(L211&gt;L_rampe,G212&gt;0),ATAN2(G212,H212),$M$4)</f>
        <v>1.31240704362647</v>
      </c>
      <c r="N212" s="418" t="n">
        <f aca="false">DEGREES(Beta)</f>
        <v>75.1953846030382</v>
      </c>
      <c r="O212" s="402"/>
      <c r="P212" s="421" t="n">
        <f aca="false">MATCH(t-pas/2-T_ini,CdP_t)</f>
        <v>23</v>
      </c>
      <c r="Q212" s="418" t="n">
        <f aca="false">(INDEX(CdP,2,i_P+1)-INDEX(CdP,2,i_P+0))/(INDEX(CdP,1,i_P+1)-INDEX(CdP,1,i_P+0))*(t-pas/2-T_ini-INDEX(CdP,1,i_P+0))+INDEX(CdP,2,i_P+0)</f>
        <v>0</v>
      </c>
      <c r="R212" s="419" t="n">
        <f aca="false">Poussee/(g*ISP)</f>
        <v>0</v>
      </c>
      <c r="S212" s="420" t="n">
        <f aca="false">S211-Débit*pas</f>
        <v>1.4843</v>
      </c>
      <c r="T212" s="418" t="n">
        <f aca="false">m*g</f>
        <v>14.560983</v>
      </c>
      <c r="U212" s="422" t="n">
        <f aca="false">IF(pos_xz&lt;L_rampe,Poids*COS(Beta),0)</f>
        <v>0</v>
      </c>
      <c r="V212" s="419" t="n">
        <f aca="false">Rho_moyen*(20000-Alt_rampe-pos_z)/(20000+Alt_rampe+pos_z)</f>
        <v>1.20403983931006</v>
      </c>
      <c r="W212" s="418" t="n">
        <f aca="false">1/2*Rho*Sref*Cx*vit_xz^2</f>
        <v>3.57406743866249</v>
      </c>
      <c r="X212" s="402"/>
      <c r="Y212" s="423" t="str">
        <f aca="false">IF(AND(pos_z&lt;=0,K211&gt;0),"Impact balistique","") &amp; IF(AND(H213&lt;0,vit_z&gt;=0),"Apogée","") &amp; IF(AND(Poussee=0,Q211&gt;0),"Fin de propulsion","") &amp; IF(AND(L213&gt;L_rampe,pos_xz&lt;=L_rampe),"Sortie de rampe","")</f>
        <v/>
      </c>
      <c r="Z212" s="424" t="str">
        <f aca="false">IF(ABS(t-T_para)&lt;pas/2,"Para","")</f>
        <v/>
      </c>
      <c r="AA212" s="425" t="str">
        <f aca="false">IF(ABS(t-T_satellite)&lt;pas/2,"Satellite","")</f>
        <v/>
      </c>
      <c r="AB212" s="413"/>
      <c r="AC212" s="421" t="e">
        <f aca="false">IF(ABS(t-ROUND(t,0))&lt;0.001,t,NA())</f>
        <v>#N/A</v>
      </c>
      <c r="AD212" s="426" t="e">
        <f aca="false">IF(ABS(t-ROUND(t,0))&lt;0.001,pos_x,NA())</f>
        <v>#N/A</v>
      </c>
      <c r="AE212" s="427" t="n">
        <f aca="false">IF(t&lt;T_para, pos_z, NA())</f>
        <v>172.579801703789</v>
      </c>
      <c r="AF212" s="413"/>
      <c r="AG212" s="419" t="n">
        <f aca="false">IF(AND(L211&lt;L_rampe,Poussee&lt;Poids*SIN(M211)),0,(-W211+Poussee)/m-Poids*SIN(M211)/m)</f>
        <v>-12.0048543238873</v>
      </c>
      <c r="AH212" s="418" t="n">
        <f aca="false">IF(AND(L211&lt;L_rampe,Poussee&lt;Poids*SIN(M211)), g*SIN(M211), (-W211+Poussee)/m)</f>
        <v>-2.50995064897453</v>
      </c>
    </row>
    <row r="213" customFormat="false" ht="12" hidden="false" customHeight="false" outlineLevel="0" collapsed="false">
      <c r="A213" s="417" t="n">
        <f aca="false">IF(B212+0.01&lt;=T_ini+ROUNDUP(Temps_fin_propu,0), 0.01, IF(K212&gt;0, 0.1, 0.0001))</f>
        <v>0.1</v>
      </c>
      <c r="B213" s="418" t="n">
        <f aca="false">B212+pas</f>
        <v>2.9</v>
      </c>
      <c r="C213" s="402"/>
      <c r="D213" s="419" t="n">
        <f aca="false">IF(AND(L212&lt;L_rampe,Poussee&lt;Poids*SIN(M212)),0,(-W212+Poussee)/m*COS(M212)-U212/m*SIN(M212))</f>
        <v>-0.615279064935903</v>
      </c>
      <c r="E213" s="420" t="n">
        <f aca="false">IF(AND(L212&lt;L_rampe,Poussee&lt;Poids*SIN(M212)),0,(-W212+Poussee)/m*SIN(M212)+U212/m*COS(M212)-Poids/m)</f>
        <v>-12.1379784658308</v>
      </c>
      <c r="F213" s="418" t="n">
        <f aca="false">SQRT(acc_x^2+acc_z^2)</f>
        <v>12.1535628341948</v>
      </c>
      <c r="G213" s="419" t="n">
        <f aca="false">G212+acc_x*pas</f>
        <v>14.766474676268</v>
      </c>
      <c r="H213" s="420" t="n">
        <f aca="false">H212+acc_z*pas</f>
        <v>54.8896398797584</v>
      </c>
      <c r="I213" s="418" t="n">
        <f aca="false">SQRT(vit_x^2+vit_z^2)</f>
        <v>56.841194045291</v>
      </c>
      <c r="J213" s="419" t="n">
        <f aca="false">J212+0.5*(vit_x+G212)*pas*(K212&gt;=0)</f>
        <v>39.1455351317959</v>
      </c>
      <c r="K213" s="420" t="n">
        <f aca="false">K212+0.5*(vit_z+H212)*pas</f>
        <v>178.129455584094</v>
      </c>
      <c r="L213" s="418" t="n">
        <f aca="false">SQRT(pos_x^2+pos_z^2)</f>
        <v>182.380031438314</v>
      </c>
      <c r="M213" s="419" t="n">
        <f aca="false">IF(AND(L212&gt;L_rampe,G213&gt;0),ATAN2(G213,H213),$M$4)</f>
        <v>1.30799704650975</v>
      </c>
      <c r="N213" s="418" t="n">
        <f aca="false">DEGREES(Beta)</f>
        <v>74.9427103805856</v>
      </c>
      <c r="O213" s="402"/>
      <c r="P213" s="421" t="n">
        <f aca="false">MATCH(t-pas/2-T_ini,CdP_t)</f>
        <v>23</v>
      </c>
      <c r="Q213" s="418" t="n">
        <f aca="false">(INDEX(CdP,2,i_P+1)-INDEX(CdP,2,i_P+0))/(INDEX(CdP,1,i_P+1)-INDEX(CdP,1,i_P+0))*(t-pas/2-T_ini-INDEX(CdP,1,i_P+0))+INDEX(CdP,2,i_P+0)</f>
        <v>0</v>
      </c>
      <c r="R213" s="419" t="n">
        <f aca="false">Poussee/(g*ISP)</f>
        <v>0</v>
      </c>
      <c r="S213" s="420" t="n">
        <f aca="false">S212-Débit*pas</f>
        <v>1.4843</v>
      </c>
      <c r="T213" s="418" t="n">
        <f aca="false">m*g</f>
        <v>14.560983</v>
      </c>
      <c r="U213" s="422" t="n">
        <f aca="false">IF(pos_xz&lt;L_rampe,Poids*COS(Beta),0)</f>
        <v>0</v>
      </c>
      <c r="V213" s="419" t="n">
        <f aca="false">Rho_moyen*(20000-Alt_rampe-pos_z)/(20000+Alt_rampe+pos_z)</f>
        <v>1.20337177290682</v>
      </c>
      <c r="W213" s="418" t="n">
        <f aca="false">1/2*Rho*Sref*Cx*vit_xz^2</f>
        <v>3.42724341454952</v>
      </c>
      <c r="X213" s="402"/>
      <c r="Y213" s="423" t="str">
        <f aca="false">IF(AND(pos_z&lt;=0,K212&gt;0),"Impact balistique","") &amp; IF(AND(H214&lt;0,vit_z&gt;=0),"Apogée","") &amp; IF(AND(Poussee=0,Q212&gt;0),"Fin de propulsion","") &amp; IF(AND(L214&gt;L_rampe,pos_xz&lt;=L_rampe),"Sortie de rampe","")</f>
        <v/>
      </c>
      <c r="Z213" s="424" t="str">
        <f aca="false">IF(ABS(t-T_para)&lt;pas/2,"Para","")</f>
        <v/>
      </c>
      <c r="AA213" s="425" t="str">
        <f aca="false">IF(ABS(t-T_satellite)&lt;pas/2,"Satellite","")</f>
        <v/>
      </c>
      <c r="AB213" s="413"/>
      <c r="AC213" s="421" t="e">
        <f aca="false">IF(ABS(t-ROUND(t,0))&lt;0.001,t,NA())</f>
        <v>#N/A</v>
      </c>
      <c r="AD213" s="426" t="e">
        <f aca="false">IF(ABS(t-ROUND(t,0))&lt;0.001,pos_x,NA())</f>
        <v>#N/A</v>
      </c>
      <c r="AE213" s="427" t="n">
        <f aca="false">IF(t&lt;T_para, pos_z, NA())</f>
        <v>178.129455584094</v>
      </c>
      <c r="AF213" s="413"/>
      <c r="AG213" s="419" t="n">
        <f aca="false">IF(AND(L212&lt;L_rampe,Poussee&lt;Poids*SIN(M212)),0,(-W212+Poussee)/m-Poids*SIN(M212)/m)</f>
        <v>-11.892250013473</v>
      </c>
      <c r="AH213" s="418" t="n">
        <f aca="false">IF(AND(L212&lt;L_rampe,Poussee&lt;Poids*SIN(M212)), g*SIN(M212), (-W212+Poussee)/m)</f>
        <v>-2.40791446382975</v>
      </c>
    </row>
    <row r="214" customFormat="false" ht="12" hidden="false" customHeight="false" outlineLevel="0" collapsed="false">
      <c r="A214" s="417" t="n">
        <f aca="false">IF(B213+0.01&lt;=T_ini+ROUNDUP(Temps_fin_propu,0), 0.01, IF(K213&gt;0, 0.1, 0.0001))</f>
        <v>0.1</v>
      </c>
      <c r="B214" s="418" t="n">
        <f aca="false">B213+pas</f>
        <v>3</v>
      </c>
      <c r="C214" s="402"/>
      <c r="D214" s="419" t="n">
        <f aca="false">IF(AND(L213&lt;L_rampe,Poussee&lt;Poids*SIN(M213)),0,(-W213+Poussee)/m*COS(M213)-U213/m*SIN(M213))</f>
        <v>-0.599842033901152</v>
      </c>
      <c r="E214" s="420" t="n">
        <f aca="false">IF(AND(L213&lt;L_rampe,Poussee&lt;Poids*SIN(M213)),0,(-W213+Poussee)/m*SIN(M213)+U213/m*COS(M213)-Poids/m)</f>
        <v>-12.0397206305099</v>
      </c>
      <c r="F214" s="418" t="n">
        <f aca="false">SQRT(acc_x^2+acc_z^2)</f>
        <v>12.0546540110598</v>
      </c>
      <c r="G214" s="419" t="n">
        <f aca="false">G213+acc_x*pas</f>
        <v>14.7064904728779</v>
      </c>
      <c r="H214" s="420" t="n">
        <f aca="false">H213+acc_z*pas</f>
        <v>53.6856678167074</v>
      </c>
      <c r="I214" s="418" t="n">
        <f aca="false">SQRT(vit_x^2+vit_z^2)</f>
        <v>55.6635589138414</v>
      </c>
      <c r="J214" s="419" t="n">
        <f aca="false">J213+0.5*(vit_x+G213)*pas*(K213&gt;=0)</f>
        <v>40.6191833892532</v>
      </c>
      <c r="K214" s="420" t="n">
        <f aca="false">K213+0.5*(vit_z+H213)*pas</f>
        <v>183.558220968917</v>
      </c>
      <c r="L214" s="418" t="n">
        <f aca="false">SQRT(pos_x^2+pos_z^2)</f>
        <v>187.998772720685</v>
      </c>
      <c r="M214" s="419" t="n">
        <f aca="false">IF(AND(L213&gt;L_rampe,G214&gt;0),ATAN2(G214,H214),$M$4)</f>
        <v>1.30341865226329</v>
      </c>
      <c r="N214" s="418" t="n">
        <f aca="false">DEGREES(Beta)</f>
        <v>74.6803877133166</v>
      </c>
      <c r="O214" s="402"/>
      <c r="P214" s="421" t="n">
        <f aca="false">MATCH(t-pas/2-T_ini,CdP_t)</f>
        <v>23</v>
      </c>
      <c r="Q214" s="418" t="n">
        <f aca="false">(INDEX(CdP,2,i_P+1)-INDEX(CdP,2,i_P+0))/(INDEX(CdP,1,i_P+1)-INDEX(CdP,1,i_P+0))*(t-pas/2-T_ini-INDEX(CdP,1,i_P+0))+INDEX(CdP,2,i_P+0)</f>
        <v>0</v>
      </c>
      <c r="R214" s="419" t="n">
        <f aca="false">Poussee/(g*ISP)</f>
        <v>0</v>
      </c>
      <c r="S214" s="420" t="n">
        <f aca="false">S213-Débit*pas</f>
        <v>1.4843</v>
      </c>
      <c r="T214" s="418" t="n">
        <f aca="false">m*g</f>
        <v>14.560983</v>
      </c>
      <c r="U214" s="422" t="n">
        <f aca="false">IF(pos_xz&lt;L_rampe,Poids*COS(Beta),0)</f>
        <v>0</v>
      </c>
      <c r="V214" s="419" t="n">
        <f aca="false">Rho_moyen*(20000-Alt_rampe-pos_z)/(20000+Alt_rampe+pos_z)</f>
        <v>1.20271861450541</v>
      </c>
      <c r="W214" s="418" t="n">
        <f aca="false">1/2*Rho*Sref*Cx*vit_xz^2</f>
        <v>3.28491940114794</v>
      </c>
      <c r="X214" s="402"/>
      <c r="Y214" s="423" t="str">
        <f aca="false">IF(AND(pos_z&lt;=0,K213&gt;0),"Impact balistique","") &amp; IF(AND(H215&lt;0,vit_z&gt;=0),"Apogée","") &amp; IF(AND(Poussee=0,Q213&gt;0),"Fin de propulsion","") &amp; IF(AND(L215&gt;L_rampe,pos_xz&lt;=L_rampe),"Sortie de rampe","")</f>
        <v/>
      </c>
      <c r="Z214" s="424" t="str">
        <f aca="false">IF(ABS(t-T_para)&lt;pas/2,"Para","")</f>
        <v/>
      </c>
      <c r="AA214" s="425" t="str">
        <f aca="false">IF(ABS(t-T_satellite)&lt;pas/2,"Satellite","")</f>
        <v/>
      </c>
      <c r="AB214" s="413"/>
      <c r="AC214" s="421" t="n">
        <f aca="false">IF(ABS(t-ROUND(t,0))&lt;0.001,t,NA())</f>
        <v>3</v>
      </c>
      <c r="AD214" s="426" t="n">
        <f aca="false">IF(ABS(t-ROUND(t,0))&lt;0.001,pos_x,NA())</f>
        <v>40.6191833892532</v>
      </c>
      <c r="AE214" s="427" t="n">
        <f aca="false">IF(t&lt;T_para, pos_z, NA())</f>
        <v>183.558220968917</v>
      </c>
      <c r="AF214" s="413"/>
      <c r="AG214" s="419" t="n">
        <f aca="false">IF(AND(L213&lt;L_rampe,Poussee&lt;Poids*SIN(M213)),0,(-W213+Poussee)/m-Poids*SIN(M213)/m)</f>
        <v>-11.7821853167145</v>
      </c>
      <c r="AH214" s="418" t="n">
        <f aca="false">IF(AND(L213&lt;L_rampe,Poussee&lt;Poids*SIN(M213)), g*SIN(M213), (-W213+Poussee)/m)</f>
        <v>-2.30899643909555</v>
      </c>
    </row>
    <row r="215" customFormat="false" ht="12" hidden="false" customHeight="false" outlineLevel="0" collapsed="false">
      <c r="A215" s="417" t="n">
        <f aca="false">IF(B214+0.01&lt;=T_ini+ROUNDUP(Temps_fin_propu,0), 0.01, IF(K214&gt;0, 0.1, 0.0001))</f>
        <v>0.1</v>
      </c>
      <c r="B215" s="418" t="n">
        <f aca="false">B214+pas</f>
        <v>3.1</v>
      </c>
      <c r="C215" s="402"/>
      <c r="D215" s="419" t="n">
        <f aca="false">IF(AND(L214&lt;L_rampe,Poussee&lt;Poids*SIN(M214)),0,(-W214+Poussee)/m*COS(M214)-U214/m*SIN(M214))</f>
        <v>-0.584710787919713</v>
      </c>
      <c r="E215" s="420" t="n">
        <f aca="false">IF(AND(L214&lt;L_rampe,Poussee&lt;Poids*SIN(M214)),0,(-W214+Poussee)/m*SIN(M214)+U214/m*COS(M214)-Poids/m)</f>
        <v>-11.944471795769</v>
      </c>
      <c r="F215" s="418" t="n">
        <f aca="false">SQRT(acc_x^2+acc_z^2)</f>
        <v>11.9587747359598</v>
      </c>
      <c r="G215" s="419" t="n">
        <f aca="false">G214+acc_x*pas</f>
        <v>14.6480193940859</v>
      </c>
      <c r="H215" s="420" t="n">
        <f aca="false">H214+acc_z*pas</f>
        <v>52.4912206371305</v>
      </c>
      <c r="I215" s="418" t="n">
        <f aca="false">SQRT(vit_x^2+vit_z^2)</f>
        <v>54.4967220678953</v>
      </c>
      <c r="J215" s="419" t="n">
        <f aca="false">J214+0.5*(vit_x+G214)*pas*(K214&gt;=0)</f>
        <v>42.0869088826014</v>
      </c>
      <c r="K215" s="420" t="n">
        <f aca="false">K214+0.5*(vit_z+H214)*pas</f>
        <v>188.867065391609</v>
      </c>
      <c r="L215" s="418" t="n">
        <f aca="false">SQRT(pos_x^2+pos_z^2)</f>
        <v>193.499551133667</v>
      </c>
      <c r="M215" s="419" t="n">
        <f aca="false">IF(AND(L214&gt;L_rampe,G215&gt;0),ATAN2(G215,H215),$M$4)</f>
        <v>1.29866269065787</v>
      </c>
      <c r="N215" s="418" t="n">
        <f aca="false">DEGREES(Beta)</f>
        <v>74.4078911857996</v>
      </c>
      <c r="O215" s="402"/>
      <c r="P215" s="421" t="n">
        <f aca="false">MATCH(t-pas/2-T_ini,CdP_t)</f>
        <v>23</v>
      </c>
      <c r="Q215" s="418" t="n">
        <f aca="false">(INDEX(CdP,2,i_P+1)-INDEX(CdP,2,i_P+0))/(INDEX(CdP,1,i_P+1)-INDEX(CdP,1,i_P+0))*(t-pas/2-T_ini-INDEX(CdP,1,i_P+0))+INDEX(CdP,2,i_P+0)</f>
        <v>0</v>
      </c>
      <c r="R215" s="419" t="n">
        <f aca="false">Poussee/(g*ISP)</f>
        <v>0</v>
      </c>
      <c r="S215" s="420" t="n">
        <f aca="false">S214-Débit*pas</f>
        <v>1.4843</v>
      </c>
      <c r="T215" s="418" t="n">
        <f aca="false">m*g</f>
        <v>14.560983</v>
      </c>
      <c r="U215" s="422" t="n">
        <f aca="false">IF(pos_xz&lt;L_rampe,Poids*COS(Beta),0)</f>
        <v>0</v>
      </c>
      <c r="V215" s="419" t="n">
        <f aca="false">Rho_moyen*(20000-Alt_rampe-pos_z)/(20000+Alt_rampe+pos_z)</f>
        <v>1.20208022403086</v>
      </c>
      <c r="W215" s="418" t="n">
        <f aca="false">1/2*Rho*Sref*Cx*vit_xz^2</f>
        <v>3.1469725825351</v>
      </c>
      <c r="X215" s="402"/>
      <c r="Y215" s="423" t="str">
        <f aca="false">IF(AND(pos_z&lt;=0,K214&gt;0),"Impact balistique","") &amp; IF(AND(H216&lt;0,vit_z&gt;=0),"Apogée","") &amp; IF(AND(Poussee=0,Q214&gt;0),"Fin de propulsion","") &amp; IF(AND(L216&gt;L_rampe,pos_xz&lt;=L_rampe),"Sortie de rampe","")</f>
        <v/>
      </c>
      <c r="Z215" s="424" t="str">
        <f aca="false">IF(ABS(t-T_para)&lt;pas/2,"Para","")</f>
        <v/>
      </c>
      <c r="AA215" s="425" t="str">
        <f aca="false">IF(ABS(t-T_satellite)&lt;pas/2,"Satellite","")</f>
        <v/>
      </c>
      <c r="AB215" s="413"/>
      <c r="AC215" s="421" t="e">
        <f aca="false">IF(ABS(t-ROUND(t,0))&lt;0.001,t,NA())</f>
        <v>#N/A</v>
      </c>
      <c r="AD215" s="426" t="e">
        <f aca="false">IF(ABS(t-ROUND(t,0))&lt;0.001,pos_x,NA())</f>
        <v>#N/A</v>
      </c>
      <c r="AE215" s="427" t="n">
        <f aca="false">IF(t&lt;T_para, pos_z, NA())</f>
        <v>188.867065391609</v>
      </c>
      <c r="AF215" s="413"/>
      <c r="AG215" s="419" t="n">
        <f aca="false">IF(AND(L214&lt;L_rampe,Poussee&lt;Poids*SIN(M214)),0,(-W214+Poussee)/m-Poids*SIN(M214)/m)</f>
        <v>-11.6745318011641</v>
      </c>
      <c r="AH215" s="418" t="n">
        <f aca="false">IF(AND(L214&lt;L_rampe,Poussee&lt;Poids*SIN(M214)), g*SIN(M214), (-W214+Poussee)/m)</f>
        <v>-2.21311015370743</v>
      </c>
    </row>
    <row r="216" customFormat="false" ht="12" hidden="false" customHeight="false" outlineLevel="0" collapsed="false">
      <c r="A216" s="417" t="n">
        <f aca="false">IF(B215+0.01&lt;=T_ini+ROUNDUP(Temps_fin_propu,0), 0.01, IF(K215&gt;0, 0.1, 0.0001))</f>
        <v>0.1</v>
      </c>
      <c r="B216" s="418" t="n">
        <f aca="false">B215+pas</f>
        <v>3.2</v>
      </c>
      <c r="C216" s="402"/>
      <c r="D216" s="419" t="n">
        <f aca="false">IF(AND(L215&lt;L_rampe,Poussee&lt;Poids*SIN(M215)),0,(-W215+Poussee)/m*COS(M215)-U215/m*SIN(M215))</f>
        <v>-0.569875252256972</v>
      </c>
      <c r="E216" s="420" t="n">
        <f aca="false">IF(AND(L215&lt;L_rampe,Poussee&lt;Poids*SIN(M215)),0,(-W215+Poussee)/m*SIN(M215)+U215/m*COS(M215)-Poids/m)</f>
        <v>-11.8521496447457</v>
      </c>
      <c r="F216" s="418" t="n">
        <f aca="false">SQRT(acc_x^2+acc_z^2)</f>
        <v>11.865842111059</v>
      </c>
      <c r="G216" s="419" t="n">
        <f aca="false">G215+acc_x*pas</f>
        <v>14.5910318688602</v>
      </c>
      <c r="H216" s="420" t="n">
        <f aca="false">H215+acc_z*pas</f>
        <v>51.3060056726559</v>
      </c>
      <c r="I216" s="418" t="n">
        <f aca="false">SQRT(vit_x^2+vit_z^2)</f>
        <v>53.3404577134532</v>
      </c>
      <c r="J216" s="419" t="n">
        <f aca="false">J215+0.5*(vit_x+G215)*pas*(K215&gt;=0)</f>
        <v>43.5488614457487</v>
      </c>
      <c r="K216" s="420" t="n">
        <f aca="false">K215+0.5*(vit_z+H215)*pas</f>
        <v>194.056926707098</v>
      </c>
      <c r="L216" s="418" t="n">
        <f aca="false">SQRT(pos_x^2+pos_z^2)</f>
        <v>198.883368173976</v>
      </c>
      <c r="M216" s="419" t="n">
        <f aca="false">IF(AND(L215&gt;L_rampe,G216&gt;0),ATAN2(G216,H216),$M$4)</f>
        <v>1.29371932696157</v>
      </c>
      <c r="N216" s="418" t="n">
        <f aca="false">DEGREES(Beta)</f>
        <v>74.1246573094034</v>
      </c>
      <c r="O216" s="402"/>
      <c r="P216" s="421" t="n">
        <f aca="false">MATCH(t-pas/2-T_ini,CdP_t)</f>
        <v>23</v>
      </c>
      <c r="Q216" s="418" t="n">
        <f aca="false">(INDEX(CdP,2,i_P+1)-INDEX(CdP,2,i_P+0))/(INDEX(CdP,1,i_P+1)-INDEX(CdP,1,i_P+0))*(t-pas/2-T_ini-INDEX(CdP,1,i_P+0))+INDEX(CdP,2,i_P+0)</f>
        <v>0</v>
      </c>
      <c r="R216" s="419" t="n">
        <f aca="false">Poussee/(g*ISP)</f>
        <v>0</v>
      </c>
      <c r="S216" s="420" t="n">
        <f aca="false">S215-Débit*pas</f>
        <v>1.4843</v>
      </c>
      <c r="T216" s="418" t="n">
        <f aca="false">m*g</f>
        <v>14.560983</v>
      </c>
      <c r="U216" s="422" t="n">
        <f aca="false">IF(pos_xz&lt;L_rampe,Poids*COS(Beta),0)</f>
        <v>0</v>
      </c>
      <c r="V216" s="419" t="n">
        <f aca="false">Rho_moyen*(20000-Alt_rampe-pos_z)/(20000+Alt_rampe+pos_z)</f>
        <v>1.20145646577317</v>
      </c>
      <c r="W216" s="418" t="n">
        <f aca="false">1/2*Rho*Sref*Cx*vit_xz^2</f>
        <v>3.01328535319789</v>
      </c>
      <c r="X216" s="402"/>
      <c r="Y216" s="423" t="str">
        <f aca="false">IF(AND(pos_z&lt;=0,K215&gt;0),"Impact balistique","") &amp; IF(AND(H217&lt;0,vit_z&gt;=0),"Apogée","") &amp; IF(AND(Poussee=0,Q215&gt;0),"Fin de propulsion","") &amp; IF(AND(L217&gt;L_rampe,pos_xz&lt;=L_rampe),"Sortie de rampe","")</f>
        <v/>
      </c>
      <c r="Z216" s="424" t="str">
        <f aca="false">IF(ABS(t-T_para)&lt;pas/2,"Para","")</f>
        <v/>
      </c>
      <c r="AA216" s="425" t="str">
        <f aca="false">IF(ABS(t-T_satellite)&lt;pas/2,"Satellite","")</f>
        <v/>
      </c>
      <c r="AB216" s="413"/>
      <c r="AC216" s="421" t="e">
        <f aca="false">IF(ABS(t-ROUND(t,0))&lt;0.001,t,NA())</f>
        <v>#N/A</v>
      </c>
      <c r="AD216" s="426" t="e">
        <f aca="false">IF(ABS(t-ROUND(t,0))&lt;0.001,pos_x,NA())</f>
        <v>#N/A</v>
      </c>
      <c r="AE216" s="427" t="n">
        <f aca="false">IF(t&lt;T_para, pos_z, NA())</f>
        <v>194.056926707098</v>
      </c>
      <c r="AF216" s="413"/>
      <c r="AG216" s="419" t="n">
        <f aca="false">IF(AND(L215&lt;L_rampe,Poussee&lt;Poids*SIN(M215)),0,(-W215+Poussee)/m-Poids*SIN(M215)/m)</f>
        <v>-11.569160893538</v>
      </c>
      <c r="AH216" s="418" t="n">
        <f aca="false">IF(AND(L215&lt;L_rampe,Poussee&lt;Poids*SIN(M215)), g*SIN(M215), (-W215+Poussee)/m)</f>
        <v>-2.12017286433679</v>
      </c>
    </row>
    <row r="217" customFormat="false" ht="12" hidden="false" customHeight="false" outlineLevel="0" collapsed="false">
      <c r="A217" s="417" t="n">
        <f aca="false">IF(B216+0.01&lt;=T_ini+ROUNDUP(Temps_fin_propu,0), 0.01, IF(K216&gt;0, 0.1, 0.0001))</f>
        <v>0.1</v>
      </c>
      <c r="B217" s="418" t="n">
        <f aca="false">B216+pas</f>
        <v>3.3</v>
      </c>
      <c r="C217" s="402"/>
      <c r="D217" s="419" t="n">
        <f aca="false">IF(AND(L216&lt;L_rampe,Poussee&lt;Poids*SIN(M216)),0,(-W216+Poussee)/m*COS(M216)-U216/m*SIN(M216))</f>
        <v>-0.555325787473969</v>
      </c>
      <c r="E217" s="420" t="n">
        <f aca="false">IF(AND(L216&lt;L_rampe,Poussee&lt;Poids*SIN(M216)),0,(-W216+Poussee)/m*SIN(M216)+U216/m*COS(M216)-Poids/m)</f>
        <v>-11.7626753322441</v>
      </c>
      <c r="F217" s="418" t="n">
        <f aca="false">SQRT(acc_x^2+acc_z^2)</f>
        <v>11.7757767345521</v>
      </c>
      <c r="G217" s="419" t="n">
        <f aca="false">G216+acc_x*pas</f>
        <v>14.5354992901128</v>
      </c>
      <c r="H217" s="420" t="n">
        <f aca="false">H216+acc_z*pas</f>
        <v>50.1297381394315</v>
      </c>
      <c r="I217" s="418" t="n">
        <f aca="false">SQRT(vit_x^2+vit_z^2)</f>
        <v>52.1945532171782</v>
      </c>
      <c r="J217" s="419" t="n">
        <f aca="false">J216+0.5*(vit_x+G216)*pas*(K216&gt;=0)</f>
        <v>45.0051880036973</v>
      </c>
      <c r="K217" s="420" t="n">
        <f aca="false">K216+0.5*(vit_z+H216)*pas</f>
        <v>199.128713897703</v>
      </c>
      <c r="L217" s="418" t="n">
        <f aca="false">SQRT(pos_x^2+pos_z^2)</f>
        <v>204.151198002366</v>
      </c>
      <c r="M217" s="419" t="n">
        <f aca="false">IF(AND(L216&gt;L_rampe,G217&gt;0),ATAN2(G217,H217),$M$4)</f>
        <v>1.28857800259671</v>
      </c>
      <c r="N217" s="418" t="n">
        <f aca="false">DEGREES(Beta)</f>
        <v>73.830081122189</v>
      </c>
      <c r="O217" s="402"/>
      <c r="P217" s="421" t="n">
        <f aca="false">MATCH(t-pas/2-T_ini,CdP_t)</f>
        <v>23</v>
      </c>
      <c r="Q217" s="418" t="n">
        <f aca="false">(INDEX(CdP,2,i_P+1)-INDEX(CdP,2,i_P+0))/(INDEX(CdP,1,i_P+1)-INDEX(CdP,1,i_P+0))*(t-pas/2-T_ini-INDEX(CdP,1,i_P+0))+INDEX(CdP,2,i_P+0)</f>
        <v>0</v>
      </c>
      <c r="R217" s="419" t="n">
        <f aca="false">Poussee/(g*ISP)</f>
        <v>0</v>
      </c>
      <c r="S217" s="420" t="n">
        <f aca="false">S216-Débit*pas</f>
        <v>1.4843</v>
      </c>
      <c r="T217" s="418" t="n">
        <f aca="false">m*g</f>
        <v>14.560983</v>
      </c>
      <c r="U217" s="422" t="n">
        <f aca="false">IF(pos_xz&lt;L_rampe,Poids*COS(Beta),0)</f>
        <v>0</v>
      </c>
      <c r="V217" s="419" t="n">
        <f aca="false">Rho_moyen*(20000-Alt_rampe-pos_z)/(20000+Alt_rampe+pos_z)</f>
        <v>1.20084720826529</v>
      </c>
      <c r="W217" s="418" t="n">
        <f aca="false">1/2*Rho*Sref*Cx*vit_xz^2</f>
        <v>2.88374508352569</v>
      </c>
      <c r="X217" s="402"/>
      <c r="Y217" s="423" t="str">
        <f aca="false">IF(AND(pos_z&lt;=0,K216&gt;0),"Impact balistique","") &amp; IF(AND(H218&lt;0,vit_z&gt;=0),"Apogée","") &amp; IF(AND(Poussee=0,Q216&gt;0),"Fin de propulsion","") &amp; IF(AND(L218&gt;L_rampe,pos_xz&lt;=L_rampe),"Sortie de rampe","")</f>
        <v/>
      </c>
      <c r="Z217" s="424" t="str">
        <f aca="false">IF(ABS(t-T_para)&lt;pas/2,"Para","")</f>
        <v/>
      </c>
      <c r="AA217" s="425" t="str">
        <f aca="false">IF(ABS(t-T_satellite)&lt;pas/2,"Satellite","")</f>
        <v/>
      </c>
      <c r="AB217" s="413"/>
      <c r="AC217" s="421" t="e">
        <f aca="false">IF(ABS(t-ROUND(t,0))&lt;0.001,t,NA())</f>
        <v>#N/A</v>
      </c>
      <c r="AD217" s="426" t="e">
        <f aca="false">IF(ABS(t-ROUND(t,0))&lt;0.001,pos_x,NA())</f>
        <v>#N/A</v>
      </c>
      <c r="AE217" s="427" t="n">
        <f aca="false">IF(t&lt;T_para, pos_z, NA())</f>
        <v>199.128713897703</v>
      </c>
      <c r="AF217" s="413"/>
      <c r="AG217" s="419" t="n">
        <f aca="false">IF(AND(L216&lt;L_rampe,Poussee&lt;Poids*SIN(M216)),0,(-W216+Poussee)/m-Poids*SIN(M216)/m)</f>
        <v>-11.4659432971102</v>
      </c>
      <c r="AH217" s="418" t="n">
        <f aca="false">IF(AND(L216&lt;L_rampe,Poussee&lt;Poids*SIN(M216)), g*SIN(M216), (-W216+Poussee)/m)</f>
        <v>-2.03010533800303</v>
      </c>
    </row>
    <row r="218" customFormat="false" ht="12" hidden="false" customHeight="false" outlineLevel="0" collapsed="false">
      <c r="A218" s="417" t="n">
        <f aca="false">IF(B217+0.01&lt;=T_ini+ROUNDUP(Temps_fin_propu,0), 0.01, IF(K217&gt;0, 0.1, 0.0001))</f>
        <v>0.1</v>
      </c>
      <c r="B218" s="418" t="n">
        <f aca="false">B217+pas</f>
        <v>3.4</v>
      </c>
      <c r="C218" s="402"/>
      <c r="D218" s="419" t="n">
        <f aca="false">IF(AND(L217&lt;L_rampe,Poussee&lt;Poids*SIN(M217)),0,(-W217+Poussee)/m*COS(M217)-U217/m*SIN(M217))</f>
        <v>-0.541053174507126</v>
      </c>
      <c r="E218" s="420" t="n">
        <f aca="false">IF(AND(L217&lt;L_rampe,Poussee&lt;Poids*SIN(M217)),0,(-W217+Poussee)/m*SIN(M217)+U217/m*COS(M217)-Poids/m)</f>
        <v>-11.675973326145</v>
      </c>
      <c r="F218" s="418" t="n">
        <f aca="false">SQRT(acc_x^2+acc_z^2)</f>
        <v>11.6885025409799</v>
      </c>
      <c r="G218" s="419" t="n">
        <f aca="false">G217+acc_x*pas</f>
        <v>14.4813939726621</v>
      </c>
      <c r="H218" s="420" t="n">
        <f aca="false">H217+acc_z*pas</f>
        <v>48.962140806817</v>
      </c>
      <c r="I218" s="418" t="n">
        <f aca="false">SQRT(vit_x^2+vit_z^2)</f>
        <v>51.0588092671385</v>
      </c>
      <c r="J218" s="419" t="n">
        <f aca="false">J217+0.5*(vit_x+G217)*pas*(K217&gt;=0)</f>
        <v>46.4560326668361</v>
      </c>
      <c r="K218" s="420" t="n">
        <f aca="false">K217+0.5*(vit_z+H217)*pas</f>
        <v>204.083307845015</v>
      </c>
      <c r="L218" s="418" t="n">
        <f aca="false">SQRT(pos_x^2+pos_z^2)</f>
        <v>209.303988285234</v>
      </c>
      <c r="M218" s="419" t="n">
        <f aca="false">IF(AND(L217&gt;L_rampe,G218&gt;0),ATAN2(G218,H218),$M$4)</f>
        <v>1.28322736955639</v>
      </c>
      <c r="N218" s="418" t="n">
        <f aca="false">DEGREES(Beta)</f>
        <v>73.5235124312554</v>
      </c>
      <c r="O218" s="402"/>
      <c r="P218" s="421" t="n">
        <f aca="false">MATCH(t-pas/2-T_ini,CdP_t)</f>
        <v>23</v>
      </c>
      <c r="Q218" s="418" t="n">
        <f aca="false">(INDEX(CdP,2,i_P+1)-INDEX(CdP,2,i_P+0))/(INDEX(CdP,1,i_P+1)-INDEX(CdP,1,i_P+0))*(t-pas/2-T_ini-INDEX(CdP,1,i_P+0))+INDEX(CdP,2,i_P+0)</f>
        <v>0</v>
      </c>
      <c r="R218" s="419" t="n">
        <f aca="false">Poussee/(g*ISP)</f>
        <v>0</v>
      </c>
      <c r="S218" s="420" t="n">
        <f aca="false">S217-Débit*pas</f>
        <v>1.4843</v>
      </c>
      <c r="T218" s="418" t="n">
        <f aca="false">m*g</f>
        <v>14.560983</v>
      </c>
      <c r="U218" s="422" t="n">
        <f aca="false">IF(pos_xz&lt;L_rampe,Poids*COS(Beta),0)</f>
        <v>0</v>
      </c>
      <c r="V218" s="419" t="n">
        <f aca="false">Rho_moyen*(20000-Alt_rampe-pos_z)/(20000+Alt_rampe+pos_z)</f>
        <v>1.20025232416627</v>
      </c>
      <c r="W218" s="418" t="n">
        <f aca="false">1/2*Rho*Sref*Cx*vit_xz^2</f>
        <v>2.75824389838732</v>
      </c>
      <c r="X218" s="402"/>
      <c r="Y218" s="423" t="str">
        <f aca="false">IF(AND(pos_z&lt;=0,K217&gt;0),"Impact balistique","") &amp; IF(AND(H219&lt;0,vit_z&gt;=0),"Apogée","") &amp; IF(AND(Poussee=0,Q217&gt;0),"Fin de propulsion","") &amp; IF(AND(L219&gt;L_rampe,pos_xz&lt;=L_rampe),"Sortie de rampe","")</f>
        <v/>
      </c>
      <c r="Z218" s="424" t="str">
        <f aca="false">IF(ABS(t-T_para)&lt;pas/2,"Para","")</f>
        <v/>
      </c>
      <c r="AA218" s="425" t="str">
        <f aca="false">IF(ABS(t-T_satellite)&lt;pas/2,"Satellite","")</f>
        <v/>
      </c>
      <c r="AB218" s="413"/>
      <c r="AC218" s="421" t="e">
        <f aca="false">IF(ABS(t-ROUND(t,0))&lt;0.001,t,NA())</f>
        <v>#N/A</v>
      </c>
      <c r="AD218" s="426" t="e">
        <f aca="false">IF(ABS(t-ROUND(t,0))&lt;0.001,pos_x,NA())</f>
        <v>#N/A</v>
      </c>
      <c r="AE218" s="427" t="n">
        <f aca="false">IF(t&lt;T_para, pos_z, NA())</f>
        <v>204.083307845015</v>
      </c>
      <c r="AF218" s="413"/>
      <c r="AG218" s="419" t="n">
        <f aca="false">IF(AND(L217&lt;L_rampe,Poussee&lt;Poids*SIN(M217)),0,(-W217+Poussee)/m-Poids*SIN(M217)/m)</f>
        <v>-11.3647483661451</v>
      </c>
      <c r="AH218" s="418" t="n">
        <f aca="false">IF(AND(L217&lt;L_rampe,Poussee&lt;Poids*SIN(M217)), g*SIN(M217), (-W217+Poussee)/m)</f>
        <v>-1.94283169408185</v>
      </c>
    </row>
    <row r="219" customFormat="false" ht="12" hidden="false" customHeight="false" outlineLevel="0" collapsed="false">
      <c r="A219" s="417" t="n">
        <f aca="false">IF(B218+0.01&lt;=T_ini+ROUNDUP(Temps_fin_propu,0), 0.01, IF(K218&gt;0, 0.1, 0.0001))</f>
        <v>0.1</v>
      </c>
      <c r="B219" s="418" t="n">
        <f aca="false">B218+pas</f>
        <v>3.5</v>
      </c>
      <c r="C219" s="402"/>
      <c r="D219" s="419" t="n">
        <f aca="false">IF(AND(L218&lt;L_rampe,Poussee&lt;Poids*SIN(M218)),0,(-W218+Poussee)/m*COS(M218)-U218/m*SIN(M218))</f>
        <v>-0.52704860123053</v>
      </c>
      <c r="E219" s="420" t="n">
        <f aca="false">IF(AND(L218&lt;L_rampe,Poussee&lt;Poids*SIN(M218)),0,(-W218+Poussee)/m*SIN(M218)+U218/m*COS(M218)-Poids/m)</f>
        <v>-11.5919712573389</v>
      </c>
      <c r="F219" s="418" t="n">
        <f aca="false">SQRT(acc_x^2+acc_z^2)</f>
        <v>11.6039466501286</v>
      </c>
      <c r="G219" s="419" t="n">
        <f aca="false">G218+acc_x*pas</f>
        <v>14.428689112539</v>
      </c>
      <c r="H219" s="420" t="n">
        <f aca="false">H218+acc_z*pas</f>
        <v>47.8029436810831</v>
      </c>
      <c r="I219" s="418" t="n">
        <f aca="false">SQRT(vit_x^2+vit_z^2)</f>
        <v>49.9330401045551</v>
      </c>
      <c r="J219" s="419" t="n">
        <f aca="false">J218+0.5*(vit_x+G218)*pas*(K218&gt;=0)</f>
        <v>47.9015368210961</v>
      </c>
      <c r="K219" s="420" t="n">
        <f aca="false">K218+0.5*(vit_z+H218)*pas</f>
        <v>208.92156206941</v>
      </c>
      <c r="L219" s="418" t="n">
        <f aca="false">SQRT(pos_x^2+pos_z^2)</f>
        <v>214.342661006495</v>
      </c>
      <c r="M219" s="419" t="n">
        <f aca="false">IF(AND(L218&gt;L_rampe,G219&gt;0),ATAN2(G219,H219),$M$4)</f>
        <v>1.27765521783794</v>
      </c>
      <c r="N219" s="418" t="n">
        <f aca="false">DEGREES(Beta)</f>
        <v>73.2042516549815</v>
      </c>
      <c r="O219" s="402"/>
      <c r="P219" s="421" t="n">
        <f aca="false">MATCH(t-pas/2-T_ini,CdP_t)</f>
        <v>23</v>
      </c>
      <c r="Q219" s="418" t="n">
        <f aca="false">(INDEX(CdP,2,i_P+1)-INDEX(CdP,2,i_P+0))/(INDEX(CdP,1,i_P+1)-INDEX(CdP,1,i_P+0))*(t-pas/2-T_ini-INDEX(CdP,1,i_P+0))+INDEX(CdP,2,i_P+0)</f>
        <v>0</v>
      </c>
      <c r="R219" s="419" t="n">
        <f aca="false">Poussee/(g*ISP)</f>
        <v>0</v>
      </c>
      <c r="S219" s="420" t="n">
        <f aca="false">S218-Débit*pas</f>
        <v>1.4843</v>
      </c>
      <c r="T219" s="418" t="n">
        <f aca="false">m*g</f>
        <v>14.560983</v>
      </c>
      <c r="U219" s="422" t="n">
        <f aca="false">IF(pos_xz&lt;L_rampe,Poids*COS(Beta),0)</f>
        <v>0</v>
      </c>
      <c r="V219" s="419" t="n">
        <f aca="false">Rho_moyen*(20000-Alt_rampe-pos_z)/(20000+Alt_rampe+pos_z)</f>
        <v>1.19967169014943</v>
      </c>
      <c r="W219" s="418" t="n">
        <f aca="false">1/2*Rho*Sref*Cx*vit_xz^2</f>
        <v>2.63667846798973</v>
      </c>
      <c r="X219" s="402"/>
      <c r="Y219" s="423" t="str">
        <f aca="false">IF(AND(pos_z&lt;=0,K218&gt;0),"Impact balistique","") &amp; IF(AND(H220&lt;0,vit_z&gt;=0),"Apogée","") &amp; IF(AND(Poussee=0,Q218&gt;0),"Fin de propulsion","") &amp; IF(AND(L220&gt;L_rampe,pos_xz&lt;=L_rampe),"Sortie de rampe","")</f>
        <v/>
      </c>
      <c r="Z219" s="424" t="str">
        <f aca="false">IF(ABS(t-T_para)&lt;pas/2,"Para","")</f>
        <v/>
      </c>
      <c r="AA219" s="425" t="str">
        <f aca="false">IF(ABS(t-T_satellite)&lt;pas/2,"Satellite","")</f>
        <v>Satellite</v>
      </c>
      <c r="AB219" s="413"/>
      <c r="AC219" s="421" t="e">
        <f aca="false">IF(ABS(t-ROUND(t,0))&lt;0.001,t,NA())</f>
        <v>#N/A</v>
      </c>
      <c r="AD219" s="426" t="e">
        <f aca="false">IF(ABS(t-ROUND(t,0))&lt;0.001,pos_x,NA())</f>
        <v>#N/A</v>
      </c>
      <c r="AE219" s="427" t="n">
        <f aca="false">IF(t&lt;T_para, pos_z, NA())</f>
        <v>208.92156206941</v>
      </c>
      <c r="AF219" s="413"/>
      <c r="AG219" s="419" t="n">
        <f aca="false">IF(AND(L218&lt;L_rampe,Poussee&lt;Poids*SIN(M218)),0,(-W218+Poussee)/m-Poids*SIN(M218)/m)</f>
        <v>-11.2654434293234</v>
      </c>
      <c r="AH219" s="418" t="n">
        <f aca="false">IF(AND(L218&lt;L_rampe,Poussee&lt;Poids*SIN(M218)), g*SIN(M218), (-W218+Poussee)/m)</f>
        <v>-1.85827925512856</v>
      </c>
    </row>
    <row r="220" customFormat="false" ht="12" hidden="false" customHeight="false" outlineLevel="0" collapsed="false">
      <c r="A220" s="417" t="n">
        <f aca="false">IF(B219+0.01&lt;=T_ini+ROUNDUP(Temps_fin_propu,0), 0.01, IF(K219&gt;0, 0.1, 0.0001))</f>
        <v>0.1</v>
      </c>
      <c r="B220" s="418" t="n">
        <f aca="false">B219+pas</f>
        <v>3.6</v>
      </c>
      <c r="C220" s="402"/>
      <c r="D220" s="419" t="n">
        <f aca="false">IF(AND(L219&lt;L_rampe,Poussee&lt;Poids*SIN(M219)),0,(-W219+Poussee)/m*COS(M219)-U219/m*SIN(M219))</f>
        <v>-0.513303650496397</v>
      </c>
      <c r="E220" s="420" t="n">
        <f aca="false">IF(AND(L219&lt;L_rampe,Poussee&lt;Poids*SIN(M219)),0,(-W219+Poussee)/m*SIN(M219)+U219/m*COS(M219)-Poids/m)</f>
        <v>-11.510599777609</v>
      </c>
      <c r="F220" s="418" t="n">
        <f aca="false">SQRT(acc_x^2+acc_z^2)</f>
        <v>11.5220392239354</v>
      </c>
      <c r="G220" s="419" t="n">
        <f aca="false">G219+acc_x*pas</f>
        <v>14.3773587474894</v>
      </c>
      <c r="H220" s="420" t="n">
        <f aca="false">H219+acc_z*pas</f>
        <v>46.6518837033222</v>
      </c>
      <c r="I220" s="418" t="n">
        <f aca="false">SQRT(vit_x^2+vit_z^2)</f>
        <v>48.8170738330587</v>
      </c>
      <c r="J220" s="419" t="n">
        <f aca="false">J219+0.5*(vit_x+G219)*pas*(K219&gt;=0)</f>
        <v>49.3418392140975</v>
      </c>
      <c r="K220" s="420" t="n">
        <f aca="false">K219+0.5*(vit_z+H219)*pas</f>
        <v>213.644303438631</v>
      </c>
      <c r="L220" s="418" t="n">
        <f aca="false">SQRT(pos_x^2+pos_z^2)</f>
        <v>219.268113251351</v>
      </c>
      <c r="M220" s="419" t="n">
        <f aca="false">IF(AND(L219&gt;L_rampe,G220&gt;0),ATAN2(G220,H220),$M$4)</f>
        <v>1.27184839505427</v>
      </c>
      <c r="N220" s="418" t="n">
        <f aca="false">DEGREES(Beta)</f>
        <v>72.8715452170969</v>
      </c>
      <c r="O220" s="402"/>
      <c r="P220" s="421" t="n">
        <f aca="false">MATCH(t-pas/2-T_ini,CdP_t)</f>
        <v>23</v>
      </c>
      <c r="Q220" s="418" t="n">
        <f aca="false">(INDEX(CdP,2,i_P+1)-INDEX(CdP,2,i_P+0))/(INDEX(CdP,1,i_P+1)-INDEX(CdP,1,i_P+0))*(t-pas/2-T_ini-INDEX(CdP,1,i_P+0))+INDEX(CdP,2,i_P+0)</f>
        <v>0</v>
      </c>
      <c r="R220" s="419" t="n">
        <f aca="false">Poussee/(g*ISP)</f>
        <v>0</v>
      </c>
      <c r="S220" s="420" t="n">
        <f aca="false">S219-Débit*pas</f>
        <v>1.4843</v>
      </c>
      <c r="T220" s="418" t="n">
        <f aca="false">m*g</f>
        <v>14.560983</v>
      </c>
      <c r="U220" s="422" t="n">
        <f aca="false">IF(pos_xz&lt;L_rampe,Poids*COS(Beta),0)</f>
        <v>0</v>
      </c>
      <c r="V220" s="419" t="n">
        <f aca="false">Rho_moyen*(20000-Alt_rampe-pos_z)/(20000+Alt_rampe+pos_z)</f>
        <v>1.19910518679526</v>
      </c>
      <c r="W220" s="418" t="n">
        <f aca="false">1/2*Rho*Sref*Cx*vit_xz^2</f>
        <v>2.51894981027165</v>
      </c>
      <c r="X220" s="402"/>
      <c r="Y220" s="423" t="str">
        <f aca="false">IF(AND(pos_z&lt;=0,K219&gt;0),"Impact balistique","") &amp; IF(AND(H221&lt;0,vit_z&gt;=0),"Apogée","") &amp; IF(AND(Poussee=0,Q219&gt;0),"Fin de propulsion","") &amp; IF(AND(L221&gt;L_rampe,pos_xz&lt;=L_rampe),"Sortie de rampe","")</f>
        <v/>
      </c>
      <c r="Z220" s="424" t="str">
        <f aca="false">IF(ABS(t-T_para)&lt;pas/2,"Para","")</f>
        <v/>
      </c>
      <c r="AA220" s="425" t="str">
        <f aca="false">IF(ABS(t-T_satellite)&lt;pas/2,"Satellite","")</f>
        <v/>
      </c>
      <c r="AB220" s="413"/>
      <c r="AC220" s="421" t="e">
        <f aca="false">IF(ABS(t-ROUND(t,0))&lt;0.001,t,NA())</f>
        <v>#N/A</v>
      </c>
      <c r="AD220" s="426" t="e">
        <f aca="false">IF(ABS(t-ROUND(t,0))&lt;0.001,pos_x,NA())</f>
        <v>#N/A</v>
      </c>
      <c r="AE220" s="427" t="n">
        <f aca="false">IF(t&lt;T_para, pos_z, NA())</f>
        <v>213.644303438631</v>
      </c>
      <c r="AF220" s="413"/>
      <c r="AG220" s="419" t="n">
        <f aca="false">IF(AND(L219&lt;L_rampe,Poussee&lt;Poids*SIN(M219)),0,(-W219+Poussee)/m-Poids*SIN(M219)/m)</f>
        <v>-11.1678930529809</v>
      </c>
      <c r="AH220" s="418" t="n">
        <f aca="false">IF(AND(L219&lt;L_rampe,Poussee&lt;Poids*SIN(M219)), g*SIN(M219), (-W219+Poussee)/m)</f>
        <v>-1.7763784059757</v>
      </c>
    </row>
    <row r="221" customFormat="false" ht="12" hidden="false" customHeight="false" outlineLevel="0" collapsed="false">
      <c r="A221" s="417" t="n">
        <f aca="false">IF(B220+0.01&lt;=T_ini+ROUNDUP(Temps_fin_propu,0), 0.01, IF(K220&gt;0, 0.1, 0.0001))</f>
        <v>0.1</v>
      </c>
      <c r="B221" s="418" t="n">
        <f aca="false">B220+pas</f>
        <v>3.7</v>
      </c>
      <c r="C221" s="402"/>
      <c r="D221" s="419" t="n">
        <f aca="false">IF(AND(L220&lt;L_rampe,Poussee&lt;Poids*SIN(M220)),0,(-W220+Poussee)/m*COS(M220)-U220/m*SIN(M220))</f>
        <v>-0.499810289662425</v>
      </c>
      <c r="E221" s="420" t="n">
        <f aca="false">IF(AND(L220&lt;L_rampe,Poussee&lt;Poids*SIN(M220)),0,(-W220+Poussee)/m*SIN(M220)+U220/m*COS(M220)-Poids/m)</f>
        <v>-11.4317924249214</v>
      </c>
      <c r="F221" s="418" t="n">
        <f aca="false">SQRT(acc_x^2+acc_z^2)</f>
        <v>11.4427133308557</v>
      </c>
      <c r="G221" s="419" t="n">
        <f aca="false">G220+acc_x*pas</f>
        <v>14.3273777185232</v>
      </c>
      <c r="H221" s="420" t="n">
        <f aca="false">H220+acc_z*pas</f>
        <v>45.50870446083</v>
      </c>
      <c r="I221" s="418" t="n">
        <f aca="false">SQRT(vit_x^2+vit_z^2)</f>
        <v>47.7107528130966</v>
      </c>
      <c r="J221" s="419" t="n">
        <f aca="false">J220+0.5*(vit_x+G220)*pas*(K220&gt;=0)</f>
        <v>50.7770760373982</v>
      </c>
      <c r="K221" s="420" t="n">
        <f aca="false">K220+0.5*(vit_z+H220)*pas</f>
        <v>218.252332846838</v>
      </c>
      <c r="L221" s="418" t="n">
        <f aca="false">SQRT(pos_x^2+pos_z^2)</f>
        <v>224.081217963476</v>
      </c>
      <c r="M221" s="419" t="n">
        <f aca="false">IF(AND(L220&gt;L_rampe,G221&gt;0),ATAN2(G221,H221),$M$4)</f>
        <v>1.26579271727529</v>
      </c>
      <c r="N221" s="418" t="n">
        <f aca="false">DEGREES(Beta)</f>
        <v>72.5245804382706</v>
      </c>
      <c r="O221" s="402"/>
      <c r="P221" s="421" t="n">
        <f aca="false">MATCH(t-pas/2-T_ini,CdP_t)</f>
        <v>23</v>
      </c>
      <c r="Q221" s="418" t="n">
        <f aca="false">(INDEX(CdP,2,i_P+1)-INDEX(CdP,2,i_P+0))/(INDEX(CdP,1,i_P+1)-INDEX(CdP,1,i_P+0))*(t-pas/2-T_ini-INDEX(CdP,1,i_P+0))+INDEX(CdP,2,i_P+0)</f>
        <v>0</v>
      </c>
      <c r="R221" s="419" t="n">
        <f aca="false">Poussee/(g*ISP)</f>
        <v>0</v>
      </c>
      <c r="S221" s="420" t="n">
        <f aca="false">S220-Débit*pas</f>
        <v>1.4843</v>
      </c>
      <c r="T221" s="418" t="n">
        <f aca="false">m*g</f>
        <v>14.560983</v>
      </c>
      <c r="U221" s="422" t="n">
        <f aca="false">IF(pos_xz&lt;L_rampe,Poids*COS(Beta),0)</f>
        <v>0</v>
      </c>
      <c r="V221" s="419" t="n">
        <f aca="false">Rho_moyen*(20000-Alt_rampe-pos_z)/(20000+Alt_rampe+pos_z)</f>
        <v>1.19855269848888</v>
      </c>
      <c r="W221" s="418" t="n">
        <f aca="false">1/2*Rho*Sref*Cx*vit_xz^2</f>
        <v>2.4049631041373</v>
      </c>
      <c r="X221" s="402"/>
      <c r="Y221" s="423" t="str">
        <f aca="false">IF(AND(pos_z&lt;=0,K220&gt;0),"Impact balistique","") &amp; IF(AND(H222&lt;0,vit_z&gt;=0),"Apogée","") &amp; IF(AND(Poussee=0,Q220&gt;0),"Fin de propulsion","") &amp; IF(AND(L222&gt;L_rampe,pos_xz&lt;=L_rampe),"Sortie de rampe","")</f>
        <v/>
      </c>
      <c r="Z221" s="424" t="str">
        <f aca="false">IF(ABS(t-T_para)&lt;pas/2,"Para","")</f>
        <v/>
      </c>
      <c r="AA221" s="425" t="str">
        <f aca="false">IF(ABS(t-T_satellite)&lt;pas/2,"Satellite","")</f>
        <v/>
      </c>
      <c r="AB221" s="413"/>
      <c r="AC221" s="421" t="e">
        <f aca="false">IF(ABS(t-ROUND(t,0))&lt;0.001,t,NA())</f>
        <v>#N/A</v>
      </c>
      <c r="AD221" s="426" t="e">
        <f aca="false">IF(ABS(t-ROUND(t,0))&lt;0.001,pos_x,NA())</f>
        <v>#N/A</v>
      </c>
      <c r="AE221" s="427" t="n">
        <f aca="false">IF(t&lt;T_para, pos_z, NA())</f>
        <v>218.252332846838</v>
      </c>
      <c r="AF221" s="413"/>
      <c r="AG221" s="419" t="n">
        <f aca="false">IF(AND(L220&lt;L_rampe,Poussee&lt;Poids*SIN(M220)),0,(-W220+Poussee)/m-Poids*SIN(M220)/m)</f>
        <v>-11.0719582336393</v>
      </c>
      <c r="AH221" s="418" t="n">
        <f aca="false">IF(AND(L220&lt;L_rampe,Poussee&lt;Poids*SIN(M220)), g*SIN(M220), (-W220+Poussee)/m)</f>
        <v>-1.69706246060207</v>
      </c>
    </row>
    <row r="222" customFormat="false" ht="12" hidden="false" customHeight="false" outlineLevel="0" collapsed="false">
      <c r="A222" s="417" t="n">
        <f aca="false">IF(B221+0.01&lt;=T_ini+ROUNDUP(Temps_fin_propu,0), 0.01, IF(K221&gt;0, 0.1, 0.0001))</f>
        <v>0.1</v>
      </c>
      <c r="B222" s="418" t="n">
        <f aca="false">B221+pas</f>
        <v>3.8</v>
      </c>
      <c r="C222" s="402"/>
      <c r="D222" s="419" t="n">
        <f aca="false">IF(AND(L221&lt;L_rampe,Poussee&lt;Poids*SIN(M221)),0,(-W221+Poussee)/m*COS(M221)-U221/m*SIN(M221))</f>
        <v>-0.486560861628835</v>
      </c>
      <c r="E222" s="420" t="n">
        <f aca="false">IF(AND(L221&lt;L_rampe,Poussee&lt;Poids*SIN(M221)),0,(-W221+Poussee)/m*SIN(M221)+U221/m*COS(M221)-Poids/m)</f>
        <v>-11.3554854956079</v>
      </c>
      <c r="F222" s="418" t="n">
        <f aca="false">SQRT(acc_x^2+acc_z^2)</f>
        <v>11.3659048171727</v>
      </c>
      <c r="G222" s="419" t="n">
        <f aca="false">G221+acc_x*pas</f>
        <v>14.2787216323603</v>
      </c>
      <c r="H222" s="420" t="n">
        <f aca="false">H221+acc_z*pas</f>
        <v>44.3731559112693</v>
      </c>
      <c r="I222" s="418" t="n">
        <f aca="false">SQRT(vit_x^2+vit_z^2)</f>
        <v>46.6139341504259</v>
      </c>
      <c r="J222" s="419" t="n">
        <f aca="false">J221+0.5*(vit_x+G221)*pas*(K221&gt;=0)</f>
        <v>52.2073810049423</v>
      </c>
      <c r="K222" s="420" t="n">
        <f aca="false">K221+0.5*(vit_z+H221)*pas</f>
        <v>222.746425865443</v>
      </c>
      <c r="L222" s="418" t="n">
        <f aca="false">SQRT(pos_x^2+pos_z^2)</f>
        <v>228.782824677082</v>
      </c>
      <c r="M222" s="419" t="n">
        <f aca="false">IF(AND(L221&gt;L_rampe,G222&gt;0),ATAN2(G222,H222),$M$4)</f>
        <v>1.25947287002817</v>
      </c>
      <c r="N222" s="418" t="n">
        <f aca="false">DEGREES(Beta)</f>
        <v>72.1624798638431</v>
      </c>
      <c r="O222" s="402"/>
      <c r="P222" s="421" t="n">
        <f aca="false">MATCH(t-pas/2-T_ini,CdP_t)</f>
        <v>23</v>
      </c>
      <c r="Q222" s="418" t="n">
        <f aca="false">(INDEX(CdP,2,i_P+1)-INDEX(CdP,2,i_P+0))/(INDEX(CdP,1,i_P+1)-INDEX(CdP,1,i_P+0))*(t-pas/2-T_ini-INDEX(CdP,1,i_P+0))+INDEX(CdP,2,i_P+0)</f>
        <v>0</v>
      </c>
      <c r="R222" s="419" t="n">
        <f aca="false">Poussee/(g*ISP)</f>
        <v>0</v>
      </c>
      <c r="S222" s="420" t="n">
        <f aca="false">S221-Débit*pas</f>
        <v>1.4843</v>
      </c>
      <c r="T222" s="418" t="n">
        <f aca="false">m*g</f>
        <v>14.560983</v>
      </c>
      <c r="U222" s="422" t="n">
        <f aca="false">IF(pos_xz&lt;L_rampe,Poids*COS(Beta),0)</f>
        <v>0</v>
      </c>
      <c r="V222" s="419" t="n">
        <f aca="false">Rho_moyen*(20000-Alt_rampe-pos_z)/(20000+Alt_rampe+pos_z)</f>
        <v>1.1980141133218</v>
      </c>
      <c r="W222" s="418" t="n">
        <f aca="false">1/2*Rho*Sref*Cx*vit_xz^2</f>
        <v>2.29462751288235</v>
      </c>
      <c r="X222" s="402"/>
      <c r="Y222" s="423" t="str">
        <f aca="false">IF(AND(pos_z&lt;=0,K221&gt;0),"Impact balistique","") &amp; IF(AND(H223&lt;0,vit_z&gt;=0),"Apogée","") &amp; IF(AND(Poussee=0,Q221&gt;0),"Fin de propulsion","") &amp; IF(AND(L223&gt;L_rampe,pos_xz&lt;=L_rampe),"Sortie de rampe","")</f>
        <v/>
      </c>
      <c r="Z222" s="424" t="str">
        <f aca="false">IF(ABS(t-T_para)&lt;pas/2,"Para","")</f>
        <v/>
      </c>
      <c r="AA222" s="425" t="str">
        <f aca="false">IF(ABS(t-T_satellite)&lt;pas/2,"Satellite","")</f>
        <v/>
      </c>
      <c r="AB222" s="413"/>
      <c r="AC222" s="421" t="e">
        <f aca="false">IF(ABS(t-ROUND(t,0))&lt;0.001,t,NA())</f>
        <v>#N/A</v>
      </c>
      <c r="AD222" s="426" t="e">
        <f aca="false">IF(ABS(t-ROUND(t,0))&lt;0.001,pos_x,NA())</f>
        <v>#N/A</v>
      </c>
      <c r="AE222" s="427" t="n">
        <f aca="false">IF(t&lt;T_para, pos_z, NA())</f>
        <v>222.746425865443</v>
      </c>
      <c r="AF222" s="413"/>
      <c r="AG222" s="419" t="n">
        <f aca="false">IF(AND(L221&lt;L_rampe,Poussee&lt;Poids*SIN(M221)),0,(-W221+Poussee)/m-Poids*SIN(M221)/m)</f>
        <v>-10.977495507736</v>
      </c>
      <c r="AH222" s="418" t="n">
        <f aca="false">IF(AND(L221&lt;L_rampe,Poussee&lt;Poids*SIN(M221)), g*SIN(M221), (-W221+Poussee)/m)</f>
        <v>-1.62026753630486</v>
      </c>
    </row>
    <row r="223" customFormat="false" ht="12" hidden="false" customHeight="false" outlineLevel="0" collapsed="false">
      <c r="A223" s="417" t="n">
        <f aca="false">IF(B222+0.01&lt;=T_ini+ROUNDUP(Temps_fin_propu,0), 0.01, IF(K222&gt;0, 0.1, 0.0001))</f>
        <v>0.1</v>
      </c>
      <c r="B223" s="418" t="n">
        <f aca="false">B222+pas</f>
        <v>3.9</v>
      </c>
      <c r="C223" s="402"/>
      <c r="D223" s="419" t="n">
        <f aca="false">IF(AND(L222&lt;L_rampe,Poussee&lt;Poids*SIN(M222)),0,(-W222+Poussee)/m*COS(M222)-U222/m*SIN(M222))</f>
        <v>-0.473548077423245</v>
      </c>
      <c r="E223" s="420" t="n">
        <f aca="false">IF(AND(L222&lt;L_rampe,Poussee&lt;Poids*SIN(M222)),0,(-W222+Poussee)/m*SIN(M222)+U222/m*COS(M222)-Poids/m)</f>
        <v>-11.2816179229492</v>
      </c>
      <c r="F223" s="418" t="n">
        <f aca="false">SQRT(acc_x^2+acc_z^2)</f>
        <v>11.2915521847547</v>
      </c>
      <c r="G223" s="419" t="n">
        <f aca="false">G222+acc_x*pas</f>
        <v>14.2313668246179</v>
      </c>
      <c r="H223" s="420" t="n">
        <f aca="false">H222+acc_z*pas</f>
        <v>43.2449941189743</v>
      </c>
      <c r="I223" s="418" t="n">
        <f aca="false">SQRT(vit_x^2+vit_z^2)</f>
        <v>45.5264902891378</v>
      </c>
      <c r="J223" s="419" t="n">
        <f aca="false">J222+0.5*(vit_x+G222)*pas*(K222&gt;=0)</f>
        <v>53.6328854277912</v>
      </c>
      <c r="K223" s="420" t="n">
        <f aca="false">K222+0.5*(vit_z+H222)*pas</f>
        <v>227.127333366955</v>
      </c>
      <c r="L223" s="418" t="n">
        <f aca="false">SQRT(pos_x^2+pos_z^2)</f>
        <v>233.373760225297</v>
      </c>
      <c r="M223" s="419" t="n">
        <f aca="false">IF(AND(L222&gt;L_rampe,G223&gt;0),ATAN2(G223,H223),$M$4)</f>
        <v>1.2528722982459</v>
      </c>
      <c r="N223" s="418" t="n">
        <f aca="false">DEGREES(Beta)</f>
        <v>71.7842949583459</v>
      </c>
      <c r="O223" s="402"/>
      <c r="P223" s="421" t="n">
        <f aca="false">MATCH(t-pas/2-T_ini,CdP_t)</f>
        <v>23</v>
      </c>
      <c r="Q223" s="418" t="n">
        <f aca="false">(INDEX(CdP,2,i_P+1)-INDEX(CdP,2,i_P+0))/(INDEX(CdP,1,i_P+1)-INDEX(CdP,1,i_P+0))*(t-pas/2-T_ini-INDEX(CdP,1,i_P+0))+INDEX(CdP,2,i_P+0)</f>
        <v>0</v>
      </c>
      <c r="R223" s="419" t="n">
        <f aca="false">Poussee/(g*ISP)</f>
        <v>0</v>
      </c>
      <c r="S223" s="420" t="n">
        <f aca="false">S222-Débit*pas</f>
        <v>1.4843</v>
      </c>
      <c r="T223" s="418" t="n">
        <f aca="false">m*g</f>
        <v>14.560983</v>
      </c>
      <c r="U223" s="422" t="n">
        <f aca="false">IF(pos_xz&lt;L_rampe,Poids*COS(Beta),0)</f>
        <v>0</v>
      </c>
      <c r="V223" s="419" t="n">
        <f aca="false">Rho_moyen*(20000-Alt_rampe-pos_z)/(20000+Alt_rampe+pos_z)</f>
        <v>1.19748932299788</v>
      </c>
      <c r="W223" s="418" t="n">
        <f aca="false">1/2*Rho*Sref*Cx*vit_xz^2</f>
        <v>2.18785601720852</v>
      </c>
      <c r="X223" s="402"/>
      <c r="Y223" s="423" t="str">
        <f aca="false">IF(AND(pos_z&lt;=0,K222&gt;0),"Impact balistique","") &amp; IF(AND(H224&lt;0,vit_z&gt;=0),"Apogée","") &amp; IF(AND(Poussee=0,Q222&gt;0),"Fin de propulsion","") &amp; IF(AND(L224&gt;L_rampe,pos_xz&lt;=L_rampe),"Sortie de rampe","")</f>
        <v/>
      </c>
      <c r="Z223" s="424" t="str">
        <f aca="false">IF(ABS(t-T_para)&lt;pas/2,"Para","")</f>
        <v/>
      </c>
      <c r="AA223" s="425" t="str">
        <f aca="false">IF(ABS(t-T_satellite)&lt;pas/2,"Satellite","")</f>
        <v/>
      </c>
      <c r="AB223" s="413"/>
      <c r="AC223" s="421" t="e">
        <f aca="false">IF(ABS(t-ROUND(t,0))&lt;0.001,t,NA())</f>
        <v>#N/A</v>
      </c>
      <c r="AD223" s="426" t="e">
        <f aca="false">IF(ABS(t-ROUND(t,0))&lt;0.001,pos_x,NA())</f>
        <v>#N/A</v>
      </c>
      <c r="AE223" s="427" t="n">
        <f aca="false">IF(t&lt;T_para, pos_z, NA())</f>
        <v>227.127333366955</v>
      </c>
      <c r="AF223" s="413"/>
      <c r="AG223" s="419" t="n">
        <f aca="false">IF(AND(L222&lt;L_rampe,Poussee&lt;Poids*SIN(M222)),0,(-W222+Poussee)/m-Poids*SIN(M222)/m)</f>
        <v>-10.8843559645957</v>
      </c>
      <c r="AH223" s="418" t="n">
        <f aca="false">IF(AND(L222&lt;L_rampe,Poussee&lt;Poids*SIN(M222)), g*SIN(M222), (-W222+Poussee)/m)</f>
        <v>-1.5459324347385</v>
      </c>
    </row>
    <row r="224" customFormat="false" ht="12" hidden="false" customHeight="false" outlineLevel="0" collapsed="false">
      <c r="A224" s="417" t="n">
        <f aca="false">IF(B223+0.01&lt;=T_ini+ROUNDUP(Temps_fin_propu,0), 0.01, IF(K223&gt;0, 0.1, 0.0001))</f>
        <v>0.1</v>
      </c>
      <c r="B224" s="418" t="n">
        <f aca="false">B223+pas</f>
        <v>4</v>
      </c>
      <c r="C224" s="402"/>
      <c r="D224" s="419" t="n">
        <f aca="false">IF(AND(L223&lt;L_rampe,Poussee&lt;Poids*SIN(M223)),0,(-W223+Poussee)/m*COS(M223)-U223/m*SIN(M223))</f>
        <v>-0.46076501038861</v>
      </c>
      <c r="E224" s="420" t="n">
        <f aca="false">IF(AND(L223&lt;L_rampe,Poussee&lt;Poids*SIN(M223)),0,(-W223+Poussee)/m*SIN(M223)+U223/m*COS(M223)-Poids/m)</f>
        <v>-11.2101311616827</v>
      </c>
      <c r="F224" s="418" t="n">
        <f aca="false">SQRT(acc_x^2+acc_z^2)</f>
        <v>11.2195964747814</v>
      </c>
      <c r="G224" s="419" t="n">
        <f aca="false">G223+acc_x*pas</f>
        <v>14.1852903235791</v>
      </c>
      <c r="H224" s="420" t="n">
        <f aca="false">H223+acc_z*pas</f>
        <v>42.1239810028061</v>
      </c>
      <c r="I224" s="418" t="n">
        <f aca="false">SQRT(vit_x^2+vit_z^2)</f>
        <v>44.4483097213943</v>
      </c>
      <c r="J224" s="419" t="n">
        <f aca="false">J223+0.5*(vit_x+G223)*pas*(K223&gt;=0)</f>
        <v>55.0537182852011</v>
      </c>
      <c r="K224" s="420" t="n">
        <f aca="false">K223+0.5*(vit_z+H223)*pas</f>
        <v>231.395782123044</v>
      </c>
      <c r="L224" s="418" t="n">
        <f aca="false">SQRT(pos_x^2+pos_z^2)</f>
        <v>237.854829426189</v>
      </c>
      <c r="M224" s="419" t="n">
        <f aca="false">IF(AND(L223&gt;L_rampe,G224&gt;0),ATAN2(G224,H224),$M$4)</f>
        <v>1.24597308379679</v>
      </c>
      <c r="N224" s="418" t="n">
        <f aca="false">DEGREES(Beta)</f>
        <v>71.3889990884561</v>
      </c>
      <c r="O224" s="402"/>
      <c r="P224" s="421" t="n">
        <f aca="false">MATCH(t-pas/2-T_ini,CdP_t)</f>
        <v>23</v>
      </c>
      <c r="Q224" s="418" t="n">
        <f aca="false">(INDEX(CdP,2,i_P+1)-INDEX(CdP,2,i_P+0))/(INDEX(CdP,1,i_P+1)-INDEX(CdP,1,i_P+0))*(t-pas/2-T_ini-INDEX(CdP,1,i_P+0))+INDEX(CdP,2,i_P+0)</f>
        <v>0</v>
      </c>
      <c r="R224" s="419" t="n">
        <f aca="false">Poussee/(g*ISP)</f>
        <v>0</v>
      </c>
      <c r="S224" s="420" t="n">
        <f aca="false">S223-Débit*pas</f>
        <v>1.4843</v>
      </c>
      <c r="T224" s="418" t="n">
        <f aca="false">m*g</f>
        <v>14.560983</v>
      </c>
      <c r="U224" s="422" t="n">
        <f aca="false">IF(pos_xz&lt;L_rampe,Poids*COS(Beta),0)</f>
        <v>0</v>
      </c>
      <c r="V224" s="419" t="n">
        <f aca="false">Rho_moyen*(20000-Alt_rampe-pos_z)/(20000+Alt_rampe+pos_z)</f>
        <v>1.19697822274317</v>
      </c>
      <c r="W224" s="418" t="n">
        <f aca="false">1/2*Rho*Sref*Cx*vit_xz^2</f>
        <v>2.0845652572636</v>
      </c>
      <c r="X224" s="402"/>
      <c r="Y224" s="423" t="str">
        <f aca="false">IF(AND(pos_z&lt;=0,K223&gt;0),"Impact balistique","") &amp; IF(AND(H225&lt;0,vit_z&gt;=0),"Apogée","") &amp; IF(AND(Poussee=0,Q223&gt;0),"Fin de propulsion","") &amp; IF(AND(L225&gt;L_rampe,pos_xz&lt;=L_rampe),"Sortie de rampe","")</f>
        <v/>
      </c>
      <c r="Z224" s="424" t="str">
        <f aca="false">IF(ABS(t-T_para)&lt;pas/2,"Para","")</f>
        <v/>
      </c>
      <c r="AA224" s="425" t="str">
        <f aca="false">IF(ABS(t-T_satellite)&lt;pas/2,"Satellite","")</f>
        <v/>
      </c>
      <c r="AB224" s="413"/>
      <c r="AC224" s="421" t="n">
        <f aca="false">IF(ABS(t-ROUND(t,0))&lt;0.001,t,NA())</f>
        <v>4</v>
      </c>
      <c r="AD224" s="426" t="n">
        <f aca="false">IF(ABS(t-ROUND(t,0))&lt;0.001,pos_x,NA())</f>
        <v>55.0537182852011</v>
      </c>
      <c r="AE224" s="427" t="n">
        <f aca="false">IF(t&lt;T_para, pos_z, NA())</f>
        <v>231.395782123044</v>
      </c>
      <c r="AF224" s="413"/>
      <c r="AG224" s="419" t="n">
        <f aca="false">IF(AND(L223&lt;L_rampe,Poussee&lt;Poids*SIN(M223)),0,(-W223+Poussee)/m-Poids*SIN(M223)/m)</f>
        <v>-10.792384146509</v>
      </c>
      <c r="AH224" s="418" t="n">
        <f aca="false">IF(AND(L223&lt;L_rampe,Poussee&lt;Poids*SIN(M223)), g*SIN(M223), (-W223+Poussee)/m)</f>
        <v>-1.47399852941354</v>
      </c>
    </row>
    <row r="225" customFormat="false" ht="12" hidden="false" customHeight="false" outlineLevel="0" collapsed="false">
      <c r="A225" s="417" t="n">
        <f aca="false">IF(B224+0.01&lt;=T_ini+ROUNDUP(Temps_fin_propu,0), 0.01, IF(K224&gt;0, 0.1, 0.0001))</f>
        <v>0.1</v>
      </c>
      <c r="B225" s="418" t="n">
        <f aca="false">B224+pas</f>
        <v>4.1</v>
      </c>
      <c r="C225" s="402"/>
      <c r="D225" s="419" t="n">
        <f aca="false">IF(AND(L224&lt;L_rampe,Poussee&lt;Poids*SIN(M224)),0,(-W224+Poussee)/m*COS(M224)-U224/m*SIN(M224))</f>
        <v>-0.44820509204835</v>
      </c>
      <c r="E225" s="420" t="n">
        <f aca="false">IF(AND(L224&lt;L_rampe,Poussee&lt;Poids*SIN(M224)),0,(-W224+Poussee)/m*SIN(M224)+U224/m*COS(M224)-Poids/m)</f>
        <v>-11.1409690779767</v>
      </c>
      <c r="F225" s="418" t="n">
        <f aca="false">SQRT(acc_x^2+acc_z^2)</f>
        <v>11.1499811569783</v>
      </c>
      <c r="G225" s="419" t="n">
        <f aca="false">G224+acc_x*pas</f>
        <v>14.1404698143742</v>
      </c>
      <c r="H225" s="420" t="n">
        <f aca="false">H224+acc_z*pas</f>
        <v>41.0098840950084</v>
      </c>
      <c r="I225" s="418" t="n">
        <f aca="false">SQRT(vit_x^2+vit_z^2)</f>
        <v>43.3792978280799</v>
      </c>
      <c r="J225" s="419" t="n">
        <f aca="false">J224+0.5*(vit_x+G224)*pas*(K224&gt;=0)</f>
        <v>56.4700062920988</v>
      </c>
      <c r="K225" s="420" t="n">
        <f aca="false">K224+0.5*(vit_z+H224)*pas</f>
        <v>235.552475377935</v>
      </c>
      <c r="L225" s="418" t="n">
        <f aca="false">SQRT(pos_x^2+pos_z^2)</f>
        <v>242.226815747766</v>
      </c>
      <c r="M225" s="419" t="n">
        <f aca="false">IF(AND(L224&gt;L_rampe,G225&gt;0),ATAN2(G225,H225),$M$4)</f>
        <v>1.23875580905091</v>
      </c>
      <c r="N225" s="418" t="n">
        <f aca="false">DEGREES(Beta)</f>
        <v>70.9754797059307</v>
      </c>
      <c r="O225" s="402"/>
      <c r="P225" s="421" t="n">
        <f aca="false">MATCH(t-pas/2-T_ini,CdP_t)</f>
        <v>23</v>
      </c>
      <c r="Q225" s="418" t="n">
        <f aca="false">(INDEX(CdP,2,i_P+1)-INDEX(CdP,2,i_P+0))/(INDEX(CdP,1,i_P+1)-INDEX(CdP,1,i_P+0))*(t-pas/2-T_ini-INDEX(CdP,1,i_P+0))+INDEX(CdP,2,i_P+0)</f>
        <v>0</v>
      </c>
      <c r="R225" s="419" t="n">
        <f aca="false">Poussee/(g*ISP)</f>
        <v>0</v>
      </c>
      <c r="S225" s="420" t="n">
        <f aca="false">S224-Débit*pas</f>
        <v>1.4843</v>
      </c>
      <c r="T225" s="418" t="n">
        <f aca="false">m*g</f>
        <v>14.560983</v>
      </c>
      <c r="U225" s="422" t="n">
        <f aca="false">IF(pos_xz&lt;L_rampe,Poids*COS(Beta),0)</f>
        <v>0</v>
      </c>
      <c r="V225" s="419" t="n">
        <f aca="false">Rho_moyen*(20000-Alt_rampe-pos_z)/(20000+Alt_rampe+pos_z)</f>
        <v>1.19648071121961</v>
      </c>
      <c r="W225" s="418" t="n">
        <f aca="false">1/2*Rho*Sref*Cx*vit_xz^2</f>
        <v>1.9846753831811</v>
      </c>
      <c r="X225" s="402"/>
      <c r="Y225" s="423" t="str">
        <f aca="false">IF(AND(pos_z&lt;=0,K224&gt;0),"Impact balistique","") &amp; IF(AND(H226&lt;0,vit_z&gt;=0),"Apogée","") &amp; IF(AND(Poussee=0,Q224&gt;0),"Fin de propulsion","") &amp; IF(AND(L226&gt;L_rampe,pos_xz&lt;=L_rampe),"Sortie de rampe","")</f>
        <v/>
      </c>
      <c r="Z225" s="424" t="str">
        <f aca="false">IF(ABS(t-T_para)&lt;pas/2,"Para","")</f>
        <v/>
      </c>
      <c r="AA225" s="425" t="str">
        <f aca="false">IF(ABS(t-T_satellite)&lt;pas/2,"Satellite","")</f>
        <v/>
      </c>
      <c r="AB225" s="413"/>
      <c r="AC225" s="421" t="e">
        <f aca="false">IF(ABS(t-ROUND(t,0))&lt;0.001,t,NA())</f>
        <v>#N/A</v>
      </c>
      <c r="AD225" s="426" t="e">
        <f aca="false">IF(ABS(t-ROUND(t,0))&lt;0.001,pos_x,NA())</f>
        <v>#N/A</v>
      </c>
      <c r="AE225" s="427" t="n">
        <f aca="false">IF(t&lt;T_para, pos_z, NA())</f>
        <v>235.552475377935</v>
      </c>
      <c r="AF225" s="413"/>
      <c r="AG225" s="419" t="n">
        <f aca="false">IF(AND(L224&lt;L_rampe,Poussee&lt;Poids*SIN(M224)),0,(-W224+Poussee)/m-Poids*SIN(M224)/m)</f>
        <v>-10.7014168172025</v>
      </c>
      <c r="AH225" s="418" t="n">
        <f aca="false">IF(AND(L224&lt;L_rampe,Poussee&lt;Poids*SIN(M224)), g*SIN(M224), (-W224+Poussee)/m)</f>
        <v>-1.40440965927616</v>
      </c>
    </row>
    <row r="226" customFormat="false" ht="12" hidden="false" customHeight="false" outlineLevel="0" collapsed="false">
      <c r="A226" s="417" t="n">
        <f aca="false">IF(B225+0.01&lt;=T_ini+ROUNDUP(Temps_fin_propu,0), 0.01, IF(K225&gt;0, 0.1, 0.0001))</f>
        <v>0.1</v>
      </c>
      <c r="B226" s="418" t="n">
        <f aca="false">B225+pas</f>
        <v>4.2</v>
      </c>
      <c r="C226" s="402"/>
      <c r="D226" s="419" t="n">
        <f aca="false">IF(AND(L225&lt;L_rampe,Poussee&lt;Poids*SIN(M225)),0,(-W225+Poussee)/m*COS(M225)-U225/m*SIN(M225))</f>
        <v>-0.43586210974418</v>
      </c>
      <c r="E226" s="420" t="n">
        <f aca="false">IF(AND(L225&lt;L_rampe,Poussee&lt;Poids*SIN(M225)),0,(-W225+Poussee)/m*SIN(M225)+U225/m*COS(M225)-Poids/m)</f>
        <v>-11.0740778444182</v>
      </c>
      <c r="F226" s="418" t="n">
        <f aca="false">SQRT(acc_x^2+acc_z^2)</f>
        <v>11.082652023904</v>
      </c>
      <c r="G226" s="419" t="n">
        <f aca="false">G225+acc_x*pas</f>
        <v>14.0968836033998</v>
      </c>
      <c r="H226" s="420" t="n">
        <f aca="false">H225+acc_z*pas</f>
        <v>39.9024763105666</v>
      </c>
      <c r="I226" s="418" t="n">
        <f aca="false">SQRT(vit_x^2+vit_z^2)</f>
        <v>42.3193778669197</v>
      </c>
      <c r="J226" s="419" t="n">
        <f aca="false">J225+0.5*(vit_x+G225)*pas*(K225&gt;=0)</f>
        <v>57.8818739629875</v>
      </c>
      <c r="K226" s="420" t="n">
        <f aca="false">K225+0.5*(vit_z+H225)*pas</f>
        <v>239.598093398214</v>
      </c>
      <c r="L226" s="418" t="n">
        <f aca="false">SQRT(pos_x^2+pos_z^2)</f>
        <v>246.490481953211</v>
      </c>
      <c r="M226" s="419" t="n">
        <f aca="false">IF(AND(L225&gt;L_rampe,G226&gt;0),ATAN2(G226,H226),$M$4)</f>
        <v>1.23119940474252</v>
      </c>
      <c r="N226" s="418" t="n">
        <f aca="false">DEGREES(Beta)</f>
        <v>70.5425296307656</v>
      </c>
      <c r="O226" s="402"/>
      <c r="P226" s="421" t="n">
        <f aca="false">MATCH(t-pas/2-T_ini,CdP_t)</f>
        <v>23</v>
      </c>
      <c r="Q226" s="418" t="n">
        <f aca="false">(INDEX(CdP,2,i_P+1)-INDEX(CdP,2,i_P+0))/(INDEX(CdP,1,i_P+1)-INDEX(CdP,1,i_P+0))*(t-pas/2-T_ini-INDEX(CdP,1,i_P+0))+INDEX(CdP,2,i_P+0)</f>
        <v>0</v>
      </c>
      <c r="R226" s="419" t="n">
        <f aca="false">Poussee/(g*ISP)</f>
        <v>0</v>
      </c>
      <c r="S226" s="420" t="n">
        <f aca="false">S225-Débit*pas</f>
        <v>1.4843</v>
      </c>
      <c r="T226" s="418" t="n">
        <f aca="false">m*g</f>
        <v>14.560983</v>
      </c>
      <c r="U226" s="422" t="n">
        <f aca="false">IF(pos_xz&lt;L_rampe,Poids*COS(Beta),0)</f>
        <v>0</v>
      </c>
      <c r="V226" s="419" t="n">
        <f aca="false">Rho_moyen*(20000-Alt_rampe-pos_z)/(20000+Alt_rampe+pos_z)</f>
        <v>1.19599669044233</v>
      </c>
      <c r="W226" s="418" t="n">
        <f aca="false">1/2*Rho*Sref*Cx*vit_xz^2</f>
        <v>1.8881099136285</v>
      </c>
      <c r="X226" s="402"/>
      <c r="Y226" s="423" t="str">
        <f aca="false">IF(AND(pos_z&lt;=0,K225&gt;0),"Impact balistique","") &amp; IF(AND(H227&lt;0,vit_z&gt;=0),"Apogée","") &amp; IF(AND(Poussee=0,Q225&gt;0),"Fin de propulsion","") &amp; IF(AND(L227&gt;L_rampe,pos_xz&lt;=L_rampe),"Sortie de rampe","")</f>
        <v/>
      </c>
      <c r="Z226" s="424" t="str">
        <f aca="false">IF(ABS(t-T_para)&lt;pas/2,"Para","")</f>
        <v/>
      </c>
      <c r="AA226" s="425" t="str">
        <f aca="false">IF(ABS(t-T_satellite)&lt;pas/2,"Satellite","")</f>
        <v/>
      </c>
      <c r="AB226" s="413"/>
      <c r="AC226" s="421" t="e">
        <f aca="false">IF(ABS(t-ROUND(t,0))&lt;0.001,t,NA())</f>
        <v>#N/A</v>
      </c>
      <c r="AD226" s="426" t="e">
        <f aca="false">IF(ABS(t-ROUND(t,0))&lt;0.001,pos_x,NA())</f>
        <v>#N/A</v>
      </c>
      <c r="AE226" s="427" t="n">
        <f aca="false">IF(t&lt;T_para, pos_z, NA())</f>
        <v>239.598093398214</v>
      </c>
      <c r="AF226" s="413"/>
      <c r="AG226" s="419" t="n">
        <f aca="false">IF(AND(L225&lt;L_rampe,Poussee&lt;Poids*SIN(M225)),0,(-W225+Poussee)/m-Poids*SIN(M225)/m)</f>
        <v>-10.6112815769644</v>
      </c>
      <c r="AH226" s="418" t="n">
        <f aca="false">IF(AND(L225&lt;L_rampe,Poussee&lt;Poids*SIN(M225)), g*SIN(M225), (-W225+Poussee)/m)</f>
        <v>-1.33711202801395</v>
      </c>
    </row>
    <row r="227" customFormat="false" ht="12" hidden="false" customHeight="false" outlineLevel="0" collapsed="false">
      <c r="A227" s="417" t="n">
        <f aca="false">IF(B226+0.01&lt;=T_ini+ROUNDUP(Temps_fin_propu,0), 0.01, IF(K226&gt;0, 0.1, 0.0001))</f>
        <v>0.1</v>
      </c>
      <c r="B227" s="418" t="n">
        <f aca="false">B226+pas</f>
        <v>4.3</v>
      </c>
      <c r="C227" s="402"/>
      <c r="D227" s="419" t="n">
        <f aca="false">IF(AND(L226&lt;L_rampe,Poussee&lt;Poids*SIN(M226)),0,(-W226+Poussee)/m*COS(M226)-U226/m*SIN(M226))</f>
        <v>-0.423730206166281</v>
      </c>
      <c r="E227" s="420" t="n">
        <f aca="false">IF(AND(L226&lt;L_rampe,Poussee&lt;Poids*SIN(M226)),0,(-W226+Poussee)/m*SIN(M226)+U226/m*COS(M226)-Poids/m)</f>
        <v>-11.0094058395675</v>
      </c>
      <c r="F227" s="418" t="n">
        <f aca="false">SQRT(acc_x^2+acc_z^2)</f>
        <v>11.0175570898417</v>
      </c>
      <c r="G227" s="419" t="n">
        <f aca="false">G226+acc_x*pas</f>
        <v>14.0545105827832</v>
      </c>
      <c r="H227" s="420" t="n">
        <f aca="false">H226+acc_z*pas</f>
        <v>38.8015357266098</v>
      </c>
      <c r="I227" s="418" t="n">
        <f aca="false">SQRT(vit_x^2+vit_z^2)</f>
        <v>41.2684921273475</v>
      </c>
      <c r="J227" s="419" t="n">
        <f aca="false">J226+0.5*(vit_x+G226)*pas*(K226&gt;=0)</f>
        <v>59.2894436722966</v>
      </c>
      <c r="K227" s="420" t="n">
        <f aca="false">K226+0.5*(vit_z+H226)*pas</f>
        <v>243.533294000073</v>
      </c>
      <c r="L227" s="418" t="n">
        <f aca="false">SQRT(pos_x^2+pos_z^2)</f>
        <v>250.646570727581</v>
      </c>
      <c r="M227" s="419" t="n">
        <f aca="false">IF(AND(L226&gt;L_rampe,G227&gt;0),ATAN2(G227,H227),$M$4)</f>
        <v>1.22328098016808</v>
      </c>
      <c r="N227" s="418" t="n">
        <f aca="false">DEGREES(Beta)</f>
        <v>70.0888373222578</v>
      </c>
      <c r="O227" s="402"/>
      <c r="P227" s="421" t="n">
        <f aca="false">MATCH(t-pas/2-T_ini,CdP_t)</f>
        <v>23</v>
      </c>
      <c r="Q227" s="418" t="n">
        <f aca="false">(INDEX(CdP,2,i_P+1)-INDEX(CdP,2,i_P+0))/(INDEX(CdP,1,i_P+1)-INDEX(CdP,1,i_P+0))*(t-pas/2-T_ini-INDEX(CdP,1,i_P+0))+INDEX(CdP,2,i_P+0)</f>
        <v>0</v>
      </c>
      <c r="R227" s="419" t="n">
        <f aca="false">Poussee/(g*ISP)</f>
        <v>0</v>
      </c>
      <c r="S227" s="420" t="n">
        <f aca="false">S226-Débit*pas</f>
        <v>1.4843</v>
      </c>
      <c r="T227" s="418" t="n">
        <f aca="false">m*g</f>
        <v>14.560983</v>
      </c>
      <c r="U227" s="422" t="n">
        <f aca="false">IF(pos_xz&lt;L_rampe,Poids*COS(Beta),0)</f>
        <v>0</v>
      </c>
      <c r="V227" s="419" t="n">
        <f aca="false">Rho_moyen*(20000-Alt_rampe-pos_z)/(20000+Alt_rampe+pos_z)</f>
        <v>1.19552606570035</v>
      </c>
      <c r="W227" s="418" t="n">
        <f aca="false">1/2*Rho*Sref*Cx*vit_xz^2</f>
        <v>1.79479560190486</v>
      </c>
      <c r="X227" s="402"/>
      <c r="Y227" s="423" t="str">
        <f aca="false">IF(AND(pos_z&lt;=0,K226&gt;0),"Impact balistique","") &amp; IF(AND(H228&lt;0,vit_z&gt;=0),"Apogée","") &amp; IF(AND(Poussee=0,Q226&gt;0),"Fin de propulsion","") &amp; IF(AND(L228&gt;L_rampe,pos_xz&lt;=L_rampe),"Sortie de rampe","")</f>
        <v/>
      </c>
      <c r="Z227" s="424" t="str">
        <f aca="false">IF(ABS(t-T_para)&lt;pas/2,"Para","")</f>
        <v/>
      </c>
      <c r="AA227" s="425" t="str">
        <f aca="false">IF(ABS(t-T_satellite)&lt;pas/2,"Satellite","")</f>
        <v/>
      </c>
      <c r="AB227" s="413"/>
      <c r="AC227" s="421" t="e">
        <f aca="false">IF(ABS(t-ROUND(t,0))&lt;0.001,t,NA())</f>
        <v>#N/A</v>
      </c>
      <c r="AD227" s="426" t="e">
        <f aca="false">IF(ABS(t-ROUND(t,0))&lt;0.001,pos_x,NA())</f>
        <v>#N/A</v>
      </c>
      <c r="AE227" s="427" t="n">
        <f aca="false">IF(t&lt;T_para, pos_z, NA())</f>
        <v>243.533294000073</v>
      </c>
      <c r="AF227" s="413"/>
      <c r="AG227" s="419" t="n">
        <f aca="false">IF(AND(L226&lt;L_rampe,Poussee&lt;Poids*SIN(M226)),0,(-W226+Poussee)/m-Poids*SIN(M226)/m)</f>
        <v>-10.5217952991316</v>
      </c>
      <c r="AH227" s="418" t="n">
        <f aca="false">IF(AND(L226&lt;L_rampe,Poussee&lt;Poids*SIN(M226)), g*SIN(M226), (-W226+Poussee)/m)</f>
        <v>-1.27205410875733</v>
      </c>
    </row>
    <row r="228" customFormat="false" ht="12" hidden="false" customHeight="false" outlineLevel="0" collapsed="false">
      <c r="A228" s="417" t="n">
        <f aca="false">IF(B227+0.01&lt;=T_ini+ROUNDUP(Temps_fin_propu,0), 0.01, IF(K227&gt;0, 0.1, 0.0001))</f>
        <v>0.1</v>
      </c>
      <c r="B228" s="418" t="n">
        <f aca="false">B227+pas</f>
        <v>4.4</v>
      </c>
      <c r="C228" s="402"/>
      <c r="D228" s="419" t="n">
        <f aca="false">IF(AND(L227&lt;L_rampe,Poussee&lt;Poids*SIN(M227)),0,(-W227+Poussee)/m*COS(M227)-U227/m*SIN(M227))</f>
        <v>-0.411803880923039</v>
      </c>
      <c r="E228" s="420" t="n">
        <f aca="false">IF(AND(L227&lt;L_rampe,Poussee&lt;Poids*SIN(M227)),0,(-W227+Poussee)/m*SIN(M227)+U227/m*COS(M227)-Poids/m)</f>
        <v>-10.9469035516303</v>
      </c>
      <c r="F228" s="418" t="n">
        <f aca="false">SQRT(acc_x^2+acc_z^2)</f>
        <v>10.9546464938418</v>
      </c>
      <c r="G228" s="419" t="n">
        <f aca="false">G227+acc_x*pas</f>
        <v>14.0133301946909</v>
      </c>
      <c r="H228" s="420" t="n">
        <f aca="false">H227+acc_z*pas</f>
        <v>37.7068453714468</v>
      </c>
      <c r="I228" s="418" t="n">
        <f aca="false">SQRT(vit_x^2+vit_z^2)</f>
        <v>40.2266032745947</v>
      </c>
      <c r="J228" s="419" t="n">
        <f aca="false">J227+0.5*(vit_x+G227)*pas*(K227&gt;=0)</f>
        <v>60.6928357111703</v>
      </c>
      <c r="K228" s="420" t="n">
        <f aca="false">K227+0.5*(vit_z+H227)*pas</f>
        <v>247.358713054975</v>
      </c>
      <c r="L228" s="418" t="n">
        <f aca="false">SQRT(pos_x^2+pos_z^2)</f>
        <v>254.695805287164</v>
      </c>
      <c r="M228" s="419" t="n">
        <f aca="false">IF(AND(L227&gt;L_rampe,G228&gt;0),ATAN2(G228,H228),$M$4)</f>
        <v>1.21497563351766</v>
      </c>
      <c r="N228" s="418" t="n">
        <f aca="false">DEGREES(Beta)</f>
        <v>69.6129760117952</v>
      </c>
      <c r="O228" s="402"/>
      <c r="P228" s="421" t="n">
        <f aca="false">MATCH(t-pas/2-T_ini,CdP_t)</f>
        <v>23</v>
      </c>
      <c r="Q228" s="418" t="n">
        <f aca="false">(INDEX(CdP,2,i_P+1)-INDEX(CdP,2,i_P+0))/(INDEX(CdP,1,i_P+1)-INDEX(CdP,1,i_P+0))*(t-pas/2-T_ini-INDEX(CdP,1,i_P+0))+INDEX(CdP,2,i_P+0)</f>
        <v>0</v>
      </c>
      <c r="R228" s="419" t="n">
        <f aca="false">Poussee/(g*ISP)</f>
        <v>0</v>
      </c>
      <c r="S228" s="420" t="n">
        <f aca="false">S227-Débit*pas</f>
        <v>1.4843</v>
      </c>
      <c r="T228" s="418" t="n">
        <f aca="false">m*g</f>
        <v>14.560983</v>
      </c>
      <c r="U228" s="422" t="n">
        <f aca="false">IF(pos_xz&lt;L_rampe,Poids*COS(Beta),0)</f>
        <v>0</v>
      </c>
      <c r="V228" s="419" t="n">
        <f aca="false">Rho_moyen*(20000-Alt_rampe-pos_z)/(20000+Alt_rampe+pos_z)</f>
        <v>1.19506874548067</v>
      </c>
      <c r="W228" s="418" t="n">
        <f aca="false">1/2*Rho*Sref*Cx*vit_xz^2</f>
        <v>1.70466230915821</v>
      </c>
      <c r="X228" s="402"/>
      <c r="Y228" s="423" t="str">
        <f aca="false">IF(AND(pos_z&lt;=0,K227&gt;0),"Impact balistique","") &amp; IF(AND(H229&lt;0,vit_z&gt;=0),"Apogée","") &amp; IF(AND(Poussee=0,Q227&gt;0),"Fin de propulsion","") &amp; IF(AND(L229&gt;L_rampe,pos_xz&lt;=L_rampe),"Sortie de rampe","")</f>
        <v/>
      </c>
      <c r="Z228" s="424" t="str">
        <f aca="false">IF(ABS(t-T_para)&lt;pas/2,"Para","")</f>
        <v/>
      </c>
      <c r="AA228" s="425" t="str">
        <f aca="false">IF(ABS(t-T_satellite)&lt;pas/2,"Satellite","")</f>
        <v/>
      </c>
      <c r="AB228" s="413"/>
      <c r="AC228" s="421" t="e">
        <f aca="false">IF(ABS(t-ROUND(t,0))&lt;0.001,t,NA())</f>
        <v>#N/A</v>
      </c>
      <c r="AD228" s="426" t="e">
        <f aca="false">IF(ABS(t-ROUND(t,0))&lt;0.001,pos_x,NA())</f>
        <v>#N/A</v>
      </c>
      <c r="AE228" s="427" t="n">
        <f aca="false">IF(t&lt;T_para, pos_z, NA())</f>
        <v>247.358713054975</v>
      </c>
      <c r="AF228" s="413"/>
      <c r="AG228" s="419" t="n">
        <f aca="false">IF(AND(L227&lt;L_rampe,Poussee&lt;Poids*SIN(M227)),0,(-W227+Poussee)/m-Poids*SIN(M227)/m)</f>
        <v>-10.432762358465</v>
      </c>
      <c r="AH228" s="418" t="n">
        <f aca="false">IF(AND(L227&lt;L_rampe,Poussee&lt;Poids*SIN(M227)), g*SIN(M227), (-W227+Poussee)/m)</f>
        <v>-1.20918655386705</v>
      </c>
    </row>
    <row r="229" customFormat="false" ht="12" hidden="false" customHeight="false" outlineLevel="0" collapsed="false">
      <c r="A229" s="417" t="n">
        <f aca="false">IF(B228+0.01&lt;=T_ini+ROUNDUP(Temps_fin_propu,0), 0.01, IF(K228&gt;0, 0.1, 0.0001))</f>
        <v>0.1</v>
      </c>
      <c r="B229" s="418" t="n">
        <f aca="false">B228+pas</f>
        <v>4.5</v>
      </c>
      <c r="C229" s="402"/>
      <c r="D229" s="419" t="n">
        <f aca="false">IF(AND(L228&lt;L_rampe,Poussee&lt;Poids*SIN(M228)),0,(-W228+Poussee)/m*COS(M228)-U228/m*SIN(M228))</f>
        <v>-0.400077994329121</v>
      </c>
      <c r="E229" s="420" t="n">
        <f aca="false">IF(AND(L228&lt;L_rampe,Poussee&lt;Poids*SIN(M228)),0,(-W228+Poussee)/m*SIN(M228)+U228/m*COS(M228)-Poids/m)</f>
        <v>-10.886523485788</v>
      </c>
      <c r="F229" s="418" t="n">
        <f aca="false">SQRT(acc_x^2+acc_z^2)</f>
        <v>10.8938724064568</v>
      </c>
      <c r="G229" s="419" t="n">
        <f aca="false">G228+acc_x*pas</f>
        <v>13.973322395258</v>
      </c>
      <c r="H229" s="420" t="n">
        <f aca="false">H228+acc_z*pas</f>
        <v>36.618193022868</v>
      </c>
      <c r="I229" s="418" t="n">
        <f aca="false">SQRT(vit_x^2+vit_z^2)</f>
        <v>39.1936959091872</v>
      </c>
      <c r="J229" s="419" t="n">
        <f aca="false">J228+0.5*(vit_x+G228)*pas*(K228&gt;=0)</f>
        <v>62.0921683406678</v>
      </c>
      <c r="K229" s="420" t="n">
        <f aca="false">K228+0.5*(vit_z+H228)*pas</f>
        <v>251.074964974691</v>
      </c>
      <c r="L229" s="418" t="n">
        <f aca="false">SQRT(pos_x^2+pos_z^2)</f>
        <v>258.638889972657</v>
      </c>
      <c r="M229" s="419" t="n">
        <f aca="false">IF(AND(L228&gt;L_rampe,G229&gt;0),ATAN2(G229,H229),$M$4)</f>
        <v>1.20625623987338</v>
      </c>
      <c r="N229" s="418" t="n">
        <f aca="false">DEGREES(Beta)</f>
        <v>69.1133915560647</v>
      </c>
      <c r="O229" s="402"/>
      <c r="P229" s="421" t="n">
        <f aca="false">MATCH(t-pas/2-T_ini,CdP_t)</f>
        <v>23</v>
      </c>
      <c r="Q229" s="418" t="n">
        <f aca="false">(INDEX(CdP,2,i_P+1)-INDEX(CdP,2,i_P+0))/(INDEX(CdP,1,i_P+1)-INDEX(CdP,1,i_P+0))*(t-pas/2-T_ini-INDEX(CdP,1,i_P+0))+INDEX(CdP,2,i_P+0)</f>
        <v>0</v>
      </c>
      <c r="R229" s="419" t="n">
        <f aca="false">Poussee/(g*ISP)</f>
        <v>0</v>
      </c>
      <c r="S229" s="420" t="n">
        <f aca="false">S228-Débit*pas</f>
        <v>1.4843</v>
      </c>
      <c r="T229" s="418" t="n">
        <f aca="false">m*g</f>
        <v>14.560983</v>
      </c>
      <c r="U229" s="422" t="n">
        <f aca="false">IF(pos_xz&lt;L_rampe,Poids*COS(Beta),0)</f>
        <v>0</v>
      </c>
      <c r="V229" s="419" t="n">
        <f aca="false">Rho_moyen*(20000-Alt_rampe-pos_z)/(20000+Alt_rampe+pos_z)</f>
        <v>1.19462464139549</v>
      </c>
      <c r="W229" s="418" t="n">
        <f aca="false">1/2*Rho*Sref*Cx*vit_xz^2</f>
        <v>1.6176428843203</v>
      </c>
      <c r="X229" s="402"/>
      <c r="Y229" s="423" t="str">
        <f aca="false">IF(AND(pos_z&lt;=0,K228&gt;0),"Impact balistique","") &amp; IF(AND(H230&lt;0,vit_z&gt;=0),"Apogée","") &amp; IF(AND(Poussee=0,Q228&gt;0),"Fin de propulsion","") &amp; IF(AND(L230&gt;L_rampe,pos_xz&lt;=L_rampe),"Sortie de rampe","")</f>
        <v/>
      </c>
      <c r="Z229" s="424" t="str">
        <f aca="false">IF(ABS(t-T_para)&lt;pas/2,"Para","")</f>
        <v/>
      </c>
      <c r="AA229" s="425" t="str">
        <f aca="false">IF(ABS(t-T_satellite)&lt;pas/2,"Satellite","")</f>
        <v/>
      </c>
      <c r="AB229" s="413"/>
      <c r="AC229" s="421" t="e">
        <f aca="false">IF(ABS(t-ROUND(t,0))&lt;0.001,t,NA())</f>
        <v>#N/A</v>
      </c>
      <c r="AD229" s="426" t="e">
        <f aca="false">IF(ABS(t-ROUND(t,0))&lt;0.001,pos_x,NA())</f>
        <v>#N/A</v>
      </c>
      <c r="AE229" s="427" t="n">
        <f aca="false">IF(t&lt;T_para, pos_z, NA())</f>
        <v>251.074964974691</v>
      </c>
      <c r="AF229" s="413"/>
      <c r="AG229" s="419" t="n">
        <f aca="false">IF(AND(L228&lt;L_rampe,Poussee&lt;Poids*SIN(M228)),0,(-W228+Poussee)/m-Poids*SIN(M228)/m)</f>
        <v>-10.3439726170513</v>
      </c>
      <c r="AH229" s="418" t="n">
        <f aca="false">IF(AND(L228&lt;L_rampe,Poussee&lt;Poids*SIN(M228)), g*SIN(M228), (-W228+Poussee)/m)</f>
        <v>-1.14846210951844</v>
      </c>
    </row>
    <row r="230" customFormat="false" ht="12" hidden="false" customHeight="false" outlineLevel="0" collapsed="false">
      <c r="A230" s="417" t="n">
        <f aca="false">IF(B229+0.01&lt;=T_ini+ROUNDUP(Temps_fin_propu,0), 0.01, IF(K229&gt;0, 0.1, 0.0001))</f>
        <v>0.1</v>
      </c>
      <c r="B230" s="418" t="n">
        <f aca="false">B229+pas</f>
        <v>4.6</v>
      </c>
      <c r="C230" s="402"/>
      <c r="D230" s="419" t="n">
        <f aca="false">IF(AND(L229&lt;L_rampe,Poussee&lt;Poids*SIN(M229)),0,(-W229+Poussee)/m*COS(M229)-U229/m*SIN(M229))</f>
        <v>-0.388547773626931</v>
      </c>
      <c r="E230" s="420" t="n">
        <f aca="false">IF(AND(L229&lt;L_rampe,Poussee&lt;Poids*SIN(M229)),0,(-W229+Poussee)/m*SIN(M229)+U229/m*COS(M229)-Poids/m)</f>
        <v>-10.8282200747122</v>
      </c>
      <c r="F230" s="418" t="n">
        <f aca="false">SQRT(acc_x^2+acc_z^2)</f>
        <v>10.8351889396904</v>
      </c>
      <c r="G230" s="419" t="n">
        <f aca="false">G229+acc_x*pas</f>
        <v>13.9344676178953</v>
      </c>
      <c r="H230" s="420" t="n">
        <f aca="false">H229+acc_z*pas</f>
        <v>35.5353710153968</v>
      </c>
      <c r="I230" s="418" t="n">
        <f aca="false">SQRT(vit_x^2+vit_z^2)</f>
        <v>38.169778372373</v>
      </c>
      <c r="J230" s="419" t="n">
        <f aca="false">J229+0.5*(vit_x+G229)*pas*(K229&gt;=0)</f>
        <v>63.4875578413254</v>
      </c>
      <c r="K230" s="420" t="n">
        <f aca="false">K229+0.5*(vit_z+H229)*pas</f>
        <v>254.682643176604</v>
      </c>
      <c r="L230" s="418" t="n">
        <f aca="false">SQRT(pos_x^2+pos_z^2)</f>
        <v>262.476510827307</v>
      </c>
      <c r="M230" s="419" t="n">
        <f aca="false">IF(AND(L229&gt;L_rampe,G230&gt;0),ATAN2(G230,H230),$M$4)</f>
        <v>1.19709321412476</v>
      </c>
      <c r="N230" s="418" t="n">
        <f aca="false">DEGREES(Beta)</f>
        <v>68.5883888530994</v>
      </c>
      <c r="O230" s="402"/>
      <c r="P230" s="421" t="n">
        <f aca="false">MATCH(t-pas/2-T_ini,CdP_t)</f>
        <v>23</v>
      </c>
      <c r="Q230" s="418" t="n">
        <f aca="false">(INDEX(CdP,2,i_P+1)-INDEX(CdP,2,i_P+0))/(INDEX(CdP,1,i_P+1)-INDEX(CdP,1,i_P+0))*(t-pas/2-T_ini-INDEX(CdP,1,i_P+0))+INDEX(CdP,2,i_P+0)</f>
        <v>0</v>
      </c>
      <c r="R230" s="419" t="n">
        <f aca="false">Poussee/(g*ISP)</f>
        <v>0</v>
      </c>
      <c r="S230" s="420" t="n">
        <f aca="false">S229-Débit*pas</f>
        <v>1.4843</v>
      </c>
      <c r="T230" s="418" t="n">
        <f aca="false">m*g</f>
        <v>14.560983</v>
      </c>
      <c r="U230" s="422" t="n">
        <f aca="false">IF(pos_xz&lt;L_rampe,Poids*COS(Beta),0)</f>
        <v>0</v>
      </c>
      <c r="V230" s="419" t="n">
        <f aca="false">Rho_moyen*(20000-Alt_rampe-pos_z)/(20000+Alt_rampe+pos_z)</f>
        <v>1.19419366811245</v>
      </c>
      <c r="W230" s="418" t="n">
        <f aca="false">1/2*Rho*Sref*Cx*vit_xz^2</f>
        <v>1.53367305038132</v>
      </c>
      <c r="X230" s="402"/>
      <c r="Y230" s="423" t="str">
        <f aca="false">IF(AND(pos_z&lt;=0,K229&gt;0),"Impact balistique","") &amp; IF(AND(H231&lt;0,vit_z&gt;=0),"Apogée","") &amp; IF(AND(Poussee=0,Q229&gt;0),"Fin de propulsion","") &amp; IF(AND(L231&gt;L_rampe,pos_xz&lt;=L_rampe),"Sortie de rampe","")</f>
        <v/>
      </c>
      <c r="Z230" s="424" t="str">
        <f aca="false">IF(ABS(t-T_para)&lt;pas/2,"Para","")</f>
        <v/>
      </c>
      <c r="AA230" s="425" t="str">
        <f aca="false">IF(ABS(t-T_satellite)&lt;pas/2,"Satellite","")</f>
        <v/>
      </c>
      <c r="AB230" s="413"/>
      <c r="AC230" s="421" t="e">
        <f aca="false">IF(ABS(t-ROUND(t,0))&lt;0.001,t,NA())</f>
        <v>#N/A</v>
      </c>
      <c r="AD230" s="426" t="e">
        <f aca="false">IF(ABS(t-ROUND(t,0))&lt;0.001,pos_x,NA())</f>
        <v>#N/A</v>
      </c>
      <c r="AE230" s="427" t="n">
        <f aca="false">IF(t&lt;T_para, pos_z, NA())</f>
        <v>254.682643176604</v>
      </c>
      <c r="AF230" s="413"/>
      <c r="AG230" s="419" t="n">
        <f aca="false">IF(AND(L229&lt;L_rampe,Poussee&lt;Poids*SIN(M229)),0,(-W229+Poussee)/m-Poids*SIN(M229)/m)</f>
        <v>-10.2551991276367</v>
      </c>
      <c r="AH230" s="418" t="n">
        <f aca="false">IF(AND(L229&lt;L_rampe,Poussee&lt;Poids*SIN(M229)), g*SIN(M229), (-W229+Poussee)/m)</f>
        <v>-1.08983553481123</v>
      </c>
    </row>
    <row r="231" customFormat="false" ht="12" hidden="false" customHeight="false" outlineLevel="0" collapsed="false">
      <c r="A231" s="417" t="n">
        <f aca="false">IF(B230+0.01&lt;=T_ini+ROUNDUP(Temps_fin_propu,0), 0.01, IF(K230&gt;0, 0.1, 0.0001))</f>
        <v>0.1</v>
      </c>
      <c r="B231" s="418" t="n">
        <f aca="false">B230+pas</f>
        <v>4.7</v>
      </c>
      <c r="C231" s="402"/>
      <c r="D231" s="419" t="n">
        <f aca="false">IF(AND(L230&lt;L_rampe,Poussee&lt;Poids*SIN(M230)),0,(-W230+Poussee)/m*COS(M230)-U230/m*SIN(M230))</f>
        <v>-0.377208821898404</v>
      </c>
      <c r="E231" s="420" t="n">
        <f aca="false">IF(AND(L230&lt;L_rampe,Poussee&lt;Poids*SIN(M230)),0,(-W230+Poussee)/m*SIN(M230)+U230/m*COS(M230)-Poids/m)</f>
        <v>-10.7719495917609</v>
      </c>
      <c r="F231" s="418" t="n">
        <f aca="false">SQRT(acc_x^2+acc_z^2)</f>
        <v>10.778552059658</v>
      </c>
      <c r="G231" s="419" t="n">
        <f aca="false">G230+acc_x*pas</f>
        <v>13.8967467357055</v>
      </c>
      <c r="H231" s="420" t="n">
        <f aca="false">H230+acc_z*pas</f>
        <v>34.4581760562207</v>
      </c>
      <c r="I231" s="418" t="n">
        <f aca="false">SQRT(vit_x^2+vit_z^2)</f>
        <v>37.1548848330585</v>
      </c>
      <c r="J231" s="419" t="n">
        <f aca="false">J230+0.5*(vit_x+G230)*pas*(K230&gt;=0)</f>
        <v>64.8791185590055</v>
      </c>
      <c r="K231" s="420" t="n">
        <f aca="false">K230+0.5*(vit_z+H230)*pas</f>
        <v>258.182320530185</v>
      </c>
      <c r="L231" s="418" t="n">
        <f aca="false">SQRT(pos_x^2+pos_z^2)</f>
        <v>266.209336161121</v>
      </c>
      <c r="M231" s="419" t="n">
        <f aca="false">IF(AND(L230&gt;L_rampe,G231&gt;0),ATAN2(G231,H231),$M$4)</f>
        <v>1.18745424575108</v>
      </c>
      <c r="N231" s="418" t="n">
        <f aca="false">DEGREES(Beta)</f>
        <v>68.0361166464273</v>
      </c>
      <c r="O231" s="402"/>
      <c r="P231" s="421" t="n">
        <f aca="false">MATCH(t-pas/2-T_ini,CdP_t)</f>
        <v>23</v>
      </c>
      <c r="Q231" s="418" t="n">
        <f aca="false">(INDEX(CdP,2,i_P+1)-INDEX(CdP,2,i_P+0))/(INDEX(CdP,1,i_P+1)-INDEX(CdP,1,i_P+0))*(t-pas/2-T_ini-INDEX(CdP,1,i_P+0))+INDEX(CdP,2,i_P+0)</f>
        <v>0</v>
      </c>
      <c r="R231" s="419" t="n">
        <f aca="false">Poussee/(g*ISP)</f>
        <v>0</v>
      </c>
      <c r="S231" s="420" t="n">
        <f aca="false">S230-Débit*pas</f>
        <v>1.4843</v>
      </c>
      <c r="T231" s="418" t="n">
        <f aca="false">m*g</f>
        <v>14.560983</v>
      </c>
      <c r="U231" s="422" t="n">
        <f aca="false">IF(pos_xz&lt;L_rampe,Poids*COS(Beta),0)</f>
        <v>0</v>
      </c>
      <c r="V231" s="419" t="n">
        <f aca="false">Rho_moyen*(20000-Alt_rampe-pos_z)/(20000+Alt_rampe+pos_z)</f>
        <v>1.19377574328779</v>
      </c>
      <c r="W231" s="418" t="n">
        <f aca="false">1/2*Rho*Sref*Cx*vit_xz^2</f>
        <v>1.45269129665041</v>
      </c>
      <c r="X231" s="402"/>
      <c r="Y231" s="423" t="str">
        <f aca="false">IF(AND(pos_z&lt;=0,K230&gt;0),"Impact balistique","") &amp; IF(AND(H232&lt;0,vit_z&gt;=0),"Apogée","") &amp; IF(AND(Poussee=0,Q230&gt;0),"Fin de propulsion","") &amp; IF(AND(L232&gt;L_rampe,pos_xz&lt;=L_rampe),"Sortie de rampe","")</f>
        <v/>
      </c>
      <c r="Z231" s="424" t="str">
        <f aca="false">IF(ABS(t-T_para)&lt;pas/2,"Para","")</f>
        <v/>
      </c>
      <c r="AA231" s="425" t="str">
        <f aca="false">IF(ABS(t-T_satellite)&lt;pas/2,"Satellite","")</f>
        <v/>
      </c>
      <c r="AB231" s="413"/>
      <c r="AC231" s="421" t="e">
        <f aca="false">IF(ABS(t-ROUND(t,0))&lt;0.001,t,NA())</f>
        <v>#N/A</v>
      </c>
      <c r="AD231" s="426" t="e">
        <f aca="false">IF(ABS(t-ROUND(t,0))&lt;0.001,pos_x,NA())</f>
        <v>#N/A</v>
      </c>
      <c r="AE231" s="427" t="n">
        <f aca="false">IF(t&lt;T_para, pos_z, NA())</f>
        <v>258.182320530185</v>
      </c>
      <c r="AF231" s="413"/>
      <c r="AG231" s="419" t="n">
        <f aca="false">IF(AND(L230&lt;L_rampe,Poussee&lt;Poids*SIN(M230)),0,(-W230+Poussee)/m-Poids*SIN(M230)/m)</f>
        <v>-10.1661955076262</v>
      </c>
      <c r="AH231" s="418" t="n">
        <f aca="false">IF(AND(L230&lt;L_rampe,Poussee&lt;Poids*SIN(M230)), g*SIN(M230), (-W230+Poussee)/m)</f>
        <v>-1.03326352515079</v>
      </c>
    </row>
    <row r="232" customFormat="false" ht="12" hidden="false" customHeight="false" outlineLevel="0" collapsed="false">
      <c r="A232" s="417" t="n">
        <f aca="false">IF(B231+0.01&lt;=T_ini+ROUNDUP(Temps_fin_propu,0), 0.01, IF(K231&gt;0, 0.1, 0.0001))</f>
        <v>0.1</v>
      </c>
      <c r="B232" s="418" t="n">
        <f aca="false">B231+pas</f>
        <v>4.8</v>
      </c>
      <c r="C232" s="402"/>
      <c r="D232" s="419" t="n">
        <f aca="false">IF(AND(L231&lt;L_rampe,Poussee&lt;Poids*SIN(M231)),0,(-W231+Poussee)/m*COS(M231)-U231/m*SIN(M231))</f>
        <v>-0.366057129972378</v>
      </c>
      <c r="E232" s="420" t="n">
        <f aca="false">IF(AND(L231&lt;L_rampe,Poussee&lt;Poids*SIN(M231)),0,(-W231+Poussee)/m*SIN(M231)+U231/m*COS(M231)-Poids/m)</f>
        <v>-10.7176700663195</v>
      </c>
      <c r="F232" s="418" t="n">
        <f aca="false">SQRT(acc_x^2+acc_z^2)</f>
        <v>10.7239195014176</v>
      </c>
      <c r="G232" s="419" t="n">
        <f aca="false">G231+acc_x*pas</f>
        <v>13.8601410227082</v>
      </c>
      <c r="H232" s="420" t="n">
        <f aca="false">H231+acc_z*pas</f>
        <v>33.3864090495887</v>
      </c>
      <c r="I232" s="418" t="n">
        <f aca="false">SQRT(vit_x^2+vit_z^2)</f>
        <v>36.1490776977203</v>
      </c>
      <c r="J232" s="419" t="n">
        <f aca="false">J231+0.5*(vit_x+G231)*pas*(K231&gt;=0)</f>
        <v>66.2669629469261</v>
      </c>
      <c r="K232" s="420" t="n">
        <f aca="false">K231+0.5*(vit_z+H231)*pas</f>
        <v>261.574549785476</v>
      </c>
      <c r="L232" s="418" t="n">
        <f aca="false">SQRT(pos_x^2+pos_z^2)</f>
        <v>269.838017102268</v>
      </c>
      <c r="M232" s="419" t="n">
        <f aca="false">IF(AND(L231&gt;L_rampe,G232&gt;0),ATAN2(G232,H232),$M$4)</f>
        <v>1.17730400211483</v>
      </c>
      <c r="N232" s="418" t="n">
        <f aca="false">DEGREES(Beta)</f>
        <v>67.4545505250405</v>
      </c>
      <c r="O232" s="402"/>
      <c r="P232" s="421" t="n">
        <f aca="false">MATCH(t-pas/2-T_ini,CdP_t)</f>
        <v>23</v>
      </c>
      <c r="Q232" s="418" t="n">
        <f aca="false">(INDEX(CdP,2,i_P+1)-INDEX(CdP,2,i_P+0))/(INDEX(CdP,1,i_P+1)-INDEX(CdP,1,i_P+0))*(t-pas/2-T_ini-INDEX(CdP,1,i_P+0))+INDEX(CdP,2,i_P+0)</f>
        <v>0</v>
      </c>
      <c r="R232" s="419" t="n">
        <f aca="false">Poussee/(g*ISP)</f>
        <v>0</v>
      </c>
      <c r="S232" s="420" t="n">
        <f aca="false">S231-Débit*pas</f>
        <v>1.4843</v>
      </c>
      <c r="T232" s="418" t="n">
        <f aca="false">m*g</f>
        <v>14.560983</v>
      </c>
      <c r="U232" s="422" t="n">
        <f aca="false">IF(pos_xz&lt;L_rampe,Poids*COS(Beta),0)</f>
        <v>0</v>
      </c>
      <c r="V232" s="419" t="n">
        <f aca="false">Rho_moyen*(20000-Alt_rampe-pos_z)/(20000+Alt_rampe+pos_z)</f>
        <v>1.19337078750224</v>
      </c>
      <c r="W232" s="418" t="n">
        <f aca="false">1/2*Rho*Sref*Cx*vit_xz^2</f>
        <v>1.37463877666881</v>
      </c>
      <c r="X232" s="402"/>
      <c r="Y232" s="423" t="str">
        <f aca="false">IF(AND(pos_z&lt;=0,K231&gt;0),"Impact balistique","") &amp; IF(AND(H233&lt;0,vit_z&gt;=0),"Apogée","") &amp; IF(AND(Poussee=0,Q231&gt;0),"Fin de propulsion","") &amp; IF(AND(L233&gt;L_rampe,pos_xz&lt;=L_rampe),"Sortie de rampe","")</f>
        <v/>
      </c>
      <c r="Z232" s="424" t="str">
        <f aca="false">IF(ABS(t-T_para)&lt;pas/2,"Para","")</f>
        <v/>
      </c>
      <c r="AA232" s="425" t="str">
        <f aca="false">IF(ABS(t-T_satellite)&lt;pas/2,"Satellite","")</f>
        <v/>
      </c>
      <c r="AB232" s="413"/>
      <c r="AC232" s="421" t="e">
        <f aca="false">IF(ABS(t-ROUND(t,0))&lt;0.001,t,NA())</f>
        <v>#N/A</v>
      </c>
      <c r="AD232" s="426" t="e">
        <f aca="false">IF(ABS(t-ROUND(t,0))&lt;0.001,pos_x,NA())</f>
        <v>#N/A</v>
      </c>
      <c r="AE232" s="427" t="n">
        <f aca="false">IF(t&lt;T_para, pos_z, NA())</f>
        <v>261.574549785476</v>
      </c>
      <c r="AF232" s="413"/>
      <c r="AG232" s="419" t="n">
        <f aca="false">IF(AND(L231&lt;L_rampe,Poussee&lt;Poids*SIN(M231)),0,(-W231+Poussee)/m-Poids*SIN(M231)/m)</f>
        <v>-10.0766929292331</v>
      </c>
      <c r="AH232" s="418" t="n">
        <f aca="false">IF(AND(L231&lt;L_rampe,Poussee&lt;Poids*SIN(M231)), g*SIN(M231), (-W231+Poussee)/m)</f>
        <v>-0.978704639662068</v>
      </c>
    </row>
    <row r="233" customFormat="false" ht="12" hidden="false" customHeight="false" outlineLevel="0" collapsed="false">
      <c r="A233" s="417" t="n">
        <f aca="false">IF(B232+0.01&lt;=T_ini+ROUNDUP(Temps_fin_propu,0), 0.01, IF(K232&gt;0, 0.1, 0.0001))</f>
        <v>0.1</v>
      </c>
      <c r="B233" s="418" t="n">
        <f aca="false">B232+pas</f>
        <v>4.9</v>
      </c>
      <c r="C233" s="402"/>
      <c r="D233" s="419" t="n">
        <f aca="false">IF(AND(L232&lt;L_rampe,Poussee&lt;Poids*SIN(M232)),0,(-W232+Poussee)/m*COS(M232)-U232/m*SIN(M232))</f>
        <v>-0.35508909168875</v>
      </c>
      <c r="E233" s="420" t="n">
        <f aca="false">IF(AND(L232&lt;L_rampe,Poussee&lt;Poids*SIN(M232)),0,(-W232+Poussee)/m*SIN(M232)+U232/m*COS(M232)-Poids/m)</f>
        <v>-10.6653412006952</v>
      </c>
      <c r="F233" s="418" t="n">
        <f aca="false">SQRT(acc_x^2+acc_z^2)</f>
        <v>10.6712506853828</v>
      </c>
      <c r="G233" s="419" t="n">
        <f aca="false">G232+acc_x*pas</f>
        <v>13.8246321135393</v>
      </c>
      <c r="H233" s="420" t="n">
        <f aca="false">H232+acc_z*pas</f>
        <v>32.3198749295192</v>
      </c>
      <c r="I233" s="418" t="n">
        <f aca="false">SQRT(vit_x^2+vit_z^2)</f>
        <v>35.1524503916081</v>
      </c>
      <c r="J233" s="419" t="n">
        <f aca="false">J232+0.5*(vit_x+G232)*pas*(K232&gt;=0)</f>
        <v>67.6512016037385</v>
      </c>
      <c r="K233" s="420" t="n">
        <f aca="false">K232+0.5*(vit_z+H232)*pas</f>
        <v>264.859863984431</v>
      </c>
      <c r="L233" s="418" t="n">
        <f aca="false">SQRT(pos_x^2+pos_z^2)</f>
        <v>273.363188136737</v>
      </c>
      <c r="M233" s="419" t="n">
        <f aca="false">IF(AND(L232&gt;L_rampe,G233&gt;0),ATAN2(G233,H233),$M$4)</f>
        <v>1.16660379661129</v>
      </c>
      <c r="N233" s="418" t="n">
        <f aca="false">DEGREES(Beta)</f>
        <v>66.841473909765</v>
      </c>
      <c r="O233" s="402"/>
      <c r="P233" s="421" t="n">
        <f aca="false">MATCH(t-pas/2-T_ini,CdP_t)</f>
        <v>23</v>
      </c>
      <c r="Q233" s="418" t="n">
        <f aca="false">(INDEX(CdP,2,i_P+1)-INDEX(CdP,2,i_P+0))/(INDEX(CdP,1,i_P+1)-INDEX(CdP,1,i_P+0))*(t-pas/2-T_ini-INDEX(CdP,1,i_P+0))+INDEX(CdP,2,i_P+0)</f>
        <v>0</v>
      </c>
      <c r="R233" s="419" t="n">
        <f aca="false">Poussee/(g*ISP)</f>
        <v>0</v>
      </c>
      <c r="S233" s="420" t="n">
        <f aca="false">S232-Débit*pas</f>
        <v>1.4843</v>
      </c>
      <c r="T233" s="418" t="n">
        <f aca="false">m*g</f>
        <v>14.560983</v>
      </c>
      <c r="U233" s="422" t="n">
        <f aca="false">IF(pos_xz&lt;L_rampe,Poids*COS(Beta),0)</f>
        <v>0</v>
      </c>
      <c r="V233" s="419" t="n">
        <f aca="false">Rho_moyen*(20000-Alt_rampe-pos_z)/(20000+Alt_rampe+pos_z)</f>
        <v>1.19297872419956</v>
      </c>
      <c r="W233" s="418" t="n">
        <f aca="false">1/2*Rho*Sref*Cx*vit_xz^2</f>
        <v>1.29945921146179</v>
      </c>
      <c r="X233" s="402"/>
      <c r="Y233" s="423" t="str">
        <f aca="false">IF(AND(pos_z&lt;=0,K232&gt;0),"Impact balistique","") &amp; IF(AND(H234&lt;0,vit_z&gt;=0),"Apogée","") &amp; IF(AND(Poussee=0,Q232&gt;0),"Fin de propulsion","") &amp; IF(AND(L234&gt;L_rampe,pos_xz&lt;=L_rampe),"Sortie de rampe","")</f>
        <v/>
      </c>
      <c r="Z233" s="424" t="str">
        <f aca="false">IF(ABS(t-T_para)&lt;pas/2,"Para","")</f>
        <v/>
      </c>
      <c r="AA233" s="425" t="str">
        <f aca="false">IF(ABS(t-T_satellite)&lt;pas/2,"Satellite","")</f>
        <v/>
      </c>
      <c r="AB233" s="413"/>
      <c r="AC233" s="421" t="e">
        <f aca="false">IF(ABS(t-ROUND(t,0))&lt;0.001,t,NA())</f>
        <v>#N/A</v>
      </c>
      <c r="AD233" s="426" t="e">
        <f aca="false">IF(ABS(t-ROUND(t,0))&lt;0.001,pos_x,NA())</f>
        <v>#N/A</v>
      </c>
      <c r="AE233" s="427" t="n">
        <f aca="false">IF(t&lt;T_para, pos_z, NA())</f>
        <v>264.859863984431</v>
      </c>
      <c r="AF233" s="413"/>
      <c r="AG233" s="419" t="n">
        <f aca="false">IF(AND(L232&lt;L_rampe,Poussee&lt;Poids*SIN(M232)),0,(-W232+Poussee)/m-Poids*SIN(M232)/m)</f>
        <v>-9.98639666231479</v>
      </c>
      <c r="AH233" s="418" t="n">
        <f aca="false">IF(AND(L232&lt;L_rampe,Poussee&lt;Poids*SIN(M232)), g*SIN(M232), (-W232+Poussee)/m)</f>
        <v>-0.926119232411781</v>
      </c>
    </row>
    <row r="234" customFormat="false" ht="12" hidden="false" customHeight="false" outlineLevel="0" collapsed="false">
      <c r="A234" s="417" t="n">
        <f aca="false">IF(B233+0.01&lt;=T_ini+ROUNDUP(Temps_fin_propu,0), 0.01, IF(K233&gt;0, 0.1, 0.0001))</f>
        <v>0.1</v>
      </c>
      <c r="B234" s="418" t="n">
        <f aca="false">B233+pas</f>
        <v>5</v>
      </c>
      <c r="C234" s="402"/>
      <c r="D234" s="419" t="n">
        <f aca="false">IF(AND(L233&lt;L_rampe,Poussee&lt;Poids*SIN(M233)),0,(-W233+Poussee)/m*COS(M233)-U233/m*SIN(M233))</f>
        <v>-0.344301522945194</v>
      </c>
      <c r="E234" s="420" t="n">
        <f aca="false">IF(AND(L233&lt;L_rampe,Poussee&lt;Poids*SIN(M233)),0,(-W233+Poussee)/m*SIN(M233)+U233/m*COS(M233)-Poids/m)</f>
        <v>-10.6149242879117</v>
      </c>
      <c r="F234" s="418" t="n">
        <f aca="false">SQRT(acc_x^2+acc_z^2)</f>
        <v>10.6205066346573</v>
      </c>
      <c r="G234" s="419" t="n">
        <f aca="false">G233+acc_x*pas</f>
        <v>13.7902019612448</v>
      </c>
      <c r="H234" s="420" t="n">
        <f aca="false">H233+acc_z*pas</f>
        <v>31.2583825007281</v>
      </c>
      <c r="I234" s="418" t="n">
        <f aca="false">SQRT(vit_x^2+vit_z^2)</f>
        <v>34.1651305674915</v>
      </c>
      <c r="J234" s="419" t="n">
        <f aca="false">J233+0.5*(vit_x+G233)*pas*(K233&gt;=0)</f>
        <v>69.0319433074777</v>
      </c>
      <c r="K234" s="420" t="n">
        <f aca="false">K233+0.5*(vit_z+H233)*pas</f>
        <v>268.038776855943</v>
      </c>
      <c r="L234" s="418" t="n">
        <f aca="false">SQRT(pos_x^2+pos_z^2)</f>
        <v>276.785467637369</v>
      </c>
      <c r="M234" s="419" t="n">
        <f aca="false">IF(AND(L233&gt;L_rampe,G234&gt;0),ATAN2(G234,H234),$M$4)</f>
        <v>1.15531121774976</v>
      </c>
      <c r="N234" s="418" t="n">
        <f aca="false">DEGREES(Beta)</f>
        <v>66.1944568011811</v>
      </c>
      <c r="O234" s="402"/>
      <c r="P234" s="421" t="n">
        <f aca="false">MATCH(t-pas/2-T_ini,CdP_t)</f>
        <v>23</v>
      </c>
      <c r="Q234" s="418" t="n">
        <f aca="false">(INDEX(CdP,2,i_P+1)-INDEX(CdP,2,i_P+0))/(INDEX(CdP,1,i_P+1)-INDEX(CdP,1,i_P+0))*(t-pas/2-T_ini-INDEX(CdP,1,i_P+0))+INDEX(CdP,2,i_P+0)</f>
        <v>0</v>
      </c>
      <c r="R234" s="419" t="n">
        <f aca="false">Poussee/(g*ISP)</f>
        <v>0</v>
      </c>
      <c r="S234" s="420" t="n">
        <f aca="false">S233-Débit*pas</f>
        <v>1.4843</v>
      </c>
      <c r="T234" s="418" t="n">
        <f aca="false">m*g</f>
        <v>14.560983</v>
      </c>
      <c r="U234" s="422" t="n">
        <f aca="false">IF(pos_xz&lt;L_rampe,Poids*COS(Beta),0)</f>
        <v>0</v>
      </c>
      <c r="V234" s="419" t="n">
        <f aca="false">Rho_moyen*(20000-Alt_rampe-pos_z)/(20000+Alt_rampe+pos_z)</f>
        <v>1.19259947962765</v>
      </c>
      <c r="W234" s="418" t="n">
        <f aca="false">1/2*Rho*Sref*Cx*vit_xz^2</f>
        <v>1.22709879783319</v>
      </c>
      <c r="X234" s="402"/>
      <c r="Y234" s="423" t="str">
        <f aca="false">IF(AND(pos_z&lt;=0,K233&gt;0),"Impact balistique","") &amp; IF(AND(H235&lt;0,vit_z&gt;=0),"Apogée","") &amp; IF(AND(Poussee=0,Q233&gt;0),"Fin de propulsion","") &amp; IF(AND(L235&gt;L_rampe,pos_xz&lt;=L_rampe),"Sortie de rampe","")</f>
        <v/>
      </c>
      <c r="Z234" s="424" t="str">
        <f aca="false">IF(ABS(t-T_para)&lt;pas/2,"Para","")</f>
        <v/>
      </c>
      <c r="AA234" s="425" t="str">
        <f aca="false">IF(ABS(t-T_satellite)&lt;pas/2,"Satellite","")</f>
        <v/>
      </c>
      <c r="AB234" s="413"/>
      <c r="AC234" s="421" t="n">
        <f aca="false">IF(ABS(t-ROUND(t,0))&lt;0.001,t,NA())</f>
        <v>5</v>
      </c>
      <c r="AD234" s="426" t="n">
        <f aca="false">IF(ABS(t-ROUND(t,0))&lt;0.001,pos_x,NA())</f>
        <v>69.0319433074777</v>
      </c>
      <c r="AE234" s="427" t="n">
        <f aca="false">IF(t&lt;T_para, pos_z, NA())</f>
        <v>268.038776855943</v>
      </c>
      <c r="AF234" s="413"/>
      <c r="AG234" s="419" t="n">
        <f aca="false">IF(AND(L233&lt;L_rampe,Poussee&lt;Poids*SIN(M233)),0,(-W233+Poussee)/m-Poids*SIN(M233)/m)</f>
        <v>-9.89498209619856</v>
      </c>
      <c r="AH234" s="418" t="n">
        <f aca="false">IF(AND(L233&lt;L_rampe,Poussee&lt;Poids*SIN(M233)), g*SIN(M233), (-W233+Poussee)/m)</f>
        <v>-0.875469387227511</v>
      </c>
    </row>
    <row r="235" customFormat="false" ht="12" hidden="false" customHeight="false" outlineLevel="0" collapsed="false">
      <c r="A235" s="417" t="n">
        <f aca="false">IF(B234+0.01&lt;=T_ini+ROUNDUP(Temps_fin_propu,0), 0.01, IF(K234&gt;0, 0.1, 0.0001))</f>
        <v>0.1</v>
      </c>
      <c r="B235" s="418" t="n">
        <f aca="false">B234+pas</f>
        <v>5.1</v>
      </c>
      <c r="C235" s="402"/>
      <c r="D235" s="419" t="n">
        <f aca="false">IF(AND(L234&lt;L_rampe,Poussee&lt;Poids*SIN(M234)),0,(-W234+Poussee)/m*COS(M234)-U234/m*SIN(M234))</f>
        <v>-0.333691685026708</v>
      </c>
      <c r="E235" s="420" t="n">
        <f aca="false">IF(AND(L234&lt;L_rampe,Poussee&lt;Poids*SIN(M234)),0,(-W234+Poussee)/m*SIN(M234)+U234/m*COS(M234)-Poids/m)</f>
        <v>-10.5663821296592</v>
      </c>
      <c r="F235" s="418" t="n">
        <f aca="false">SQRT(acc_x^2+acc_z^2)</f>
        <v>10.5716498925493</v>
      </c>
      <c r="G235" s="419" t="n">
        <f aca="false">G234+acc_x*pas</f>
        <v>13.7568327927422</v>
      </c>
      <c r="H235" s="420" t="n">
        <f aca="false">H234+acc_z*pas</f>
        <v>30.2017442877621</v>
      </c>
      <c r="I235" s="418" t="n">
        <f aca="false">SQRT(vit_x^2+vit_z^2)</f>
        <v>33.1872838073687</v>
      </c>
      <c r="J235" s="419" t="n">
        <f aca="false">J234+0.5*(vit_x+G234)*pas*(K234&gt;=0)</f>
        <v>70.4092950451771</v>
      </c>
      <c r="K235" s="420" t="n">
        <f aca="false">K234+0.5*(vit_z+H234)*pas</f>
        <v>271.111783195368</v>
      </c>
      <c r="L235" s="418" t="n">
        <f aca="false">SQRT(pos_x^2+pos_z^2)</f>
        <v>280.105458383322</v>
      </c>
      <c r="M235" s="419" t="n">
        <f aca="false">IF(AND(L234&gt;L_rampe,G235&gt;0),ATAN2(G235,H235),$M$4)</f>
        <v>1.14337971503652</v>
      </c>
      <c r="N235" s="418" t="n">
        <f aca="false">DEGREES(Beta)</f>
        <v>65.5108320524634</v>
      </c>
      <c r="O235" s="402"/>
      <c r="P235" s="421" t="n">
        <f aca="false">MATCH(t-pas/2-T_ini,CdP_t)</f>
        <v>23</v>
      </c>
      <c r="Q235" s="418" t="n">
        <f aca="false">(INDEX(CdP,2,i_P+1)-INDEX(CdP,2,i_P+0))/(INDEX(CdP,1,i_P+1)-INDEX(CdP,1,i_P+0))*(t-pas/2-T_ini-INDEX(CdP,1,i_P+0))+INDEX(CdP,2,i_P+0)</f>
        <v>0</v>
      </c>
      <c r="R235" s="419" t="n">
        <f aca="false">Poussee/(g*ISP)</f>
        <v>0</v>
      </c>
      <c r="S235" s="420" t="n">
        <f aca="false">S234-Débit*pas</f>
        <v>1.4843</v>
      </c>
      <c r="T235" s="418" t="n">
        <f aca="false">m*g</f>
        <v>14.560983</v>
      </c>
      <c r="U235" s="422" t="n">
        <f aca="false">IF(pos_xz&lt;L_rampe,Poids*COS(Beta),0)</f>
        <v>0</v>
      </c>
      <c r="V235" s="419" t="n">
        <f aca="false">Rho_moyen*(20000-Alt_rampe-pos_z)/(20000+Alt_rampe+pos_z)</f>
        <v>1.19223298278197</v>
      </c>
      <c r="W235" s="418" t="n">
        <f aca="false">1/2*Rho*Sref*Cx*vit_xz^2</f>
        <v>1.15750612142192</v>
      </c>
      <c r="X235" s="402"/>
      <c r="Y235" s="423" t="str">
        <f aca="false">IF(AND(pos_z&lt;=0,K234&gt;0),"Impact balistique","") &amp; IF(AND(H236&lt;0,vit_z&gt;=0),"Apogée","") &amp; IF(AND(Poussee=0,Q234&gt;0),"Fin de propulsion","") &amp; IF(AND(L236&gt;L_rampe,pos_xz&lt;=L_rampe),"Sortie de rampe","")</f>
        <v/>
      </c>
      <c r="Z235" s="424" t="str">
        <f aca="false">IF(ABS(t-T_para)&lt;pas/2,"Para","")</f>
        <v/>
      </c>
      <c r="AA235" s="425" t="str">
        <f aca="false">IF(ABS(t-T_satellite)&lt;pas/2,"Satellite","")</f>
        <v/>
      </c>
      <c r="AB235" s="413"/>
      <c r="AC235" s="421" t="e">
        <f aca="false">IF(ABS(t-ROUND(t,0))&lt;0.001,t,NA())</f>
        <v>#N/A</v>
      </c>
      <c r="AD235" s="426" t="e">
        <f aca="false">IF(ABS(t-ROUND(t,0))&lt;0.001,pos_x,NA())</f>
        <v>#N/A</v>
      </c>
      <c r="AE235" s="427" t="n">
        <f aca="false">IF(t&lt;T_para, pos_z, NA())</f>
        <v>271.111783195368</v>
      </c>
      <c r="AF235" s="413"/>
      <c r="AG235" s="419" t="n">
        <f aca="false">IF(AND(L234&lt;L_rampe,Poussee&lt;Poids*SIN(M234)),0,(-W234+Poussee)/m-Poids*SIN(M234)/m)</f>
        <v>-9.8020901552094</v>
      </c>
      <c r="AH235" s="418" t="n">
        <f aca="false">IF(AND(L234&lt;L_rampe,Poussee&lt;Poids*SIN(M234)), g*SIN(M234), (-W234+Poussee)/m)</f>
        <v>-0.82671885591403</v>
      </c>
    </row>
    <row r="236" customFormat="false" ht="12" hidden="false" customHeight="false" outlineLevel="0" collapsed="false">
      <c r="A236" s="417" t="n">
        <f aca="false">IF(B235+0.01&lt;=T_ini+ROUNDUP(Temps_fin_propu,0), 0.01, IF(K235&gt;0, 0.1, 0.0001))</f>
        <v>0.1</v>
      </c>
      <c r="B236" s="418" t="n">
        <f aca="false">B235+pas</f>
        <v>5.2</v>
      </c>
      <c r="C236" s="402"/>
      <c r="D236" s="419" t="n">
        <f aca="false">IF(AND(L235&lt;L_rampe,Poussee&lt;Poids*SIN(M235)),0,(-W235+Poussee)/m*COS(M235)-U235/m*SIN(M235))</f>
        <v>-0.323257312803936</v>
      </c>
      <c r="E236" s="420" t="n">
        <f aca="false">IF(AND(L235&lt;L_rampe,Poussee&lt;Poids*SIN(M235)),0,(-W235+Poussee)/m*SIN(M235)+U235/m*COS(M235)-Poids/m)</f>
        <v>-10.5196789535455</v>
      </c>
      <c r="F236" s="418" t="n">
        <f aca="false">SQRT(acc_x^2+acc_z^2)</f>
        <v>10.5246444394074</v>
      </c>
      <c r="G236" s="419" t="n">
        <f aca="false">G235+acc_x*pas</f>
        <v>13.7245070614618</v>
      </c>
      <c r="H236" s="420" t="n">
        <f aca="false">H235+acc_z*pas</f>
        <v>29.1497763924076</v>
      </c>
      <c r="I236" s="418" t="n">
        <f aca="false">SQRT(vit_x^2+vit_z^2)</f>
        <v>32.219117893069</v>
      </c>
      <c r="J236" s="419" t="n">
        <f aca="false">J235+0.5*(vit_x+G235)*pas*(K235&gt;=0)</f>
        <v>71.7833620378873</v>
      </c>
      <c r="K236" s="420" t="n">
        <f aca="false">K235+0.5*(vit_z+H235)*pas</f>
        <v>274.079359229376</v>
      </c>
      <c r="L236" s="418" t="n">
        <f aca="false">SQRT(pos_x^2+pos_z^2)</f>
        <v>283.323748071086</v>
      </c>
      <c r="M236" s="419" t="n">
        <f aca="false">IF(AND(L235&gt;L_rampe,G236&gt;0),ATAN2(G236,H236),$M$4)</f>
        <v>1.13075813743911</v>
      </c>
      <c r="N236" s="418" t="n">
        <f aca="false">DEGREES(Beta)</f>
        <v>64.7876689253348</v>
      </c>
      <c r="O236" s="402"/>
      <c r="P236" s="421" t="n">
        <f aca="false">MATCH(t-pas/2-T_ini,CdP_t)</f>
        <v>23</v>
      </c>
      <c r="Q236" s="418" t="n">
        <f aca="false">(INDEX(CdP,2,i_P+1)-INDEX(CdP,2,i_P+0))/(INDEX(CdP,1,i_P+1)-INDEX(CdP,1,i_P+0))*(t-pas/2-T_ini-INDEX(CdP,1,i_P+0))+INDEX(CdP,2,i_P+0)</f>
        <v>0</v>
      </c>
      <c r="R236" s="419" t="n">
        <f aca="false">Poussee/(g*ISP)</f>
        <v>0</v>
      </c>
      <c r="S236" s="420" t="n">
        <f aca="false">S235-Débit*pas</f>
        <v>1.4843</v>
      </c>
      <c r="T236" s="418" t="n">
        <f aca="false">m*g</f>
        <v>14.560983</v>
      </c>
      <c r="U236" s="422" t="n">
        <f aca="false">IF(pos_xz&lt;L_rampe,Poids*COS(Beta),0)</f>
        <v>0</v>
      </c>
      <c r="V236" s="419" t="n">
        <f aca="false">Rho_moyen*(20000-Alt_rampe-pos_z)/(20000+Alt_rampe+pos_z)</f>
        <v>1.19187916535128</v>
      </c>
      <c r="W236" s="418" t="n">
        <f aca="false">1/2*Rho*Sref*Cx*vit_xz^2</f>
        <v>1.09063207425415</v>
      </c>
      <c r="X236" s="402"/>
      <c r="Y236" s="423" t="str">
        <f aca="false">IF(AND(pos_z&lt;=0,K235&gt;0),"Impact balistique","") &amp; IF(AND(H237&lt;0,vit_z&gt;=0),"Apogée","") &amp; IF(AND(Poussee=0,Q235&gt;0),"Fin de propulsion","") &amp; IF(AND(L237&gt;L_rampe,pos_xz&lt;=L_rampe),"Sortie de rampe","")</f>
        <v/>
      </c>
      <c r="Z236" s="424" t="str">
        <f aca="false">IF(ABS(t-T_para)&lt;pas/2,"Para","")</f>
        <v/>
      </c>
      <c r="AA236" s="425" t="str">
        <f aca="false">IF(ABS(t-T_satellite)&lt;pas/2,"Satellite","")</f>
        <v/>
      </c>
      <c r="AB236" s="413"/>
      <c r="AC236" s="421" t="e">
        <f aca="false">IF(ABS(t-ROUND(t,0))&lt;0.001,t,NA())</f>
        <v>#N/A</v>
      </c>
      <c r="AD236" s="426" t="e">
        <f aca="false">IF(ABS(t-ROUND(t,0))&lt;0.001,pos_x,NA())</f>
        <v>#N/A</v>
      </c>
      <c r="AE236" s="427" t="n">
        <f aca="false">IF(t&lt;T_para, pos_z, NA())</f>
        <v>274.079359229376</v>
      </c>
      <c r="AF236" s="413"/>
      <c r="AG236" s="419" t="n">
        <f aca="false">IF(AND(L235&lt;L_rampe,Poussee&lt;Poids*SIN(M235)),0,(-W235+Poussee)/m-Poids*SIN(M235)/m)</f>
        <v>-9.70732200970537</v>
      </c>
      <c r="AH236" s="418" t="n">
        <f aca="false">IF(AND(L235&lt;L_rampe,Poussee&lt;Poids*SIN(M235)), g*SIN(M235), (-W235+Poussee)/m)</f>
        <v>-0.779832999677913</v>
      </c>
    </row>
    <row r="237" customFormat="false" ht="12" hidden="false" customHeight="false" outlineLevel="0" collapsed="false">
      <c r="A237" s="417" t="n">
        <f aca="false">IF(B236+0.01&lt;=T_ini+ROUNDUP(Temps_fin_propu,0), 0.01, IF(K236&gt;0, 0.1, 0.0001))</f>
        <v>0.1</v>
      </c>
      <c r="B237" s="418" t="n">
        <f aca="false">B236+pas</f>
        <v>5.3</v>
      </c>
      <c r="C237" s="402"/>
      <c r="D237" s="419" t="n">
        <f aca="false">IF(AND(L236&lt;L_rampe,Poussee&lt;Poids*SIN(M236)),0,(-W236+Poussee)/m*COS(M236)-U236/m*SIN(M236))</f>
        <v>-0.312996648484055</v>
      </c>
      <c r="E237" s="420" t="n">
        <f aca="false">IF(AND(L236&lt;L_rampe,Poussee&lt;Poids*SIN(M236)),0,(-W236+Poussee)/m*SIN(M236)+U236/m*COS(M236)-Poids/m)</f>
        <v>-10.4747803286504</v>
      </c>
      <c r="F237" s="418" t="n">
        <f aca="false">SQRT(acc_x^2+acc_z^2)</f>
        <v>10.4794556077806</v>
      </c>
      <c r="G237" s="419" t="n">
        <f aca="false">G236+acc_x*pas</f>
        <v>13.6932073966134</v>
      </c>
      <c r="H237" s="420" t="n">
        <f aca="false">H236+acc_z*pas</f>
        <v>28.1022983595425</v>
      </c>
      <c r="I237" s="418" t="n">
        <f aca="false">SQRT(vit_x^2+vit_z^2)</f>
        <v>31.2608877336427</v>
      </c>
      <c r="J237" s="419" t="n">
        <f aca="false">J236+0.5*(vit_x+G236)*pas*(K236&gt;=0)</f>
        <v>73.154247760791</v>
      </c>
      <c r="K237" s="420" t="n">
        <f aca="false">K236+0.5*(vit_z+H236)*pas</f>
        <v>276.941962966974</v>
      </c>
      <c r="L237" s="418" t="n">
        <f aca="false">SQRT(pos_x^2+pos_z^2)</f>
        <v>286.440909818147</v>
      </c>
      <c r="M237" s="419" t="n">
        <f aca="false">IF(AND(L236&gt;L_rampe,G237&gt;0),ATAN2(G237,H237),$M$4)</f>
        <v>1.11739022031208</v>
      </c>
      <c r="N237" s="418" t="n">
        <f aca="false">DEGREES(Beta)</f>
        <v>64.0217436930756</v>
      </c>
      <c r="O237" s="402"/>
      <c r="P237" s="421" t="n">
        <f aca="false">MATCH(t-pas/2-T_ini,CdP_t)</f>
        <v>23</v>
      </c>
      <c r="Q237" s="418" t="n">
        <f aca="false">(INDEX(CdP,2,i_P+1)-INDEX(CdP,2,i_P+0))/(INDEX(CdP,1,i_P+1)-INDEX(CdP,1,i_P+0))*(t-pas/2-T_ini-INDEX(CdP,1,i_P+0))+INDEX(CdP,2,i_P+0)</f>
        <v>0</v>
      </c>
      <c r="R237" s="419" t="n">
        <f aca="false">Poussee/(g*ISP)</f>
        <v>0</v>
      </c>
      <c r="S237" s="420" t="n">
        <f aca="false">S236-Débit*pas</f>
        <v>1.4843</v>
      </c>
      <c r="T237" s="418" t="n">
        <f aca="false">m*g</f>
        <v>14.560983</v>
      </c>
      <c r="U237" s="422" t="n">
        <f aca="false">IF(pos_xz&lt;L_rampe,Poids*COS(Beta),0)</f>
        <v>0</v>
      </c>
      <c r="V237" s="419" t="n">
        <f aca="false">Rho_moyen*(20000-Alt_rampe-pos_z)/(20000+Alt_rampe+pos_z)</f>
        <v>1.19153796166561</v>
      </c>
      <c r="W237" s="418" t="n">
        <f aca="false">1/2*Rho*Sref*Cx*vit_xz^2</f>
        <v>1.02642977653691</v>
      </c>
      <c r="X237" s="402"/>
      <c r="Y237" s="423" t="str">
        <f aca="false">IF(AND(pos_z&lt;=0,K236&gt;0),"Impact balistique","") &amp; IF(AND(H238&lt;0,vit_z&gt;=0),"Apogée","") &amp; IF(AND(Poussee=0,Q236&gt;0),"Fin de propulsion","") &amp; IF(AND(L238&gt;L_rampe,pos_xz&lt;=L_rampe),"Sortie de rampe","")</f>
        <v/>
      </c>
      <c r="Z237" s="424" t="str">
        <f aca="false">IF(ABS(t-T_para)&lt;pas/2,"Para","")</f>
        <v/>
      </c>
      <c r="AA237" s="425" t="str">
        <f aca="false">IF(ABS(t-T_satellite)&lt;pas/2,"Satellite","")</f>
        <v/>
      </c>
      <c r="AB237" s="413"/>
      <c r="AC237" s="421" t="e">
        <f aca="false">IF(ABS(t-ROUND(t,0))&lt;0.001,t,NA())</f>
        <v>#N/A</v>
      </c>
      <c r="AD237" s="426" t="e">
        <f aca="false">IF(ABS(t-ROUND(t,0))&lt;0.001,pos_x,NA())</f>
        <v>#N/A</v>
      </c>
      <c r="AE237" s="427" t="n">
        <f aca="false">IF(t&lt;T_para, pos_z, NA())</f>
        <v>276.941962966974</v>
      </c>
      <c r="AF237" s="413"/>
      <c r="AG237" s="419" t="n">
        <f aca="false">IF(AND(L236&lt;L_rampe,Poussee&lt;Poids*SIN(M236)),0,(-W236+Poussee)/m-Poids*SIN(M236)/m)</f>
        <v>-9.61023297036605</v>
      </c>
      <c r="AH237" s="418" t="n">
        <f aca="false">IF(AND(L236&lt;L_rampe,Poussee&lt;Poids*SIN(M236)), g*SIN(M236), (-W236+Poussee)/m)</f>
        <v>-0.734778733580916</v>
      </c>
    </row>
    <row r="238" customFormat="false" ht="12" hidden="false" customHeight="false" outlineLevel="0" collapsed="false">
      <c r="A238" s="417" t="n">
        <f aca="false">IF(B237+0.01&lt;=T_ini+ROUNDUP(Temps_fin_propu,0), 0.01, IF(K237&gt;0, 0.1, 0.0001))</f>
        <v>0.1</v>
      </c>
      <c r="B238" s="418" t="n">
        <f aca="false">B237+pas</f>
        <v>5.4</v>
      </c>
      <c r="C238" s="402"/>
      <c r="D238" s="419" t="n">
        <f aca="false">IF(AND(L237&lt;L_rampe,Poussee&lt;Poids*SIN(M237)),0,(-W237+Poussee)/m*COS(M237)-U237/m*SIN(M237))</f>
        <v>-0.30290848170904</v>
      </c>
      <c r="E238" s="420" t="n">
        <f aca="false">IF(AND(L237&lt;L_rampe,Poussee&lt;Poids*SIN(M237)),0,(-W237+Poussee)/m*SIN(M237)+U237/m*COS(M237)-Poids/m)</f>
        <v>-10.4316530782064</v>
      </c>
      <c r="F238" s="418" t="n">
        <f aca="false">SQRT(acc_x^2+acc_z^2)</f>
        <v>10.4360499947224</v>
      </c>
      <c r="G238" s="419" t="n">
        <f aca="false">G237+acc_x*pas</f>
        <v>13.6629165484424</v>
      </c>
      <c r="H238" s="420" t="n">
        <f aca="false">H237+acc_z*pas</f>
        <v>27.0591330517219</v>
      </c>
      <c r="I238" s="418" t="n">
        <f aca="false">SQRT(vit_x^2+vit_z^2)</f>
        <v>30.3129010508808</v>
      </c>
      <c r="J238" s="419" t="n">
        <f aca="false">J237+0.5*(vit_x+G237)*pas*(K237&gt;=0)</f>
        <v>74.5220539580438</v>
      </c>
      <c r="K238" s="420" t="n">
        <f aca="false">K237+0.5*(vit_z+H237)*pas</f>
        <v>279.700034537537</v>
      </c>
      <c r="L238" s="418" t="n">
        <f aca="false">SQRT(pos_x^2+pos_z^2)</f>
        <v>289.457502660451</v>
      </c>
      <c r="M238" s="419" t="n">
        <f aca="false">IF(AND(L237&gt;L_rampe,G238&gt;0),ATAN2(G238,H238),$M$4)</f>
        <v>1.10321401706464</v>
      </c>
      <c r="N238" s="418" t="n">
        <f aca="false">DEGREES(Beta)</f>
        <v>63.2095070774777</v>
      </c>
      <c r="O238" s="402"/>
      <c r="P238" s="421" t="n">
        <f aca="false">MATCH(t-pas/2-T_ini,CdP_t)</f>
        <v>23</v>
      </c>
      <c r="Q238" s="418" t="n">
        <f aca="false">(INDEX(CdP,2,i_P+1)-INDEX(CdP,2,i_P+0))/(INDEX(CdP,1,i_P+1)-INDEX(CdP,1,i_P+0))*(t-pas/2-T_ini-INDEX(CdP,1,i_P+0))+INDEX(CdP,2,i_P+0)</f>
        <v>0</v>
      </c>
      <c r="R238" s="419" t="n">
        <f aca="false">Poussee/(g*ISP)</f>
        <v>0</v>
      </c>
      <c r="S238" s="420" t="n">
        <f aca="false">S237-Débit*pas</f>
        <v>1.4843</v>
      </c>
      <c r="T238" s="418" t="n">
        <f aca="false">m*g</f>
        <v>14.560983</v>
      </c>
      <c r="U238" s="422" t="n">
        <f aca="false">IF(pos_xz&lt;L_rampe,Poids*COS(Beta),0)</f>
        <v>0</v>
      </c>
      <c r="V238" s="419" t="n">
        <f aca="false">Rho_moyen*(20000-Alt_rampe-pos_z)/(20000+Alt_rampe+pos_z)</f>
        <v>1.19120930864609</v>
      </c>
      <c r="W238" s="418" t="n">
        <f aca="false">1/2*Rho*Sref*Cx*vit_xz^2</f>
        <v>0.964854502449469</v>
      </c>
      <c r="X238" s="402"/>
      <c r="Y238" s="423" t="str">
        <f aca="false">IF(AND(pos_z&lt;=0,K237&gt;0),"Impact balistique","") &amp; IF(AND(H239&lt;0,vit_z&gt;=0),"Apogée","") &amp; IF(AND(Poussee=0,Q237&gt;0),"Fin de propulsion","") &amp; IF(AND(L239&gt;L_rampe,pos_xz&lt;=L_rampe),"Sortie de rampe","")</f>
        <v/>
      </c>
      <c r="Z238" s="424" t="str">
        <f aca="false">IF(ABS(t-T_para)&lt;pas/2,"Para","")</f>
        <v/>
      </c>
      <c r="AA238" s="425" t="str">
        <f aca="false">IF(ABS(t-T_satellite)&lt;pas/2,"Satellite","")</f>
        <v/>
      </c>
      <c r="AB238" s="413"/>
      <c r="AC238" s="421" t="e">
        <f aca="false">IF(ABS(t-ROUND(t,0))&lt;0.001,t,NA())</f>
        <v>#N/A</v>
      </c>
      <c r="AD238" s="426" t="e">
        <f aca="false">IF(ABS(t-ROUND(t,0))&lt;0.001,pos_x,NA())</f>
        <v>#N/A</v>
      </c>
      <c r="AE238" s="427" t="n">
        <f aca="false">IF(t&lt;T_para, pos_z, NA())</f>
        <v>279.700034537537</v>
      </c>
      <c r="AF238" s="413"/>
      <c r="AG238" s="419" t="n">
        <f aca="false">IF(AND(L237&lt;L_rampe,Poussee&lt;Poids*SIN(M237)),0,(-W237+Poussee)/m-Poids*SIN(M237)/m)</f>
        <v>-9.510325438688</v>
      </c>
      <c r="AH238" s="418" t="n">
        <f aca="false">IF(AND(L237&lt;L_rampe,Poussee&lt;Poids*SIN(M237)), g*SIN(M237), (-W237+Poussee)/m)</f>
        <v>-0.691524473850912</v>
      </c>
    </row>
    <row r="239" customFormat="false" ht="12" hidden="false" customHeight="false" outlineLevel="0" collapsed="false">
      <c r="A239" s="417" t="n">
        <f aca="false">IF(B238+0.01&lt;=T_ini+ROUNDUP(Temps_fin_propu,0), 0.01, IF(K238&gt;0, 0.1, 0.0001))</f>
        <v>0.1</v>
      </c>
      <c r="B239" s="418" t="n">
        <f aca="false">B238+pas</f>
        <v>5.5</v>
      </c>
      <c r="C239" s="402"/>
      <c r="D239" s="419" t="n">
        <f aca="false">IF(AND(L238&lt;L_rampe,Poussee&lt;Poids*SIN(M238)),0,(-W238+Poussee)/m*COS(M238)-U238/m*SIN(M238))</f>
        <v>-0.292992196920497</v>
      </c>
      <c r="E239" s="420" t="n">
        <f aca="false">IF(AND(L238&lt;L_rampe,Poussee&lt;Poids*SIN(M238)),0,(-W238+Poussee)/m*SIN(M238)+U238/m*COS(M238)-Poids/m)</f>
        <v>-10.3902651879984</v>
      </c>
      <c r="F239" s="418" t="n">
        <f aca="false">SQRT(acc_x^2+acc_z^2)</f>
        <v>10.3943953698321</v>
      </c>
      <c r="G239" s="419" t="n">
        <f aca="false">G238+acc_x*pas</f>
        <v>13.6336173287504</v>
      </c>
      <c r="H239" s="420" t="n">
        <f aca="false">H238+acc_z*pas</f>
        <v>26.0201065329221</v>
      </c>
      <c r="I239" s="418" t="n">
        <f aca="false">SQRT(vit_x^2+vit_z^2)</f>
        <v>29.3755249391635</v>
      </c>
      <c r="J239" s="419" t="n">
        <f aca="false">J238+0.5*(vit_x+G238)*pas*(K238&gt;=0)</f>
        <v>75.8868806519034</v>
      </c>
      <c r="K239" s="420" t="n">
        <f aca="false">K238+0.5*(vit_z+H238)*pas</f>
        <v>282.353996516769</v>
      </c>
      <c r="L239" s="418" t="n">
        <f aca="false">SQRT(pos_x^2+pos_z^2)</f>
        <v>292.374072044817</v>
      </c>
      <c r="M239" s="419" t="n">
        <f aca="false">IF(AND(L238&gt;L_rampe,G239&gt;0),ATAN2(G239,H239),$M$4)</f>
        <v>1.08816127270883</v>
      </c>
      <c r="N239" s="418" t="n">
        <f aca="false">DEGREES(Beta)</f>
        <v>62.3470483558002</v>
      </c>
      <c r="O239" s="402"/>
      <c r="P239" s="421" t="n">
        <f aca="false">MATCH(t-pas/2-T_ini,CdP_t)</f>
        <v>23</v>
      </c>
      <c r="Q239" s="418" t="n">
        <f aca="false">(INDEX(CdP,2,i_P+1)-INDEX(CdP,2,i_P+0))/(INDEX(CdP,1,i_P+1)-INDEX(CdP,1,i_P+0))*(t-pas/2-T_ini-INDEX(CdP,1,i_P+0))+INDEX(CdP,2,i_P+0)</f>
        <v>0</v>
      </c>
      <c r="R239" s="419" t="n">
        <f aca="false">Poussee/(g*ISP)</f>
        <v>0</v>
      </c>
      <c r="S239" s="420" t="n">
        <f aca="false">S238-Débit*pas</f>
        <v>1.4843</v>
      </c>
      <c r="T239" s="418" t="n">
        <f aca="false">m*g</f>
        <v>14.560983</v>
      </c>
      <c r="U239" s="422" t="n">
        <f aca="false">IF(pos_xz&lt;L_rampe,Poids*COS(Beta),0)</f>
        <v>0</v>
      </c>
      <c r="V239" s="419" t="n">
        <f aca="false">Rho_moyen*(20000-Alt_rampe-pos_z)/(20000+Alt_rampe+pos_z)</f>
        <v>1.1908931457569</v>
      </c>
      <c r="W239" s="418" t="n">
        <f aca="false">1/2*Rho*Sref*Cx*vit_xz^2</f>
        <v>0.905863609697395</v>
      </c>
      <c r="X239" s="402"/>
      <c r="Y239" s="423" t="str">
        <f aca="false">IF(AND(pos_z&lt;=0,K238&gt;0),"Impact balistique","") &amp; IF(AND(H240&lt;0,vit_z&gt;=0),"Apogée","") &amp; IF(AND(Poussee=0,Q238&gt;0),"Fin de propulsion","") &amp; IF(AND(L240&gt;L_rampe,pos_xz&lt;=L_rampe),"Sortie de rampe","")</f>
        <v/>
      </c>
      <c r="Z239" s="424" t="str">
        <f aca="false">IF(ABS(t-T_para)&lt;pas/2,"Para","")</f>
        <v/>
      </c>
      <c r="AA239" s="425" t="str">
        <f aca="false">IF(ABS(t-T_satellite)&lt;pas/2,"Satellite","")</f>
        <v/>
      </c>
      <c r="AB239" s="413"/>
      <c r="AC239" s="421" t="e">
        <f aca="false">IF(ABS(t-ROUND(t,0))&lt;0.001,t,NA())</f>
        <v>#N/A</v>
      </c>
      <c r="AD239" s="426" t="e">
        <f aca="false">IF(ABS(t-ROUND(t,0))&lt;0.001,pos_x,NA())</f>
        <v>#N/A</v>
      </c>
      <c r="AE239" s="427" t="n">
        <f aca="false">IF(t&lt;T_para, pos_z, NA())</f>
        <v>282.353996516769</v>
      </c>
      <c r="AF239" s="413"/>
      <c r="AG239" s="419" t="n">
        <f aca="false">IF(AND(L238&lt;L_rampe,Poussee&lt;Poids*SIN(M238)),0,(-W238+Poussee)/m-Poids*SIN(M238)/m)</f>
        <v>-9.40704077191272</v>
      </c>
      <c r="AH239" s="418" t="n">
        <f aca="false">IF(AND(L238&lt;L_rampe,Poussee&lt;Poids*SIN(M238)), g*SIN(M238), (-W238+Poussee)/m)</f>
        <v>-0.650040087886189</v>
      </c>
    </row>
    <row r="240" customFormat="false" ht="12" hidden="false" customHeight="false" outlineLevel="0" collapsed="false">
      <c r="A240" s="417" t="n">
        <f aca="false">IF(B239+0.01&lt;=T_ini+ROUNDUP(Temps_fin_propu,0), 0.01, IF(K239&gt;0, 0.1, 0.0001))</f>
        <v>0.1</v>
      </c>
      <c r="B240" s="418" t="n">
        <f aca="false">B239+pas</f>
        <v>5.6</v>
      </c>
      <c r="C240" s="402"/>
      <c r="D240" s="419" t="n">
        <f aca="false">IF(AND(L239&lt;L_rampe,Poussee&lt;Poids*SIN(M239)),0,(-W239+Poussee)/m*COS(M239)-U239/m*SIN(M239))</f>
        <v>-0.283247829047275</v>
      </c>
      <c r="E240" s="420" t="n">
        <f aca="false">IF(AND(L239&lt;L_rampe,Poussee&lt;Poids*SIN(M239)),0,(-W239+Poussee)/m*SIN(M239)+U239/m*COS(M239)-Poids/m)</f>
        <v>-10.3505857087896</v>
      </c>
      <c r="F240" s="418" t="n">
        <f aca="false">SQRT(acc_x^2+acc_z^2)</f>
        <v>10.3544605773386</v>
      </c>
      <c r="G240" s="419" t="n">
        <f aca="false">G239+acc_x*pas</f>
        <v>13.6052925458457</v>
      </c>
      <c r="H240" s="420" t="n">
        <f aca="false">H239+acc_z*pas</f>
        <v>24.9850479620431</v>
      </c>
      <c r="I240" s="418" t="n">
        <f aca="false">SQRT(vit_x^2+vit_z^2)</f>
        <v>28.4491934318644</v>
      </c>
      <c r="J240" s="419" t="n">
        <f aca="false">J239+0.5*(vit_x+G239)*pas*(K239&gt;=0)</f>
        <v>77.2488261456333</v>
      </c>
      <c r="K240" s="420" t="n">
        <f aca="false">K239+0.5*(vit_z+H239)*pas</f>
        <v>284.904254241518</v>
      </c>
      <c r="L240" s="418" t="n">
        <f aca="false">SQRT(pos_x^2+pos_z^2)</f>
        <v>295.191150317542</v>
      </c>
      <c r="M240" s="419" t="n">
        <f aca="false">IF(AND(L239&gt;L_rampe,G240&gt;0),ATAN2(G240,H240),$M$4)</f>
        <v>1.07215673796556</v>
      </c>
      <c r="N240" s="418" t="n">
        <f aca="false">DEGREES(Beta)</f>
        <v>61.4300560619403</v>
      </c>
      <c r="O240" s="402"/>
      <c r="P240" s="421" t="n">
        <f aca="false">MATCH(t-pas/2-T_ini,CdP_t)</f>
        <v>23</v>
      </c>
      <c r="Q240" s="418" t="n">
        <f aca="false">(INDEX(CdP,2,i_P+1)-INDEX(CdP,2,i_P+0))/(INDEX(CdP,1,i_P+1)-INDEX(CdP,1,i_P+0))*(t-pas/2-T_ini-INDEX(CdP,1,i_P+0))+INDEX(CdP,2,i_P+0)</f>
        <v>0</v>
      </c>
      <c r="R240" s="419" t="n">
        <f aca="false">Poussee/(g*ISP)</f>
        <v>0</v>
      </c>
      <c r="S240" s="420" t="n">
        <f aca="false">S239-Débit*pas</f>
        <v>1.4843</v>
      </c>
      <c r="T240" s="418" t="n">
        <f aca="false">m*g</f>
        <v>14.560983</v>
      </c>
      <c r="U240" s="422" t="n">
        <f aca="false">IF(pos_xz&lt;L_rampe,Poids*COS(Beta),0)</f>
        <v>0</v>
      </c>
      <c r="V240" s="419" t="n">
        <f aca="false">Rho_moyen*(20000-Alt_rampe-pos_z)/(20000+Alt_rampe+pos_z)</f>
        <v>1.19058941495887</v>
      </c>
      <c r="W240" s="418" t="n">
        <f aca="false">1/2*Rho*Sref*Cx*vit_xz^2</f>
        <v>0.849416472600545</v>
      </c>
      <c r="X240" s="402"/>
      <c r="Y240" s="423" t="str">
        <f aca="false">IF(AND(pos_z&lt;=0,K239&gt;0),"Impact balistique","") &amp; IF(AND(H241&lt;0,vit_z&gt;=0),"Apogée","") &amp; IF(AND(Poussee=0,Q239&gt;0),"Fin de propulsion","") &amp; IF(AND(L241&gt;L_rampe,pos_xz&lt;=L_rampe),"Sortie de rampe","")</f>
        <v/>
      </c>
      <c r="Z240" s="424" t="str">
        <f aca="false">IF(ABS(t-T_para)&lt;pas/2,"Para","")</f>
        <v/>
      </c>
      <c r="AA240" s="425" t="str">
        <f aca="false">IF(ABS(t-T_satellite)&lt;pas/2,"Satellite","")</f>
        <v/>
      </c>
      <c r="AB240" s="413"/>
      <c r="AC240" s="421" t="e">
        <f aca="false">IF(ABS(t-ROUND(t,0))&lt;0.001,t,NA())</f>
        <v>#N/A</v>
      </c>
      <c r="AD240" s="426" t="e">
        <f aca="false">IF(ABS(t-ROUND(t,0))&lt;0.001,pos_x,NA())</f>
        <v>#N/A</v>
      </c>
      <c r="AE240" s="427" t="n">
        <f aca="false">IF(t&lt;T_para, pos_z, NA())</f>
        <v>284.904254241518</v>
      </c>
      <c r="AF240" s="413"/>
      <c r="AG240" s="419" t="n">
        <f aca="false">IF(AND(L239&lt;L_rampe,Poussee&lt;Poids*SIN(M239)),0,(-W239+Poussee)/m-Poids*SIN(M239)/m)</f>
        <v>-9.29974990734772</v>
      </c>
      <c r="AH240" s="418" t="n">
        <f aca="false">IF(AND(L239&lt;L_rampe,Poussee&lt;Poids*SIN(M239)), g*SIN(M239), (-W239+Poussee)/m)</f>
        <v>-0.610296846794715</v>
      </c>
    </row>
    <row r="241" customFormat="false" ht="12" hidden="false" customHeight="false" outlineLevel="0" collapsed="false">
      <c r="A241" s="417" t="n">
        <f aca="false">IF(B240+0.01&lt;=T_ini+ROUNDUP(Temps_fin_propu,0), 0.01, IF(K240&gt;0, 0.1, 0.0001))</f>
        <v>0.1</v>
      </c>
      <c r="B241" s="418" t="n">
        <f aca="false">B240+pas</f>
        <v>5.7</v>
      </c>
      <c r="C241" s="402"/>
      <c r="D241" s="419" t="n">
        <f aca="false">IF(AND(L240&lt;L_rampe,Poussee&lt;Poids*SIN(M240)),0,(-W240+Poussee)/m*COS(M240)-U240/m*SIN(M240))</f>
        <v>-0.273676128719366</v>
      </c>
      <c r="E241" s="420" t="n">
        <f aca="false">IF(AND(L240&lt;L_rampe,Poussee&lt;Poids*SIN(M240)),0,(-W240+Poussee)/m*SIN(M240)+U240/m*COS(M240)-Poids/m)</f>
        <v>-10.3125846507216</v>
      </c>
      <c r="F241" s="418" t="n">
        <f aca="false">SQRT(acc_x^2+acc_z^2)</f>
        <v>10.3162154301726</v>
      </c>
      <c r="G241" s="419" t="n">
        <f aca="false">G240+acc_x*pas</f>
        <v>13.5779249329737</v>
      </c>
      <c r="H241" s="420" t="n">
        <f aca="false">H240+acc_z*pas</f>
        <v>23.9537894969709</v>
      </c>
      <c r="I241" s="418" t="n">
        <f aca="false">SQRT(vit_x^2+vit_z^2)</f>
        <v>27.5344162231681</v>
      </c>
      <c r="J241" s="419" t="n">
        <f aca="false">J240+0.5*(vit_x+G240)*pas*(K240&gt;=0)</f>
        <v>78.6079870195742</v>
      </c>
      <c r="K241" s="420" t="n">
        <f aca="false">K240+0.5*(vit_z+H240)*pas</f>
        <v>287.351196114468</v>
      </c>
      <c r="L241" s="418" t="n">
        <f aca="false">SQRT(pos_x^2+pos_z^2)</f>
        <v>297.909257210455</v>
      </c>
      <c r="M241" s="419" t="n">
        <f aca="false">IF(AND(L240&gt;L_rampe,G241&gt;0),ATAN2(G241,H241),$M$4)</f>
        <v>1.0551174251386</v>
      </c>
      <c r="N241" s="418" t="n">
        <f aca="false">DEGREES(Beta)</f>
        <v>60.4537753511522</v>
      </c>
      <c r="O241" s="402"/>
      <c r="P241" s="421" t="n">
        <f aca="false">MATCH(t-pas/2-T_ini,CdP_t)</f>
        <v>23</v>
      </c>
      <c r="Q241" s="418" t="n">
        <f aca="false">(INDEX(CdP,2,i_P+1)-INDEX(CdP,2,i_P+0))/(INDEX(CdP,1,i_P+1)-INDEX(CdP,1,i_P+0))*(t-pas/2-T_ini-INDEX(CdP,1,i_P+0))+INDEX(CdP,2,i_P+0)</f>
        <v>0</v>
      </c>
      <c r="R241" s="419" t="n">
        <f aca="false">Poussee/(g*ISP)</f>
        <v>0</v>
      </c>
      <c r="S241" s="420" t="n">
        <f aca="false">S240-Débit*pas</f>
        <v>1.4843</v>
      </c>
      <c r="T241" s="418" t="n">
        <f aca="false">m*g</f>
        <v>14.560983</v>
      </c>
      <c r="U241" s="422" t="n">
        <f aca="false">IF(pos_xz&lt;L_rampe,Poids*COS(Beta),0)</f>
        <v>0</v>
      </c>
      <c r="V241" s="419" t="n">
        <f aca="false">Rho_moyen*(20000-Alt_rampe-pos_z)/(20000+Alt_rampe+pos_z)</f>
        <v>1.19029806066475</v>
      </c>
      <c r="W241" s="418" t="n">
        <f aca="false">1/2*Rho*Sref*Cx*vit_xz^2</f>
        <v>0.795474418490624</v>
      </c>
      <c r="X241" s="402"/>
      <c r="Y241" s="423" t="str">
        <f aca="false">IF(AND(pos_z&lt;=0,K240&gt;0),"Impact balistique","") &amp; IF(AND(H242&lt;0,vit_z&gt;=0),"Apogée","") &amp; IF(AND(Poussee=0,Q240&gt;0),"Fin de propulsion","") &amp; IF(AND(L242&gt;L_rampe,pos_xz&lt;=L_rampe),"Sortie de rampe","")</f>
        <v/>
      </c>
      <c r="Z241" s="424" t="str">
        <f aca="false">IF(ABS(t-T_para)&lt;pas/2,"Para","")</f>
        <v/>
      </c>
      <c r="AA241" s="425" t="str">
        <f aca="false">IF(ABS(t-T_satellite)&lt;pas/2,"Satellite","")</f>
        <v/>
      </c>
      <c r="AB241" s="413"/>
      <c r="AC241" s="421" t="e">
        <f aca="false">IF(ABS(t-ROUND(t,0))&lt;0.001,t,NA())</f>
        <v>#N/A</v>
      </c>
      <c r="AD241" s="426" t="e">
        <f aca="false">IF(ABS(t-ROUND(t,0))&lt;0.001,pos_x,NA())</f>
        <v>#N/A</v>
      </c>
      <c r="AE241" s="427" t="n">
        <f aca="false">IF(t&lt;T_para, pos_z, NA())</f>
        <v>287.351196114468</v>
      </c>
      <c r="AF241" s="413"/>
      <c r="AG241" s="419" t="n">
        <f aca="false">IF(AND(L240&lt;L_rampe,Poussee&lt;Poids*SIN(M240)),0,(-W240+Poussee)/m-Poids*SIN(M240)/m)</f>
        <v>-9.18774258155906</v>
      </c>
      <c r="AH241" s="418" t="n">
        <f aca="false">IF(AND(L240&lt;L_rampe,Poussee&lt;Poids*SIN(M240)), g*SIN(M240), (-W240+Poussee)/m)</f>
        <v>-0.572267380314321</v>
      </c>
    </row>
    <row r="242" customFormat="false" ht="12" hidden="false" customHeight="false" outlineLevel="0" collapsed="false">
      <c r="A242" s="417" t="n">
        <f aca="false">IF(B241+0.01&lt;=T_ini+ROUNDUP(Temps_fin_propu,0), 0.01, IF(K241&gt;0, 0.1, 0.0001))</f>
        <v>0.1</v>
      </c>
      <c r="B242" s="418" t="n">
        <f aca="false">B241+pas</f>
        <v>5.8</v>
      </c>
      <c r="C242" s="402"/>
      <c r="D242" s="419" t="n">
        <f aca="false">IF(AND(L241&lt;L_rampe,Poussee&lt;Poids*SIN(M241)),0,(-W241+Poussee)/m*COS(M241)-U241/m*SIN(M241))</f>
        <v>-0.264278638363763</v>
      </c>
      <c r="E242" s="420" t="n">
        <f aca="false">IF(AND(L241&lt;L_rampe,Poussee&lt;Poids*SIN(M241)),0,(-W241+Poussee)/m*SIN(M241)+U241/m*COS(M241)-Poids/m)</f>
        <v>-10.2762328671842</v>
      </c>
      <c r="F242" s="418" t="n">
        <f aca="false">SQRT(acc_x^2+acc_z^2)</f>
        <v>10.2796305935229</v>
      </c>
      <c r="G242" s="419" t="n">
        <f aca="false">G241+acc_x*pas</f>
        <v>13.5514970691374</v>
      </c>
      <c r="H242" s="420" t="n">
        <f aca="false">H241+acc_z*pas</f>
        <v>22.9261662102525</v>
      </c>
      <c r="I242" s="418" t="n">
        <f aca="false">SQRT(vit_x^2+vit_z^2)</f>
        <v>26.631788710392</v>
      </c>
      <c r="J242" s="419" t="n">
        <f aca="false">J241+0.5*(vit_x+G241)*pas*(K241&gt;=0)</f>
        <v>79.9644581196798</v>
      </c>
      <c r="K242" s="420" t="n">
        <f aca="false">K241+0.5*(vit_z+H241)*pas</f>
        <v>289.695193899829</v>
      </c>
      <c r="L242" s="418" t="n">
        <f aca="false">SQRT(pos_x^2+pos_z^2)</f>
        <v>300.528900325799</v>
      </c>
      <c r="M242" s="419" t="n">
        <f aca="false">IF(AND(L241&gt;L_rampe,G242&gt;0),ATAN2(G242,H242),$M$4)</f>
        <v>1.03695181092872</v>
      </c>
      <c r="N242" s="418" t="n">
        <f aca="false">DEGREES(Beta)</f>
        <v>59.4129623246633</v>
      </c>
      <c r="O242" s="402"/>
      <c r="P242" s="421" t="n">
        <f aca="false">MATCH(t-pas/2-T_ini,CdP_t)</f>
        <v>23</v>
      </c>
      <c r="Q242" s="418" t="n">
        <f aca="false">(INDEX(CdP,2,i_P+1)-INDEX(CdP,2,i_P+0))/(INDEX(CdP,1,i_P+1)-INDEX(CdP,1,i_P+0))*(t-pas/2-T_ini-INDEX(CdP,1,i_P+0))+INDEX(CdP,2,i_P+0)</f>
        <v>0</v>
      </c>
      <c r="R242" s="419" t="n">
        <f aca="false">Poussee/(g*ISP)</f>
        <v>0</v>
      </c>
      <c r="S242" s="420" t="n">
        <f aca="false">S241-Débit*pas</f>
        <v>1.4843</v>
      </c>
      <c r="T242" s="418" t="n">
        <f aca="false">m*g</f>
        <v>14.560983</v>
      </c>
      <c r="U242" s="422" t="n">
        <f aca="false">IF(pos_xz&lt;L_rampe,Poids*COS(Beta),0)</f>
        <v>0</v>
      </c>
      <c r="V242" s="419" t="n">
        <f aca="false">Rho_moyen*(20000-Alt_rampe-pos_z)/(20000+Alt_rampe+pos_z)</f>
        <v>1.19001902969602</v>
      </c>
      <c r="W242" s="418" t="n">
        <f aca="false">1/2*Rho*Sref*Cx*vit_xz^2</f>
        <v>0.744000667195388</v>
      </c>
      <c r="X242" s="402"/>
      <c r="Y242" s="423" t="str">
        <f aca="false">IF(AND(pos_z&lt;=0,K241&gt;0),"Impact balistique","") &amp; IF(AND(H243&lt;0,vit_z&gt;=0),"Apogée","") &amp; IF(AND(Poussee=0,Q241&gt;0),"Fin de propulsion","") &amp; IF(AND(L243&gt;L_rampe,pos_xz&lt;=L_rampe),"Sortie de rampe","")</f>
        <v/>
      </c>
      <c r="Z242" s="424" t="str">
        <f aca="false">IF(ABS(t-T_para)&lt;pas/2,"Para","")</f>
        <v/>
      </c>
      <c r="AA242" s="425" t="str">
        <f aca="false">IF(ABS(t-T_satellite)&lt;pas/2,"Satellite","")</f>
        <v/>
      </c>
      <c r="AB242" s="413"/>
      <c r="AC242" s="421" t="e">
        <f aca="false">IF(ABS(t-ROUND(t,0))&lt;0.001,t,NA())</f>
        <v>#N/A</v>
      </c>
      <c r="AD242" s="426" t="e">
        <f aca="false">IF(ABS(t-ROUND(t,0))&lt;0.001,pos_x,NA())</f>
        <v>#N/A</v>
      </c>
      <c r="AE242" s="427" t="n">
        <f aca="false">IF(t&lt;T_para, pos_z, NA())</f>
        <v>289.695193899829</v>
      </c>
      <c r="AF242" s="413"/>
      <c r="AG242" s="419" t="n">
        <f aca="false">IF(AND(L241&lt;L_rampe,Poussee&lt;Poids*SIN(M241)),0,(-W241+Poussee)/m-Poids*SIN(M241)/m)</f>
        <v>-9.07021497791318</v>
      </c>
      <c r="AH242" s="418" t="n">
        <f aca="false">IF(AND(L241&lt;L_rampe,Poussee&lt;Poids*SIN(M241)), g*SIN(M241), (-W241+Poussee)/m)</f>
        <v>-0.535925633962558</v>
      </c>
    </row>
    <row r="243" customFormat="false" ht="12" hidden="false" customHeight="false" outlineLevel="0" collapsed="false">
      <c r="A243" s="417" t="n">
        <f aca="false">IF(B242+0.01&lt;=T_ini+ROUNDUP(Temps_fin_propu,0), 0.01, IF(K242&gt;0, 0.1, 0.0001))</f>
        <v>0.1</v>
      </c>
      <c r="B243" s="418" t="n">
        <f aca="false">B242+pas</f>
        <v>5.9</v>
      </c>
      <c r="C243" s="402"/>
      <c r="D243" s="419" t="n">
        <f aca="false">IF(AND(L242&lt;L_rampe,Poussee&lt;Poids*SIN(M242)),0,(-W242+Poussee)/m*COS(M242)-U242/m*SIN(M242))</f>
        <v>-0.255057780685682</v>
      </c>
      <c r="E243" s="420" t="n">
        <f aca="false">IF(AND(L242&lt;L_rampe,Poussee&lt;Poids*SIN(M242)),0,(-W242+Poussee)/m*SIN(M242)+U242/m*COS(M242)-Poids/m)</f>
        <v>-10.2415019250925</v>
      </c>
      <c r="F243" s="418" t="n">
        <f aca="false">SQRT(acc_x^2+acc_z^2)</f>
        <v>10.2446774548134</v>
      </c>
      <c r="G243" s="419" t="n">
        <f aca="false">G242+acc_x*pas</f>
        <v>13.5259912910688</v>
      </c>
      <c r="H243" s="420" t="n">
        <f aca="false">H242+acc_z*pas</f>
        <v>21.9020160177433</v>
      </c>
      <c r="I243" s="418" t="n">
        <f aca="false">SQRT(vit_x^2+vit_z^2)</f>
        <v>25.7420035360022</v>
      </c>
      <c r="J243" s="419" t="n">
        <f aca="false">J242+0.5*(vit_x+G242)*pas*(K242&gt;=0)</f>
        <v>81.3183325376901</v>
      </c>
      <c r="K243" s="420" t="n">
        <f aca="false">K242+0.5*(vit_z+H242)*pas</f>
        <v>291.936603011229</v>
      </c>
      <c r="L243" s="418" t="n">
        <f aca="false">SQRT(pos_x^2+pos_z^2)</f>
        <v>303.050575621374</v>
      </c>
      <c r="M243" s="419" t="n">
        <f aca="false">IF(AND(L242&gt;L_rampe,G243&gt;0),ATAN2(G243,H243),$M$4)</f>
        <v>1.01755899734861</v>
      </c>
      <c r="N243" s="418" t="n">
        <f aca="false">DEGREES(Beta)</f>
        <v>58.3018359536391</v>
      </c>
      <c r="O243" s="402"/>
      <c r="P243" s="421" t="n">
        <f aca="false">MATCH(t-pas/2-T_ini,CdP_t)</f>
        <v>23</v>
      </c>
      <c r="Q243" s="418" t="n">
        <f aca="false">(INDEX(CdP,2,i_P+1)-INDEX(CdP,2,i_P+0))/(INDEX(CdP,1,i_P+1)-INDEX(CdP,1,i_P+0))*(t-pas/2-T_ini-INDEX(CdP,1,i_P+0))+INDEX(CdP,2,i_P+0)</f>
        <v>0</v>
      </c>
      <c r="R243" s="419" t="n">
        <f aca="false">Poussee/(g*ISP)</f>
        <v>0</v>
      </c>
      <c r="S243" s="420" t="n">
        <f aca="false">S242-Débit*pas</f>
        <v>1.4843</v>
      </c>
      <c r="T243" s="418" t="n">
        <f aca="false">m*g</f>
        <v>14.560983</v>
      </c>
      <c r="U243" s="422" t="n">
        <f aca="false">IF(pos_xz&lt;L_rampe,Poids*COS(Beta),0)</f>
        <v>0</v>
      </c>
      <c r="V243" s="419" t="n">
        <f aca="false">Rho_moyen*(20000-Alt_rampe-pos_z)/(20000+Alt_rampe+pos_z)</f>
        <v>1.18975227124101</v>
      </c>
      <c r="W243" s="418" t="n">
        <f aca="false">1/2*Rho*Sref*Cx*vit_xz^2</f>
        <v>0.694960273385333</v>
      </c>
      <c r="X243" s="402"/>
      <c r="Y243" s="423" t="str">
        <f aca="false">IF(AND(pos_z&lt;=0,K242&gt;0),"Impact balistique","") &amp; IF(AND(H244&lt;0,vit_z&gt;=0),"Apogée","") &amp; IF(AND(Poussee=0,Q242&gt;0),"Fin de propulsion","") &amp; IF(AND(L244&gt;L_rampe,pos_xz&lt;=L_rampe),"Sortie de rampe","")</f>
        <v/>
      </c>
      <c r="Z243" s="424" t="str">
        <f aca="false">IF(ABS(t-T_para)&lt;pas/2,"Para","")</f>
        <v/>
      </c>
      <c r="AA243" s="425" t="str">
        <f aca="false">IF(ABS(t-T_satellite)&lt;pas/2,"Satellite","")</f>
        <v/>
      </c>
      <c r="AB243" s="413"/>
      <c r="AC243" s="421" t="e">
        <f aca="false">IF(ABS(t-ROUND(t,0))&lt;0.001,t,NA())</f>
        <v>#N/A</v>
      </c>
      <c r="AD243" s="426" t="e">
        <f aca="false">IF(ABS(t-ROUND(t,0))&lt;0.001,pos_x,NA())</f>
        <v>#N/A</v>
      </c>
      <c r="AE243" s="427" t="n">
        <f aca="false">IF(t&lt;T_para, pos_z, NA())</f>
        <v>291.936603011229</v>
      </c>
      <c r="AF243" s="413"/>
      <c r="AG243" s="419" t="n">
        <f aca="false">IF(AND(L242&lt;L_rampe,Poussee&lt;Poids*SIN(M242)),0,(-W242+Poussee)/m-Poids*SIN(M242)/m)</f>
        <v>-8.94625564717495</v>
      </c>
      <c r="AH243" s="418" t="n">
        <f aca="false">IF(AND(L242&lt;L_rampe,Poussee&lt;Poids*SIN(M242)), g*SIN(M242), (-W242+Poussee)/m)</f>
        <v>-0.501246828266111</v>
      </c>
    </row>
    <row r="244" customFormat="false" ht="12" hidden="false" customHeight="false" outlineLevel="0" collapsed="false">
      <c r="A244" s="417" t="n">
        <f aca="false">IF(B243+0.01&lt;=T_ini+ROUNDUP(Temps_fin_propu,0), 0.01, IF(K243&gt;0, 0.1, 0.0001))</f>
        <v>0.1</v>
      </c>
      <c r="B244" s="418" t="n">
        <f aca="false">B243+pas</f>
        <v>6</v>
      </c>
      <c r="C244" s="402"/>
      <c r="D244" s="419" t="n">
        <f aca="false">IF(AND(L243&lt;L_rampe,Poussee&lt;Poids*SIN(M243)),0,(-W243+Poussee)/m*COS(M243)-U243/m*SIN(M243))</f>
        <v>-0.24601696116532</v>
      </c>
      <c r="E244" s="420" t="n">
        <f aca="false">IF(AND(L243&lt;L_rampe,Poussee&lt;Poids*SIN(M243)),0,(-W243+Poussee)/m*SIN(M243)+U243/m*COS(M243)-Poids/m)</f>
        <v>-10.2083639578149</v>
      </c>
      <c r="F244" s="418" t="n">
        <f aca="false">SQRT(acc_x^2+acc_z^2)</f>
        <v>10.2113279763405</v>
      </c>
      <c r="G244" s="419" t="n">
        <f aca="false">G243+acc_x*pas</f>
        <v>13.5013895949523</v>
      </c>
      <c r="H244" s="420" t="n">
        <f aca="false">H243+acc_z*pas</f>
        <v>20.8811796219618</v>
      </c>
      <c r="I244" s="418" t="n">
        <f aca="false">SQRT(vit_x^2+vit_z^2)</f>
        <v>24.8658638176782</v>
      </c>
      <c r="J244" s="419" t="n">
        <f aca="false">J243+0.5*(vit_x+G243)*pas*(K243&gt;=0)</f>
        <v>82.6697015819911</v>
      </c>
      <c r="K244" s="420" t="n">
        <f aca="false">K243+0.5*(vit_z+H243)*pas</f>
        <v>294.075762793215</v>
      </c>
      <c r="L244" s="418" t="n">
        <f aca="false">SQRT(pos_x^2+pos_z^2)</f>
        <v>305.474767897557</v>
      </c>
      <c r="M244" s="419" t="n">
        <f aca="false">IF(AND(L243&gt;L_rampe,G244&gt;0),ATAN2(G244,H244),$M$4)</f>
        <v>0.996827850718927</v>
      </c>
      <c r="N244" s="418" t="n">
        <f aca="false">DEGREES(Beta)</f>
        <v>57.1140287472914</v>
      </c>
      <c r="O244" s="402"/>
      <c r="P244" s="421" t="n">
        <f aca="false">MATCH(t-pas/2-T_ini,CdP_t)</f>
        <v>23</v>
      </c>
      <c r="Q244" s="418" t="n">
        <f aca="false">(INDEX(CdP,2,i_P+1)-INDEX(CdP,2,i_P+0))/(INDEX(CdP,1,i_P+1)-INDEX(CdP,1,i_P+0))*(t-pas/2-T_ini-INDEX(CdP,1,i_P+0))+INDEX(CdP,2,i_P+0)</f>
        <v>0</v>
      </c>
      <c r="R244" s="419" t="n">
        <f aca="false">Poussee/(g*ISP)</f>
        <v>0</v>
      </c>
      <c r="S244" s="420" t="n">
        <f aca="false">S243-Débit*pas</f>
        <v>1.4843</v>
      </c>
      <c r="T244" s="418" t="n">
        <f aca="false">m*g</f>
        <v>14.560983</v>
      </c>
      <c r="U244" s="422" t="n">
        <f aca="false">IF(pos_xz&lt;L_rampe,Poids*COS(Beta),0)</f>
        <v>0</v>
      </c>
      <c r="V244" s="419" t="n">
        <f aca="false">Rho_moyen*(20000-Alt_rampe-pos_z)/(20000+Alt_rampe+pos_z)</f>
        <v>1.18949773681419</v>
      </c>
      <c r="W244" s="418" t="n">
        <f aca="false">1/2*Rho*Sref*Cx*vit_xz^2</f>
        <v>0.648320071553923</v>
      </c>
      <c r="X244" s="402"/>
      <c r="Y244" s="423" t="str">
        <f aca="false">IF(AND(pos_z&lt;=0,K243&gt;0),"Impact balistique","") &amp; IF(AND(H245&lt;0,vit_z&gt;=0),"Apogée","") &amp; IF(AND(Poussee=0,Q243&gt;0),"Fin de propulsion","") &amp; IF(AND(L245&gt;L_rampe,pos_xz&lt;=L_rampe),"Sortie de rampe","")</f>
        <v/>
      </c>
      <c r="Z244" s="424" t="str">
        <f aca="false">IF(ABS(t-T_para)&lt;pas/2,"Para","")</f>
        <v/>
      </c>
      <c r="AA244" s="425" t="str">
        <f aca="false">IF(ABS(t-T_satellite)&lt;pas/2,"Satellite","")</f>
        <v/>
      </c>
      <c r="AB244" s="413"/>
      <c r="AC244" s="421" t="n">
        <f aca="false">IF(ABS(t-ROUND(t,0))&lt;0.001,t,NA())</f>
        <v>6</v>
      </c>
      <c r="AD244" s="426" t="n">
        <f aca="false">IF(ABS(t-ROUND(t,0))&lt;0.001,pos_x,NA())</f>
        <v>82.6697015819911</v>
      </c>
      <c r="AE244" s="427" t="n">
        <f aca="false">IF(t&lt;T_para, pos_z, NA())</f>
        <v>294.075762793215</v>
      </c>
      <c r="AF244" s="413"/>
      <c r="AG244" s="419" t="n">
        <f aca="false">IF(AND(L243&lt;L_rampe,Poussee&lt;Poids*SIN(M243)),0,(-W243+Poussee)/m-Poids*SIN(M243)/m)</f>
        <v>-8.81482957905113</v>
      </c>
      <c r="AH244" s="418" t="n">
        <f aca="false">IF(AND(L243&lt;L_rampe,Poussee&lt;Poids*SIN(M243)), g*SIN(M243), (-W243+Poussee)/m)</f>
        <v>-0.468207419918705</v>
      </c>
    </row>
    <row r="245" customFormat="false" ht="12" hidden="false" customHeight="false" outlineLevel="0" collapsed="false">
      <c r="A245" s="417" t="n">
        <f aca="false">IF(B244+0.01&lt;=T_ini+ROUNDUP(Temps_fin_propu,0), 0.01, IF(K244&gt;0, 0.1, 0.0001))</f>
        <v>0.1</v>
      </c>
      <c r="B245" s="418" t="n">
        <f aca="false">B244+pas</f>
        <v>6.1</v>
      </c>
      <c r="C245" s="402"/>
      <c r="D245" s="419" t="n">
        <f aca="false">IF(AND(L244&lt;L_rampe,Poussee&lt;Poids*SIN(M244)),0,(-W244+Poussee)/m*COS(M244)-U244/m*SIN(M244))</f>
        <v>-0.237160686280196</v>
      </c>
      <c r="E245" s="420" t="n">
        <f aca="false">IF(AND(L244&lt;L_rampe,Poussee&lt;Poids*SIN(M244)),0,(-W244+Poussee)/m*SIN(M244)+U244/m*COS(M244)-Poids/m)</f>
        <v>-10.1767914961387</v>
      </c>
      <c r="F245" s="418" t="n">
        <f aca="false">SQRT(acc_x^2+acc_z^2)</f>
        <v>10.1795545259603</v>
      </c>
      <c r="G245" s="419" t="n">
        <f aca="false">G244+acc_x*pas</f>
        <v>13.4776735263242</v>
      </c>
      <c r="H245" s="420" t="n">
        <f aca="false">H244+acc_z*pas</f>
        <v>19.8635004723479</v>
      </c>
      <c r="I245" s="418" t="n">
        <f aca="false">SQRT(vit_x^2+vit_z^2)</f>
        <v>24.0042982546282</v>
      </c>
      <c r="J245" s="419" t="n">
        <f aca="false">J244+0.5*(vit_x+G244)*pas*(K244&gt;=0)</f>
        <v>84.018654738055</v>
      </c>
      <c r="K245" s="420" t="n">
        <f aca="false">K244+0.5*(vit_z+H244)*pas</f>
        <v>296.11299679793</v>
      </c>
      <c r="L245" s="418" t="n">
        <f aca="false">SQRT(pos_x^2+pos_z^2)</f>
        <v>307.801951287907</v>
      </c>
      <c r="M245" s="419" t="n">
        <f aca="false">IF(AND(L244&gt;L_rampe,G245&gt;0),ATAN2(G245,H245),$M$4)</f>
        <v>0.974636151442688</v>
      </c>
      <c r="N245" s="418" t="n">
        <f aca="false">DEGREES(Beta)</f>
        <v>55.8425380385393</v>
      </c>
      <c r="O245" s="402"/>
      <c r="P245" s="421" t="n">
        <f aca="false">MATCH(t-pas/2-T_ini,CdP_t)</f>
        <v>23</v>
      </c>
      <c r="Q245" s="418" t="n">
        <f aca="false">(INDEX(CdP,2,i_P+1)-INDEX(CdP,2,i_P+0))/(INDEX(CdP,1,i_P+1)-INDEX(CdP,1,i_P+0))*(t-pas/2-T_ini-INDEX(CdP,1,i_P+0))+INDEX(CdP,2,i_P+0)</f>
        <v>0</v>
      </c>
      <c r="R245" s="419" t="n">
        <f aca="false">Poussee/(g*ISP)</f>
        <v>0</v>
      </c>
      <c r="S245" s="420" t="n">
        <f aca="false">S244-Débit*pas</f>
        <v>1.4843</v>
      </c>
      <c r="T245" s="418" t="n">
        <f aca="false">m*g</f>
        <v>14.560983</v>
      </c>
      <c r="U245" s="422" t="n">
        <f aca="false">IF(pos_xz&lt;L_rampe,Poids*COS(Beta),0)</f>
        <v>0</v>
      </c>
      <c r="V245" s="419" t="n">
        <f aca="false">Rho_moyen*(20000-Alt_rampe-pos_z)/(20000+Alt_rampe+pos_z)</f>
        <v>1.18925538021643</v>
      </c>
      <c r="W245" s="418" t="n">
        <f aca="false">1/2*Rho*Sref*Cx*vit_xz^2</f>
        <v>0.604048623393567</v>
      </c>
      <c r="X245" s="402"/>
      <c r="Y245" s="423" t="str">
        <f aca="false">IF(AND(pos_z&lt;=0,K244&gt;0),"Impact balistique","") &amp; IF(AND(H246&lt;0,vit_z&gt;=0),"Apogée","") &amp; IF(AND(Poussee=0,Q244&gt;0),"Fin de propulsion","") &amp; IF(AND(L246&gt;L_rampe,pos_xz&lt;=L_rampe),"Sortie de rampe","")</f>
        <v/>
      </c>
      <c r="Z245" s="424" t="str">
        <f aca="false">IF(ABS(t-T_para)&lt;pas/2,"Para","")</f>
        <v/>
      </c>
      <c r="AA245" s="425" t="str">
        <f aca="false">IF(ABS(t-T_satellite)&lt;pas/2,"Satellite","")</f>
        <v/>
      </c>
      <c r="AB245" s="413"/>
      <c r="AC245" s="421" t="e">
        <f aca="false">IF(ABS(t-ROUND(t,0))&lt;0.001,t,NA())</f>
        <v>#N/A</v>
      </c>
      <c r="AD245" s="426" t="e">
        <f aca="false">IF(ABS(t-ROUND(t,0))&lt;0.001,pos_x,NA())</f>
        <v>#N/A</v>
      </c>
      <c r="AE245" s="427" t="n">
        <f aca="false">IF(t&lt;T_para, pos_z, NA())</f>
        <v>296.11299679793</v>
      </c>
      <c r="AF245" s="413"/>
      <c r="AG245" s="419" t="n">
        <f aca="false">IF(AND(L244&lt;L_rampe,Poussee&lt;Poids*SIN(M244)),0,(-W244+Poussee)/m-Poids*SIN(M244)/m)</f>
        <v>-8.67476037067521</v>
      </c>
      <c r="AH245" s="418" t="n">
        <f aca="false">IF(AND(L244&lt;L_rampe,Poussee&lt;Poids*SIN(M244)), g*SIN(M244), (-W244+Poussee)/m)</f>
        <v>-0.436785064713281</v>
      </c>
    </row>
    <row r="246" customFormat="false" ht="12" hidden="false" customHeight="false" outlineLevel="0" collapsed="false">
      <c r="A246" s="417" t="n">
        <f aca="false">IF(B245+0.01&lt;=T_ini+ROUNDUP(Temps_fin_propu,0), 0.01, IF(K245&gt;0, 0.1, 0.0001))</f>
        <v>0.1</v>
      </c>
      <c r="B246" s="418" t="n">
        <f aca="false">B245+pas</f>
        <v>6.2</v>
      </c>
      <c r="C246" s="402"/>
      <c r="D246" s="419" t="n">
        <f aca="false">IF(AND(L245&lt;L_rampe,Poussee&lt;Poids*SIN(M245)),0,(-W245+Poussee)/m*COS(M245)-U245/m*SIN(M245))</f>
        <v>-0.22849469915512</v>
      </c>
      <c r="E246" s="420" t="n">
        <f aca="false">IF(AND(L245&lt;L_rampe,Poussee&lt;Poids*SIN(M245)),0,(-W245+Poussee)/m*SIN(M245)+U245/m*COS(M245)-Poids/m)</f>
        <v>-10.1467572716264</v>
      </c>
      <c r="F246" s="418" t="n">
        <f aca="false">SQRT(acc_x^2+acc_z^2)</f>
        <v>10.1493296801733</v>
      </c>
      <c r="G246" s="419" t="n">
        <f aca="false">G245+acc_x*pas</f>
        <v>13.4548240564087</v>
      </c>
      <c r="H246" s="420" t="n">
        <f aca="false">H245+acc_z*pas</f>
        <v>18.8488247451853</v>
      </c>
      <c r="I246" s="418" t="n">
        <f aca="false">SQRT(vit_x^2+vit_z^2)</f>
        <v>23.1583782822464</v>
      </c>
      <c r="J246" s="419" t="n">
        <f aca="false">J245+0.5*(vit_x+G245)*pas*(K245&gt;=0)</f>
        <v>85.3652796171916</v>
      </c>
      <c r="K246" s="420" t="n">
        <f aca="false">K245+0.5*(vit_z+H245)*pas</f>
        <v>298.048613058807</v>
      </c>
      <c r="L246" s="418" t="n">
        <f aca="false">SQRT(pos_x^2+pos_z^2)</f>
        <v>310.032589755334</v>
      </c>
      <c r="M246" s="419" t="n">
        <f aca="false">IF(AND(L245&gt;L_rampe,G246&gt;0),ATAN2(G246,H246),$M$4)</f>
        <v>0.950849805240057</v>
      </c>
      <c r="N246" s="418" t="n">
        <f aca="false">DEGREES(Beta)</f>
        <v>54.4796807910916</v>
      </c>
      <c r="O246" s="402"/>
      <c r="P246" s="421" t="n">
        <f aca="false">MATCH(t-pas/2-T_ini,CdP_t)</f>
        <v>23</v>
      </c>
      <c r="Q246" s="418" t="n">
        <f aca="false">(INDEX(CdP,2,i_P+1)-INDEX(CdP,2,i_P+0))/(INDEX(CdP,1,i_P+1)-INDEX(CdP,1,i_P+0))*(t-pas/2-T_ini-INDEX(CdP,1,i_P+0))+INDEX(CdP,2,i_P+0)</f>
        <v>0</v>
      </c>
      <c r="R246" s="419" t="n">
        <f aca="false">Poussee/(g*ISP)</f>
        <v>0</v>
      </c>
      <c r="S246" s="420" t="n">
        <f aca="false">S245-Débit*pas</f>
        <v>1.4843</v>
      </c>
      <c r="T246" s="418" t="n">
        <f aca="false">m*g</f>
        <v>14.560983</v>
      </c>
      <c r="U246" s="422" t="n">
        <f aca="false">IF(pos_xz&lt;L_rampe,Poids*COS(Beta),0)</f>
        <v>0</v>
      </c>
      <c r="V246" s="419" t="n">
        <f aca="false">Rho_moyen*(20000-Alt_rampe-pos_z)/(20000+Alt_rampe+pos_z)</f>
        <v>1.18902515749596</v>
      </c>
      <c r="W246" s="418" t="n">
        <f aca="false">1/2*Rho*Sref*Cx*vit_xz^2</f>
        <v>0.562116167316018</v>
      </c>
      <c r="X246" s="402"/>
      <c r="Y246" s="423" t="str">
        <f aca="false">IF(AND(pos_z&lt;=0,K245&gt;0),"Impact balistique","") &amp; IF(AND(H247&lt;0,vit_z&gt;=0),"Apogée","") &amp; IF(AND(Poussee=0,Q245&gt;0),"Fin de propulsion","") &amp; IF(AND(L247&gt;L_rampe,pos_xz&lt;=L_rampe),"Sortie de rampe","")</f>
        <v/>
      </c>
      <c r="Z246" s="424" t="str">
        <f aca="false">IF(ABS(t-T_para)&lt;pas/2,"Para","")</f>
        <v/>
      </c>
      <c r="AA246" s="425" t="str">
        <f aca="false">IF(ABS(t-T_satellite)&lt;pas/2,"Satellite","")</f>
        <v/>
      </c>
      <c r="AB246" s="413"/>
      <c r="AC246" s="421" t="e">
        <f aca="false">IF(ABS(t-ROUND(t,0))&lt;0.001,t,NA())</f>
        <v>#N/A</v>
      </c>
      <c r="AD246" s="426" t="e">
        <f aca="false">IF(ABS(t-ROUND(t,0))&lt;0.001,pos_x,NA())</f>
        <v>#N/A</v>
      </c>
      <c r="AE246" s="427" t="n">
        <f aca="false">IF(t&lt;T_para, pos_z, NA())</f>
        <v>298.048613058807</v>
      </c>
      <c r="AF246" s="413"/>
      <c r="AG246" s="419" t="n">
        <f aca="false">IF(AND(L245&lt;L_rampe,Poussee&lt;Poids*SIN(M245)),0,(-W245+Poussee)/m-Poids*SIN(M245)/m)</f>
        <v>-8.52471055995171</v>
      </c>
      <c r="AH246" s="418" t="n">
        <f aca="false">IF(AND(L245&lt;L_rampe,Poussee&lt;Poids*SIN(M245)), g*SIN(M245), (-W245+Poussee)/m)</f>
        <v>-0.406958582088235</v>
      </c>
    </row>
    <row r="247" customFormat="false" ht="12" hidden="false" customHeight="false" outlineLevel="0" collapsed="false">
      <c r="A247" s="417" t="n">
        <f aca="false">IF(B246+0.01&lt;=T_ini+ROUNDUP(Temps_fin_propu,0), 0.01, IF(K246&gt;0, 0.1, 0.0001))</f>
        <v>0.1</v>
      </c>
      <c r="B247" s="418" t="n">
        <f aca="false">B246+pas</f>
        <v>6.29999999999999</v>
      </c>
      <c r="C247" s="402"/>
      <c r="D247" s="419" t="n">
        <f aca="false">IF(AND(L246&lt;L_rampe,Poussee&lt;Poids*SIN(M246)),0,(-W246+Poussee)/m*COS(M246)-U246/m*SIN(M246))</f>
        <v>-0.220026134184121</v>
      </c>
      <c r="E247" s="420" t="n">
        <f aca="false">IF(AND(L246&lt;L_rampe,Poussee&lt;Poids*SIN(M246)),0,(-W246+Poussee)/m*SIN(M246)+U246/m*COS(M246)-Poids/m)</f>
        <v>-10.118233985462</v>
      </c>
      <c r="F247" s="418" t="n">
        <f aca="false">SQRT(acc_x^2+acc_z^2)</f>
        <v>10.1206259927083</v>
      </c>
      <c r="G247" s="419" t="n">
        <f aca="false">G246+acc_x*pas</f>
        <v>13.4328214429903</v>
      </c>
      <c r="H247" s="420" t="n">
        <f aca="false">H246+acc_z*pas</f>
        <v>17.8370013466391</v>
      </c>
      <c r="I247" s="418" t="n">
        <f aca="false">SQRT(vit_x^2+vit_z^2)</f>
        <v>22.3293374052896</v>
      </c>
      <c r="J247" s="419" t="n">
        <f aca="false">J246+0.5*(vit_x+G246)*pas*(K246&gt;=0)</f>
        <v>86.7096618921615</v>
      </c>
      <c r="K247" s="420" t="n">
        <f aca="false">K246+0.5*(vit_z+H246)*pas</f>
        <v>299.882904363398</v>
      </c>
      <c r="L247" s="418" t="n">
        <f aca="false">SQRT(pos_x^2+pos_z^2)</f>
        <v>312.167137596</v>
      </c>
      <c r="M247" s="419" t="n">
        <f aca="false">IF(AND(L246&gt;L_rampe,G247&gt;0),ATAN2(G247,H247),$M$4)</f>
        <v>0.92532219147632</v>
      </c>
      <c r="N247" s="418" t="n">
        <f aca="false">DEGREES(Beta)</f>
        <v>53.0170562613894</v>
      </c>
      <c r="O247" s="402"/>
      <c r="P247" s="421" t="n">
        <f aca="false">MATCH(t-pas/2-T_ini,CdP_t)</f>
        <v>23</v>
      </c>
      <c r="Q247" s="418" t="n">
        <f aca="false">(INDEX(CdP,2,i_P+1)-INDEX(CdP,2,i_P+0))/(INDEX(CdP,1,i_P+1)-INDEX(CdP,1,i_P+0))*(t-pas/2-T_ini-INDEX(CdP,1,i_P+0))+INDEX(CdP,2,i_P+0)</f>
        <v>0</v>
      </c>
      <c r="R247" s="419" t="n">
        <f aca="false">Poussee/(g*ISP)</f>
        <v>0</v>
      </c>
      <c r="S247" s="420" t="n">
        <f aca="false">S246-Débit*pas</f>
        <v>1.4843</v>
      </c>
      <c r="T247" s="418" t="n">
        <f aca="false">m*g</f>
        <v>14.560983</v>
      </c>
      <c r="U247" s="422" t="n">
        <f aca="false">IF(pos_xz&lt;L_rampe,Poids*COS(Beta),0)</f>
        <v>0</v>
      </c>
      <c r="V247" s="419" t="n">
        <f aca="false">Rho_moyen*(20000-Alt_rampe-pos_z)/(20000+Alt_rampe+pos_z)</f>
        <v>1.18880702690987</v>
      </c>
      <c r="W247" s="418" t="n">
        <f aca="false">1/2*Rho*Sref*Cx*vit_xz^2</f>
        <v>0.522494569846486</v>
      </c>
      <c r="X247" s="402"/>
      <c r="Y247" s="423" t="str">
        <f aca="false">IF(AND(pos_z&lt;=0,K246&gt;0),"Impact balistique","") &amp; IF(AND(H248&lt;0,vit_z&gt;=0),"Apogée","") &amp; IF(AND(Poussee=0,Q246&gt;0),"Fin de propulsion","") &amp; IF(AND(L248&gt;L_rampe,pos_xz&lt;=L_rampe),"Sortie de rampe","")</f>
        <v/>
      </c>
      <c r="Z247" s="424" t="str">
        <f aca="false">IF(ABS(t-T_para)&lt;pas/2,"Para","")</f>
        <v/>
      </c>
      <c r="AA247" s="425" t="str">
        <f aca="false">IF(ABS(t-T_satellite)&lt;pas/2,"Satellite","")</f>
        <v/>
      </c>
      <c r="AB247" s="413"/>
      <c r="AC247" s="421" t="e">
        <f aca="false">IF(ABS(t-ROUND(t,0))&lt;0.001,t,NA())</f>
        <v>#N/A</v>
      </c>
      <c r="AD247" s="426" t="e">
        <f aca="false">IF(ABS(t-ROUND(t,0))&lt;0.001,pos_x,NA())</f>
        <v>#N/A</v>
      </c>
      <c r="AE247" s="427" t="n">
        <f aca="false">IF(t&lt;T_para, pos_z, NA())</f>
        <v>299.882904363398</v>
      </c>
      <c r="AF247" s="413"/>
      <c r="AG247" s="419" t="n">
        <f aca="false">IF(AND(L246&lt;L_rampe,Poussee&lt;Poids*SIN(M246)),0,(-W246+Poussee)/m-Poids*SIN(M246)/m)</f>
        <v>-8.36316039428746</v>
      </c>
      <c r="AH247" s="418" t="n">
        <f aca="false">IF(AND(L246&lt;L_rampe,Poussee&lt;Poids*SIN(M246)), g*SIN(M246), (-W246+Poussee)/m)</f>
        <v>-0.378707921118385</v>
      </c>
    </row>
    <row r="248" customFormat="false" ht="12" hidden="false" customHeight="false" outlineLevel="0" collapsed="false">
      <c r="A248" s="417" t="n">
        <f aca="false">IF(B247+0.01&lt;=T_ini+ROUNDUP(Temps_fin_propu,0), 0.01, IF(K247&gt;0, 0.1, 0.0001))</f>
        <v>0.1</v>
      </c>
      <c r="B248" s="418" t="n">
        <f aca="false">B247+pas</f>
        <v>6.39999999999999</v>
      </c>
      <c r="C248" s="402"/>
      <c r="D248" s="419" t="n">
        <f aca="false">IF(AND(L247&lt;L_rampe,Poussee&lt;Poids*SIN(M247)),0,(-W247+Poussee)/m*COS(M247)-U247/m*SIN(M247))</f>
        <v>-0.211763691769976</v>
      </c>
      <c r="E248" s="420" t="n">
        <f aca="false">IF(AND(L247&lt;L_rampe,Poussee&lt;Poids*SIN(M247)),0,(-W247+Poussee)/m*SIN(M247)+U247/m*COS(M247)-Poids/m)</f>
        <v>-10.0911940344254</v>
      </c>
      <c r="F248" s="418" t="n">
        <f aca="false">SQRT(acc_x^2+acc_z^2)</f>
        <v>10.0934157202393</v>
      </c>
      <c r="G248" s="419" t="n">
        <f aca="false">G247+acc_x*pas</f>
        <v>13.4116450738133</v>
      </c>
      <c r="H248" s="420" t="n">
        <f aca="false">H247+acc_z*pas</f>
        <v>16.8278819431965</v>
      </c>
      <c r="I248" s="418" t="n">
        <f aca="false">SQRT(vit_x^2+vit_z^2)</f>
        <v>21.5185927578943</v>
      </c>
      <c r="J248" s="419" t="n">
        <f aca="false">J247+0.5*(vit_x+G247)*pas*(K247&gt;=0)</f>
        <v>88.0518852180017</v>
      </c>
      <c r="K248" s="420" t="n">
        <f aca="false">K247+0.5*(vit_z+H247)*pas</f>
        <v>301.61614852789</v>
      </c>
      <c r="L248" s="418" t="n">
        <f aca="false">SQRT(pos_x^2+pos_z^2)</f>
        <v>314.206039953471</v>
      </c>
      <c r="M248" s="419" t="n">
        <f aca="false">IF(AND(L247&gt;L_rampe,G248&gt;0),ATAN2(G248,H248),$M$4)</f>
        <v>0.897893758112397</v>
      </c>
      <c r="N248" s="418" t="n">
        <f aca="false">DEGREES(Beta)</f>
        <v>51.4455227909807</v>
      </c>
      <c r="O248" s="402"/>
      <c r="P248" s="421" t="n">
        <f aca="false">MATCH(t-pas/2-T_ini,CdP_t)</f>
        <v>23</v>
      </c>
      <c r="Q248" s="418" t="n">
        <f aca="false">(INDEX(CdP,2,i_P+1)-INDEX(CdP,2,i_P+0))/(INDEX(CdP,1,i_P+1)-INDEX(CdP,1,i_P+0))*(t-pas/2-T_ini-INDEX(CdP,1,i_P+0))+INDEX(CdP,2,i_P+0)</f>
        <v>0</v>
      </c>
      <c r="R248" s="419" t="n">
        <f aca="false">Poussee/(g*ISP)</f>
        <v>0</v>
      </c>
      <c r="S248" s="420" t="n">
        <f aca="false">S247-Débit*pas</f>
        <v>1.4843</v>
      </c>
      <c r="T248" s="418" t="n">
        <f aca="false">m*g</f>
        <v>14.560983</v>
      </c>
      <c r="U248" s="422" t="n">
        <f aca="false">IF(pos_xz&lt;L_rampe,Poids*COS(Beta),0)</f>
        <v>0</v>
      </c>
      <c r="V248" s="419" t="n">
        <f aca="false">Rho_moyen*(20000-Alt_rampe-pos_z)/(20000+Alt_rampe+pos_z)</f>
        <v>1.18860094888569</v>
      </c>
      <c r="W248" s="418" t="n">
        <f aca="false">1/2*Rho*Sref*Cx*vit_xz^2</f>
        <v>0.485157278594616</v>
      </c>
      <c r="X248" s="402"/>
      <c r="Y248" s="423" t="str">
        <f aca="false">IF(AND(pos_z&lt;=0,K247&gt;0),"Impact balistique","") &amp; IF(AND(H249&lt;0,vit_z&gt;=0),"Apogée","") &amp; IF(AND(Poussee=0,Q247&gt;0),"Fin de propulsion","") &amp; IF(AND(L249&gt;L_rampe,pos_xz&lt;=L_rampe),"Sortie de rampe","")</f>
        <v/>
      </c>
      <c r="Z248" s="424" t="str">
        <f aca="false">IF(ABS(t-T_para)&lt;pas/2,"Para","")</f>
        <v/>
      </c>
      <c r="AA248" s="425" t="str">
        <f aca="false">IF(ABS(t-T_satellite)&lt;pas/2,"Satellite","")</f>
        <v/>
      </c>
      <c r="AB248" s="413"/>
      <c r="AC248" s="421" t="e">
        <f aca="false">IF(ABS(t-ROUND(t,0))&lt;0.001,t,NA())</f>
        <v>#N/A</v>
      </c>
      <c r="AD248" s="426" t="e">
        <f aca="false">IF(ABS(t-ROUND(t,0))&lt;0.001,pos_x,NA())</f>
        <v>#N/A</v>
      </c>
      <c r="AE248" s="427" t="n">
        <f aca="false">IF(t&lt;T_para, pos_z, NA())</f>
        <v>301.61614852789</v>
      </c>
      <c r="AF248" s="413"/>
      <c r="AG248" s="419" t="n">
        <f aca="false">IF(AND(L247&lt;L_rampe,Poussee&lt;Poids*SIN(M247)),0,(-W247+Poussee)/m-Poids*SIN(M247)/m)</f>
        <v>-8.1883856257008</v>
      </c>
      <c r="AH248" s="418" t="n">
        <f aca="false">IF(AND(L247&lt;L_rampe,Poussee&lt;Poids*SIN(M247)), g*SIN(M247), (-W247+Poussee)/m)</f>
        <v>-0.3520141277683</v>
      </c>
    </row>
    <row r="249" customFormat="false" ht="12" hidden="false" customHeight="false" outlineLevel="0" collapsed="false">
      <c r="A249" s="417" t="n">
        <f aca="false">IF(B248+0.01&lt;=T_ini+ROUNDUP(Temps_fin_propu,0), 0.01, IF(K248&gt;0, 0.1, 0.0001))</f>
        <v>0.1</v>
      </c>
      <c r="B249" s="418" t="n">
        <f aca="false">B248+pas</f>
        <v>6.49999999999999</v>
      </c>
      <c r="C249" s="402"/>
      <c r="D249" s="419" t="n">
        <f aca="false">IF(AND(L248&lt;L_rampe,Poussee&lt;Poids*SIN(M248)),0,(-W248+Poussee)/m*COS(M248)-U248/m*SIN(M248))</f>
        <v>-0.203717833556179</v>
      </c>
      <c r="E249" s="420" t="n">
        <f aca="false">IF(AND(L248&lt;L_rampe,Poussee&lt;Poids*SIN(M248)),0,(-W248+Poussee)/m*SIN(M248)+U248/m*COS(M248)-Poids/m)</f>
        <v>-10.0656091839547</v>
      </c>
      <c r="F249" s="418" t="n">
        <f aca="false">SQRT(acc_x^2+acc_z^2)</f>
        <v>10.0676704951951</v>
      </c>
      <c r="G249" s="419" t="n">
        <f aca="false">G248+acc_x*pas</f>
        <v>13.3912732904577</v>
      </c>
      <c r="H249" s="420" t="n">
        <f aca="false">H248+acc_z*pas</f>
        <v>15.8213210248011</v>
      </c>
      <c r="I249" s="418" t="n">
        <f aca="false">SQRT(vit_x^2+vit_z^2)</f>
        <v>20.7277687971846</v>
      </c>
      <c r="J249" s="419" t="n">
        <f aca="false">J248+0.5*(vit_x+G248)*pas*(K248&gt;=0)</f>
        <v>89.3920311362153</v>
      </c>
      <c r="K249" s="420" t="n">
        <f aca="false">K248+0.5*(vit_z+H248)*pas</f>
        <v>303.24860867629</v>
      </c>
      <c r="L249" s="418" t="n">
        <f aca="false">SQRT(pos_x^2+pos_z^2)</f>
        <v>316.149733346026</v>
      </c>
      <c r="M249" s="419" t="n">
        <f aca="false">IF(AND(L248&gt;L_rampe,G249&gt;0),ATAN2(G249,H249),$M$4)</f>
        <v>0.868392017732126</v>
      </c>
      <c r="N249" s="418" t="n">
        <f aca="false">DEGREES(Beta)</f>
        <v>49.7551975789006</v>
      </c>
      <c r="O249" s="402"/>
      <c r="P249" s="421" t="n">
        <f aca="false">MATCH(t-pas/2-T_ini,CdP_t)</f>
        <v>23</v>
      </c>
      <c r="Q249" s="418" t="n">
        <f aca="false">(INDEX(CdP,2,i_P+1)-INDEX(CdP,2,i_P+0))/(INDEX(CdP,1,i_P+1)-INDEX(CdP,1,i_P+0))*(t-pas/2-T_ini-INDEX(CdP,1,i_P+0))+INDEX(CdP,2,i_P+0)</f>
        <v>0</v>
      </c>
      <c r="R249" s="419" t="n">
        <f aca="false">Poussee/(g*ISP)</f>
        <v>0</v>
      </c>
      <c r="S249" s="420" t="n">
        <f aca="false">S248-Débit*pas</f>
        <v>1.4843</v>
      </c>
      <c r="T249" s="418" t="n">
        <f aca="false">m*g</f>
        <v>14.560983</v>
      </c>
      <c r="U249" s="422" t="n">
        <f aca="false">IF(pos_xz&lt;L_rampe,Poids*COS(Beta),0)</f>
        <v>0</v>
      </c>
      <c r="V249" s="419" t="n">
        <f aca="false">Rho_moyen*(20000-Alt_rampe-pos_z)/(20000+Alt_rampe+pos_z)</f>
        <v>1.1884068859828</v>
      </c>
      <c r="W249" s="418" t="n">
        <f aca="false">1/2*Rho*Sref*Cx*vit_xz^2</f>
        <v>0.450079276471217</v>
      </c>
      <c r="X249" s="402"/>
      <c r="Y249" s="423" t="str">
        <f aca="false">IF(AND(pos_z&lt;=0,K248&gt;0),"Impact balistique","") &amp; IF(AND(H250&lt;0,vit_z&gt;=0),"Apogée","") &amp; IF(AND(Poussee=0,Q248&gt;0),"Fin de propulsion","") &amp; IF(AND(L250&gt;L_rampe,pos_xz&lt;=L_rampe),"Sortie de rampe","")</f>
        <v/>
      </c>
      <c r="Z249" s="424" t="str">
        <f aca="false">IF(ABS(t-T_para)&lt;pas/2,"Para","")</f>
        <v/>
      </c>
      <c r="AA249" s="425" t="str">
        <f aca="false">IF(ABS(t-T_satellite)&lt;pas/2,"Satellite","")</f>
        <v/>
      </c>
      <c r="AB249" s="413"/>
      <c r="AC249" s="421" t="e">
        <f aca="false">IF(ABS(t-ROUND(t,0))&lt;0.001,t,NA())</f>
        <v>#N/A</v>
      </c>
      <c r="AD249" s="426" t="e">
        <f aca="false">IF(ABS(t-ROUND(t,0))&lt;0.001,pos_x,NA())</f>
        <v>#N/A</v>
      </c>
      <c r="AE249" s="427" t="n">
        <f aca="false">IF(t&lt;T_para, pos_z, NA())</f>
        <v>303.24860867629</v>
      </c>
      <c r="AF249" s="413"/>
      <c r="AG249" s="419" t="n">
        <f aca="false">IF(AND(L248&lt;L_rampe,Poussee&lt;Poids*SIN(M248)),0,(-W248+Poussee)/m-Poids*SIN(M248)/m)</f>
        <v>-7.99843541114758</v>
      </c>
      <c r="AH249" s="418" t="n">
        <f aca="false">IF(AND(L248&lt;L_rampe,Poussee&lt;Poids*SIN(M248)), g*SIN(M248), (-W248+Poussee)/m)</f>
        <v>-0.326859313207988</v>
      </c>
    </row>
    <row r="250" customFormat="false" ht="12" hidden="false" customHeight="false" outlineLevel="0" collapsed="false">
      <c r="A250" s="417" t="n">
        <f aca="false">IF(B249+0.01&lt;=T_ini+ROUNDUP(Temps_fin_propu,0), 0.01, IF(K249&gt;0, 0.1, 0.0001))</f>
        <v>0.1</v>
      </c>
      <c r="B250" s="418" t="n">
        <f aca="false">B249+pas</f>
        <v>6.59999999999999</v>
      </c>
      <c r="C250" s="402"/>
      <c r="D250" s="419" t="n">
        <f aca="false">IF(AND(L249&lt;L_rampe,Poussee&lt;Poids*SIN(M249)),0,(-W249+Poussee)/m*COS(M249)-U249/m*SIN(M249))</f>
        <v>-0.195900997200285</v>
      </c>
      <c r="E250" s="420" t="n">
        <f aca="false">IF(AND(L249&lt;L_rampe,Poussee&lt;Poids*SIN(M249)),0,(-W249+Poussee)/m*SIN(M249)+U249/m*COS(M249)-Poids/m)</f>
        <v>-10.0414501764364</v>
      </c>
      <c r="F250" s="418" t="n">
        <f aca="false">SQRT(acc_x^2+acc_z^2)</f>
        <v>10.0433609337989</v>
      </c>
      <c r="G250" s="419" t="n">
        <f aca="false">G249+acc_x*pas</f>
        <v>13.3716831907377</v>
      </c>
      <c r="H250" s="420" t="n">
        <f aca="false">H249+acc_z*pas</f>
        <v>14.8171760071574</v>
      </c>
      <c r="I250" s="418" t="n">
        <f aca="false">SQRT(vit_x^2+vit_z^2)</f>
        <v>19.9587228093518</v>
      </c>
      <c r="J250" s="419" t="n">
        <f aca="false">J249+0.5*(vit_x+G249)*pas*(K249&gt;=0)</f>
        <v>90.730178960275</v>
      </c>
      <c r="K250" s="420" t="n">
        <f aca="false">K249+0.5*(vit_z+H249)*pas</f>
        <v>304.780533527887</v>
      </c>
      <c r="L250" s="418" t="n">
        <f aca="false">SQRT(pos_x^2+pos_z^2)</f>
        <v>317.998646210495</v>
      </c>
      <c r="M250" s="419" t="n">
        <f aca="false">IF(AND(L249&gt;L_rampe,G250&gt;0),ATAN2(G250,H250),$M$4)</f>
        <v>0.836632156806939</v>
      </c>
      <c r="N250" s="418" t="n">
        <f aca="false">DEGREES(Beta)</f>
        <v>47.9354915899649</v>
      </c>
      <c r="O250" s="402"/>
      <c r="P250" s="421" t="n">
        <f aca="false">MATCH(t-pas/2-T_ini,CdP_t)</f>
        <v>23</v>
      </c>
      <c r="Q250" s="418" t="n">
        <f aca="false">(INDEX(CdP,2,i_P+1)-INDEX(CdP,2,i_P+0))/(INDEX(CdP,1,i_P+1)-INDEX(CdP,1,i_P+0))*(t-pas/2-T_ini-INDEX(CdP,1,i_P+0))+INDEX(CdP,2,i_P+0)</f>
        <v>0</v>
      </c>
      <c r="R250" s="419" t="n">
        <f aca="false">Poussee/(g*ISP)</f>
        <v>0</v>
      </c>
      <c r="S250" s="420" t="n">
        <f aca="false">S249-Débit*pas</f>
        <v>1.4843</v>
      </c>
      <c r="T250" s="418" t="n">
        <f aca="false">m*g</f>
        <v>14.560983</v>
      </c>
      <c r="U250" s="422" t="n">
        <f aca="false">IF(pos_xz&lt;L_rampe,Poids*COS(Beta),0)</f>
        <v>0</v>
      </c>
      <c r="V250" s="419" t="n">
        <f aca="false">Rho_moyen*(20000-Alt_rampe-pos_z)/(20000+Alt_rampe+pos_z)</f>
        <v>1.18822480285318</v>
      </c>
      <c r="W250" s="418" t="n">
        <f aca="false">1/2*Rho*Sref*Cx*vit_xz^2</f>
        <v>0.417237036775791</v>
      </c>
      <c r="X250" s="402"/>
      <c r="Y250" s="423" t="str">
        <f aca="false">IF(AND(pos_z&lt;=0,K249&gt;0),"Impact balistique","") &amp; IF(AND(H251&lt;0,vit_z&gt;=0),"Apogée","") &amp; IF(AND(Poussee=0,Q249&gt;0),"Fin de propulsion","") &amp; IF(AND(L251&gt;L_rampe,pos_xz&lt;=L_rampe),"Sortie de rampe","")</f>
        <v/>
      </c>
      <c r="Z250" s="424" t="str">
        <f aca="false">IF(ABS(t-T_para)&lt;pas/2,"Para","")</f>
        <v/>
      </c>
      <c r="AA250" s="425" t="str">
        <f aca="false">IF(ABS(t-T_satellite)&lt;pas/2,"Satellite","")</f>
        <v/>
      </c>
      <c r="AB250" s="413"/>
      <c r="AC250" s="421" t="e">
        <f aca="false">IF(ABS(t-ROUND(t,0))&lt;0.001,t,NA())</f>
        <v>#N/A</v>
      </c>
      <c r="AD250" s="426" t="e">
        <f aca="false">IF(ABS(t-ROUND(t,0))&lt;0.001,pos_x,NA())</f>
        <v>#N/A</v>
      </c>
      <c r="AE250" s="427" t="n">
        <f aca="false">IF(t&lt;T_para, pos_z, NA())</f>
        <v>304.780533527887</v>
      </c>
      <c r="AF250" s="413"/>
      <c r="AG250" s="419" t="n">
        <f aca="false">IF(AND(L249&lt;L_rampe,Poussee&lt;Poids*SIN(M249)),0,(-W249+Poussee)/m-Poids*SIN(M249)/m)</f>
        <v>-7.79111211474257</v>
      </c>
      <c r="AH250" s="418" t="n">
        <f aca="false">IF(AND(L249&lt;L_rampe,Poussee&lt;Poids*SIN(M249)), g*SIN(M249), (-W249+Poussee)/m)</f>
        <v>-0.303226622967876</v>
      </c>
    </row>
    <row r="251" customFormat="false" ht="12" hidden="false" customHeight="false" outlineLevel="0" collapsed="false">
      <c r="A251" s="417" t="n">
        <f aca="false">IF(B250+0.01&lt;=T_ini+ROUNDUP(Temps_fin_propu,0), 0.01, IF(K250&gt;0, 0.1, 0.0001))</f>
        <v>0.1</v>
      </c>
      <c r="B251" s="418" t="n">
        <f aca="false">B250+pas</f>
        <v>6.69999999999999</v>
      </c>
      <c r="C251" s="402"/>
      <c r="D251" s="419" t="n">
        <f aca="false">IF(AND(L250&lt;L_rampe,Poussee&lt;Poids*SIN(M250)),0,(-W250+Poussee)/m*COS(M250)-U250/m*SIN(M250))</f>
        <v>-0.188327827611327</v>
      </c>
      <c r="E251" s="420" t="n">
        <f aca="false">IF(AND(L250&lt;L_rampe,Poussee&lt;Poids*SIN(M250)),0,(-W250+Poussee)/m*SIN(M250)+U250/m*COS(M250)-Poids/m)</f>
        <v>-10.0186862610307</v>
      </c>
      <c r="F251" s="418" t="n">
        <f aca="false">SQRT(acc_x^2+acc_z^2)</f>
        <v>10.0204561656453</v>
      </c>
      <c r="G251" s="419" t="n">
        <f aca="false">G250+acc_x*pas</f>
        <v>13.3528504079765</v>
      </c>
      <c r="H251" s="420" t="n">
        <f aca="false">H250+acc_z*pas</f>
        <v>13.8153073810543</v>
      </c>
      <c r="I251" s="418" t="n">
        <f aca="false">SQRT(vit_x^2+vit_z^2)</f>
        <v>19.213571558948</v>
      </c>
      <c r="J251" s="419" t="n">
        <f aca="false">J250+0.5*(vit_x+G250)*pas*(K250&gt;=0)</f>
        <v>92.0664056402108</v>
      </c>
      <c r="K251" s="420" t="n">
        <f aca="false">K250+0.5*(vit_z+H250)*pas</f>
        <v>306.212157697298</v>
      </c>
      <c r="L251" s="418" t="n">
        <f aca="false">SQRT(pos_x^2+pos_z^2)</f>
        <v>319.753199466624</v>
      </c>
      <c r="M251" s="419" t="n">
        <f aca="false">IF(AND(L250&gt;L_rampe,G251&gt;0),ATAN2(G251,H251),$M$4)</f>
        <v>0.80241854140451</v>
      </c>
      <c r="N251" s="418" t="n">
        <f aca="false">DEGREES(Beta)</f>
        <v>45.9751958255219</v>
      </c>
      <c r="O251" s="402"/>
      <c r="P251" s="421" t="n">
        <f aca="false">MATCH(t-pas/2-T_ini,CdP_t)</f>
        <v>23</v>
      </c>
      <c r="Q251" s="418" t="n">
        <f aca="false">(INDEX(CdP,2,i_P+1)-INDEX(CdP,2,i_P+0))/(INDEX(CdP,1,i_P+1)-INDEX(CdP,1,i_P+0))*(t-pas/2-T_ini-INDEX(CdP,1,i_P+0))+INDEX(CdP,2,i_P+0)</f>
        <v>0</v>
      </c>
      <c r="R251" s="419" t="n">
        <f aca="false">Poussee/(g*ISP)</f>
        <v>0</v>
      </c>
      <c r="S251" s="420" t="n">
        <f aca="false">S250-Débit*pas</f>
        <v>1.4843</v>
      </c>
      <c r="T251" s="418" t="n">
        <f aca="false">m*g</f>
        <v>14.560983</v>
      </c>
      <c r="U251" s="422" t="n">
        <f aca="false">IF(pos_xz&lt;L_rampe,Poids*COS(Beta),0)</f>
        <v>0</v>
      </c>
      <c r="V251" s="419" t="n">
        <f aca="false">Rho_moyen*(20000-Alt_rampe-pos_z)/(20000+Alt_rampe+pos_z)</f>
        <v>1.18805466620105</v>
      </c>
      <c r="W251" s="418" t="n">
        <f aca="false">1/2*Rho*Sref*Cx*vit_xz^2</f>
        <v>0.386608478725028</v>
      </c>
      <c r="X251" s="402"/>
      <c r="Y251" s="423" t="str">
        <f aca="false">IF(AND(pos_z&lt;=0,K250&gt;0),"Impact balistique","") &amp; IF(AND(H252&lt;0,vit_z&gt;=0),"Apogée","") &amp; IF(AND(Poussee=0,Q250&gt;0),"Fin de propulsion","") &amp; IF(AND(L252&gt;L_rampe,pos_xz&lt;=L_rampe),"Sortie de rampe","")</f>
        <v/>
      </c>
      <c r="Z251" s="424" t="str">
        <f aca="false">IF(ABS(t-T_para)&lt;pas/2,"Para","")</f>
        <v/>
      </c>
      <c r="AA251" s="425" t="str">
        <f aca="false">IF(ABS(t-T_satellite)&lt;pas/2,"Satellite","")</f>
        <v/>
      </c>
      <c r="AB251" s="413"/>
      <c r="AC251" s="421" t="e">
        <f aca="false">IF(ABS(t-ROUND(t,0))&lt;0.001,t,NA())</f>
        <v>#N/A</v>
      </c>
      <c r="AD251" s="426" t="e">
        <f aca="false">IF(ABS(t-ROUND(t,0))&lt;0.001,pos_x,NA())</f>
        <v>#N/A</v>
      </c>
      <c r="AE251" s="427" t="n">
        <f aca="false">IF(t&lt;T_para, pos_z, NA())</f>
        <v>306.212157697298</v>
      </c>
      <c r="AF251" s="413"/>
      <c r="AG251" s="419" t="n">
        <f aca="false">IF(AND(L250&lt;L_rampe,Poussee&lt;Poids*SIN(M250)),0,(-W250+Poussee)/m-Poids*SIN(M250)/m)</f>
        <v>-7.56395582919087</v>
      </c>
      <c r="AH251" s="418" t="n">
        <f aca="false">IF(AND(L250&lt;L_rampe,Poussee&lt;Poids*SIN(M250)), g*SIN(M250), (-W250+Poussee)/m)</f>
        <v>-0.28110020668045</v>
      </c>
    </row>
    <row r="252" customFormat="false" ht="12" hidden="false" customHeight="false" outlineLevel="0" collapsed="false">
      <c r="A252" s="417" t="n">
        <f aca="false">IF(B251+0.01&lt;=T_ini+ROUNDUP(Temps_fin_propu,0), 0.01, IF(K251&gt;0, 0.1, 0.0001))</f>
        <v>0.1</v>
      </c>
      <c r="B252" s="418" t="n">
        <f aca="false">B251+pas</f>
        <v>6.79999999999999</v>
      </c>
      <c r="C252" s="402"/>
      <c r="D252" s="419" t="n">
        <f aca="false">IF(AND(L251&lt;L_rampe,Poussee&lt;Poids*SIN(M251)),0,(-W251+Poussee)/m*COS(M251)-U251/m*SIN(M251))</f>
        <v>-0.181015418334272</v>
      </c>
      <c r="E252" s="420" t="n">
        <f aca="false">IF(AND(L251&lt;L_rampe,Poussee&lt;Poids*SIN(M251)),0,(-W251+Poussee)/m*SIN(M251)+U251/m*COS(M251)-Poids/m)</f>
        <v>-9.99728462976746</v>
      </c>
      <c r="F252" s="418" t="n">
        <f aca="false">SQRT(acc_x^2+acc_z^2)</f>
        <v>9.99892326954555</v>
      </c>
      <c r="G252" s="419" t="n">
        <f aca="false">G251+acc_x*pas</f>
        <v>13.3347488661431</v>
      </c>
      <c r="H252" s="420" t="n">
        <f aca="false">H251+acc_z*pas</f>
        <v>12.8155789180776</v>
      </c>
      <c r="I252" s="418" t="n">
        <f aca="false">SQRT(vit_x^2+vit_z^2)</f>
        <v>18.4947179034604</v>
      </c>
      <c r="J252" s="419" t="n">
        <f aca="false">J251+0.5*(vit_x+G251)*pas*(K251&gt;=0)</f>
        <v>93.4007856039167</v>
      </c>
      <c r="K252" s="420" t="n">
        <f aca="false">K251+0.5*(vit_z+H251)*pas</f>
        <v>307.543702012255</v>
      </c>
      <c r="L252" s="418" t="n">
        <f aca="false">SQRT(pos_x^2+pos_z^2)</f>
        <v>321.413807106713</v>
      </c>
      <c r="M252" s="419" t="n">
        <f aca="false">IF(AND(L251&gt;L_rampe,G252&gt;0),ATAN2(G252,H252),$M$4)</f>
        <v>0.765547484748938</v>
      </c>
      <c r="N252" s="418" t="n">
        <f aca="false">DEGREES(Beta)</f>
        <v>43.8626398929699</v>
      </c>
      <c r="O252" s="402"/>
      <c r="P252" s="421" t="n">
        <f aca="false">MATCH(t-pas/2-T_ini,CdP_t)</f>
        <v>23</v>
      </c>
      <c r="Q252" s="418" t="n">
        <f aca="false">(INDEX(CdP,2,i_P+1)-INDEX(CdP,2,i_P+0))/(INDEX(CdP,1,i_P+1)-INDEX(CdP,1,i_P+0))*(t-pas/2-T_ini-INDEX(CdP,1,i_P+0))+INDEX(CdP,2,i_P+0)</f>
        <v>0</v>
      </c>
      <c r="R252" s="419" t="n">
        <f aca="false">Poussee/(g*ISP)</f>
        <v>0</v>
      </c>
      <c r="S252" s="420" t="n">
        <f aca="false">S251-Débit*pas</f>
        <v>1.4843</v>
      </c>
      <c r="T252" s="418" t="n">
        <f aca="false">m*g</f>
        <v>14.560983</v>
      </c>
      <c r="U252" s="422" t="n">
        <f aca="false">IF(pos_xz&lt;L_rampe,Poids*COS(Beta),0)</f>
        <v>0</v>
      </c>
      <c r="V252" s="419" t="n">
        <f aca="false">Rho_moyen*(20000-Alt_rampe-pos_z)/(20000+Alt_rampe+pos_z)</f>
        <v>1.18789644474061</v>
      </c>
      <c r="W252" s="418" t="n">
        <f aca="false">1/2*Rho*Sref*Cx*vit_xz^2</f>
        <v>0.358172922925145</v>
      </c>
      <c r="X252" s="402"/>
      <c r="Y252" s="423" t="str">
        <f aca="false">IF(AND(pos_z&lt;=0,K251&gt;0),"Impact balistique","") &amp; IF(AND(H253&lt;0,vit_z&gt;=0),"Apogée","") &amp; IF(AND(Poussee=0,Q251&gt;0),"Fin de propulsion","") &amp; IF(AND(L253&gt;L_rampe,pos_xz&lt;=L_rampe),"Sortie de rampe","")</f>
        <v/>
      </c>
      <c r="Z252" s="424" t="str">
        <f aca="false">IF(ABS(t-T_para)&lt;pas/2,"Para","")</f>
        <v/>
      </c>
      <c r="AA252" s="425" t="str">
        <f aca="false">IF(ABS(t-T_satellite)&lt;pas/2,"Satellite","")</f>
        <v/>
      </c>
      <c r="AB252" s="413"/>
      <c r="AC252" s="421" t="e">
        <f aca="false">IF(ABS(t-ROUND(t,0))&lt;0.001,t,NA())</f>
        <v>#N/A</v>
      </c>
      <c r="AD252" s="426" t="e">
        <f aca="false">IF(ABS(t-ROUND(t,0))&lt;0.001,pos_x,NA())</f>
        <v>#N/A</v>
      </c>
      <c r="AE252" s="427" t="n">
        <f aca="false">IF(t&lt;T_para, pos_z, NA())</f>
        <v>307.543702012255</v>
      </c>
      <c r="AF252" s="413"/>
      <c r="AG252" s="419" t="n">
        <f aca="false">IF(AND(L251&lt;L_rampe,Poussee&lt;Poids*SIN(M251)),0,(-W251+Poussee)/m-Poids*SIN(M251)/m)</f>
        <v>-7.31423782962595</v>
      </c>
      <c r="AH252" s="418" t="n">
        <f aca="false">IF(AND(L251&lt;L_rampe,Poussee&lt;Poids*SIN(M251)), g*SIN(M251), (-W251+Poussee)/m)</f>
        <v>-0.260465188118998</v>
      </c>
    </row>
    <row r="253" customFormat="false" ht="12" hidden="false" customHeight="false" outlineLevel="0" collapsed="false">
      <c r="A253" s="417" t="n">
        <f aca="false">IF(B252+0.01&lt;=T_ini+ROUNDUP(Temps_fin_propu,0), 0.01, IF(K252&gt;0, 0.1, 0.0001))</f>
        <v>0.1</v>
      </c>
      <c r="B253" s="418" t="n">
        <f aca="false">B252+pas</f>
        <v>6.89999999999999</v>
      </c>
      <c r="C253" s="402"/>
      <c r="D253" s="419" t="n">
        <f aca="false">IF(AND(L252&lt;L_rampe,Poussee&lt;Poids*SIN(M252)),0,(-W252+Poussee)/m*COS(M252)-U252/m*SIN(M252))</f>
        <v>-0.173983552041793</v>
      </c>
      <c r="E253" s="420" t="n">
        <f aca="false">IF(AND(L252&lt;L_rampe,Poussee&lt;Poids*SIN(M252)),0,(-W252+Poussee)/m*SIN(M252)+U252/m*COS(M252)-Poids/m)</f>
        <v>-9.97720974380705</v>
      </c>
      <c r="F253" s="418" t="n">
        <f aca="false">SQRT(acc_x^2+acc_z^2)</f>
        <v>9.9787265995366</v>
      </c>
      <c r="G253" s="419" t="n">
        <f aca="false">G252+acc_x*pas</f>
        <v>13.3173505109389</v>
      </c>
      <c r="H253" s="420" t="n">
        <f aca="false">H252+acc_z*pas</f>
        <v>11.8178579436969</v>
      </c>
      <c r="I253" s="418" t="n">
        <f aca="false">SQRT(vit_x^2+vit_z^2)</f>
        <v>17.8048754842208</v>
      </c>
      <c r="J253" s="419" t="n">
        <f aca="false">J252+0.5*(vit_x+G252)*pas*(K252&gt;=0)</f>
        <v>94.7333905727708</v>
      </c>
      <c r="K253" s="420" t="n">
        <f aca="false">K252+0.5*(vit_z+H252)*pas</f>
        <v>308.775373855343</v>
      </c>
      <c r="L253" s="418" t="n">
        <f aca="false">SQRT(pos_x^2+pos_z^2)</f>
        <v>322.980876816136</v>
      </c>
      <c r="M253" s="419" t="n">
        <f aca="false">IF(AND(L252&gt;L_rampe,G253&gt;0),ATAN2(G253,H253),$M$4)</f>
        <v>0.725811727954002</v>
      </c>
      <c r="N253" s="418" t="n">
        <f aca="false">DEGREES(Beta)</f>
        <v>41.5859487328618</v>
      </c>
      <c r="O253" s="402"/>
      <c r="P253" s="421" t="n">
        <f aca="false">MATCH(t-pas/2-T_ini,CdP_t)</f>
        <v>23</v>
      </c>
      <c r="Q253" s="418" t="n">
        <f aca="false">(INDEX(CdP,2,i_P+1)-INDEX(CdP,2,i_P+0))/(INDEX(CdP,1,i_P+1)-INDEX(CdP,1,i_P+0))*(t-pas/2-T_ini-INDEX(CdP,1,i_P+0))+INDEX(CdP,2,i_P+0)</f>
        <v>0</v>
      </c>
      <c r="R253" s="419" t="n">
        <f aca="false">Poussee/(g*ISP)</f>
        <v>0</v>
      </c>
      <c r="S253" s="420" t="n">
        <f aca="false">S252-Débit*pas</f>
        <v>1.4843</v>
      </c>
      <c r="T253" s="418" t="n">
        <f aca="false">m*g</f>
        <v>14.560983</v>
      </c>
      <c r="U253" s="422" t="n">
        <f aca="false">IF(pos_xz&lt;L_rampe,Poids*COS(Beta),0)</f>
        <v>0</v>
      </c>
      <c r="V253" s="419" t="n">
        <f aca="false">Rho_moyen*(20000-Alt_rampe-pos_z)/(20000+Alt_rampe+pos_z)</f>
        <v>1.18775010915136</v>
      </c>
      <c r="W253" s="418" t="n">
        <f aca="false">1/2*Rho*Sref*Cx*vit_xz^2</f>
        <v>0.331911046210283</v>
      </c>
      <c r="X253" s="402"/>
      <c r="Y253" s="423" t="str">
        <f aca="false">IF(AND(pos_z&lt;=0,K252&gt;0),"Impact balistique","") &amp; IF(AND(H254&lt;0,vit_z&gt;=0),"Apogée","") &amp; IF(AND(Poussee=0,Q252&gt;0),"Fin de propulsion","") &amp; IF(AND(L254&gt;L_rampe,pos_xz&lt;=L_rampe),"Sortie de rampe","")</f>
        <v/>
      </c>
      <c r="Z253" s="424" t="str">
        <f aca="false">IF(ABS(t-T_para)&lt;pas/2,"Para","")</f>
        <v/>
      </c>
      <c r="AA253" s="425" t="str">
        <f aca="false">IF(ABS(t-T_satellite)&lt;pas/2,"Satellite","")</f>
        <v/>
      </c>
      <c r="AB253" s="413"/>
      <c r="AC253" s="421" t="e">
        <f aca="false">IF(ABS(t-ROUND(t,0))&lt;0.001,t,NA())</f>
        <v>#N/A</v>
      </c>
      <c r="AD253" s="426" t="e">
        <f aca="false">IF(ABS(t-ROUND(t,0))&lt;0.001,pos_x,NA())</f>
        <v>#N/A</v>
      </c>
      <c r="AE253" s="427" t="n">
        <f aca="false">IF(t&lt;T_para, pos_z, NA())</f>
        <v>308.775373855343</v>
      </c>
      <c r="AF253" s="413"/>
      <c r="AG253" s="419" t="n">
        <f aca="false">IF(AND(L252&lt;L_rampe,Poussee&lt;Poids*SIN(M252)),0,(-W252+Poussee)/m-Poids*SIN(M252)/m)</f>
        <v>-7.03896899140759</v>
      </c>
      <c r="AH253" s="418" t="n">
        <f aca="false">IF(AND(L252&lt;L_rampe,Poussee&lt;Poids*SIN(M252)), g*SIN(M252), (-W252+Poussee)/m)</f>
        <v>-0.241307635198508</v>
      </c>
    </row>
    <row r="254" customFormat="false" ht="12" hidden="false" customHeight="false" outlineLevel="0" collapsed="false">
      <c r="A254" s="417" t="n">
        <f aca="false">IF(B253+0.01&lt;=T_ini+ROUNDUP(Temps_fin_propu,0), 0.01, IF(K253&gt;0, 0.1, 0.0001))</f>
        <v>0.1</v>
      </c>
      <c r="B254" s="418" t="n">
        <f aca="false">B253+pas</f>
        <v>6.99999999999999</v>
      </c>
      <c r="C254" s="402"/>
      <c r="D254" s="419" t="n">
        <f aca="false">IF(AND(L253&lt;L_rampe,Poussee&lt;Poids*SIN(M253)),0,(-W253+Poussee)/m*COS(M253)-U253/m*SIN(M253))</f>
        <v>-0.167254922506378</v>
      </c>
      <c r="E254" s="420" t="n">
        <f aca="false">IF(AND(L253&lt;L_rampe,Poussee&lt;Poids*SIN(M253)),0,(-W253+Poussee)/m*SIN(M253)+U253/m*COS(M253)-Poids/m)</f>
        <v>-9.95842253441785</v>
      </c>
      <c r="F254" s="418" t="n">
        <f aca="false">SQRT(acc_x^2+acc_z^2)</f>
        <v>9.9598269856009</v>
      </c>
      <c r="G254" s="419" t="n">
        <f aca="false">G253+acc_x*pas</f>
        <v>13.3006250186883</v>
      </c>
      <c r="H254" s="420" t="n">
        <f aca="false">H253+acc_z*pas</f>
        <v>10.8220156902551</v>
      </c>
      <c r="I254" s="418" t="n">
        <f aca="false">SQRT(vit_x^2+vit_z^2)</f>
        <v>17.1470886592414</v>
      </c>
      <c r="J254" s="419" t="n">
        <f aca="false">J253+0.5*(vit_x+G253)*pas*(K253&gt;=0)</f>
        <v>96.0642893492522</v>
      </c>
      <c r="K254" s="420" t="n">
        <f aca="false">K253+0.5*(vit_z+H253)*pas</f>
        <v>309.907367537041</v>
      </c>
      <c r="L254" s="418" t="n">
        <f aca="false">SQRT(pos_x^2+pos_z^2)</f>
        <v>324.454810631489</v>
      </c>
      <c r="M254" s="419" t="n">
        <f aca="false">IF(AND(L253&gt;L_rampe,G254&gt;0),ATAN2(G254,H254),$M$4)</f>
        <v>0.683007158506054</v>
      </c>
      <c r="N254" s="418" t="n">
        <f aca="false">DEGREES(Beta)</f>
        <v>39.1334275596198</v>
      </c>
      <c r="O254" s="402"/>
      <c r="P254" s="421" t="n">
        <f aca="false">MATCH(t-pas/2-T_ini,CdP_t)</f>
        <v>23</v>
      </c>
      <c r="Q254" s="418" t="n">
        <f aca="false">(INDEX(CdP,2,i_P+1)-INDEX(CdP,2,i_P+0))/(INDEX(CdP,1,i_P+1)-INDEX(CdP,1,i_P+0))*(t-pas/2-T_ini-INDEX(CdP,1,i_P+0))+INDEX(CdP,2,i_P+0)</f>
        <v>0</v>
      </c>
      <c r="R254" s="419" t="n">
        <f aca="false">Poussee/(g*ISP)</f>
        <v>0</v>
      </c>
      <c r="S254" s="420" t="n">
        <f aca="false">S253-Débit*pas</f>
        <v>1.4843</v>
      </c>
      <c r="T254" s="418" t="n">
        <f aca="false">m*g</f>
        <v>14.560983</v>
      </c>
      <c r="U254" s="422" t="n">
        <f aca="false">IF(pos_xz&lt;L_rampe,Poids*COS(Beta),0)</f>
        <v>0</v>
      </c>
      <c r="V254" s="419" t="n">
        <f aca="false">Rho_moyen*(20000-Alt_rampe-pos_z)/(20000+Alt_rampe+pos_z)</f>
        <v>1.18761563202994</v>
      </c>
      <c r="W254" s="418" t="n">
        <f aca="false">1/2*Rho*Sref*Cx*vit_xz^2</f>
        <v>0.307804835175109</v>
      </c>
      <c r="X254" s="402"/>
      <c r="Y254" s="423" t="str">
        <f aca="false">IF(AND(pos_z&lt;=0,K253&gt;0),"Impact balistique","") &amp; IF(AND(H255&lt;0,vit_z&gt;=0),"Apogée","") &amp; IF(AND(Poussee=0,Q253&gt;0),"Fin de propulsion","") &amp; IF(AND(L255&gt;L_rampe,pos_xz&lt;=L_rampe),"Sortie de rampe","")</f>
        <v/>
      </c>
      <c r="Z254" s="424" t="str">
        <f aca="false">IF(ABS(t-T_para)&lt;pas/2,"Para","")</f>
        <v/>
      </c>
      <c r="AA254" s="425" t="str">
        <f aca="false">IF(ABS(t-T_satellite)&lt;pas/2,"Satellite","")</f>
        <v/>
      </c>
      <c r="AB254" s="413"/>
      <c r="AC254" s="421" t="n">
        <f aca="false">IF(ABS(t-ROUND(t,0))&lt;0.001,t,NA())</f>
        <v>6.99999999999999</v>
      </c>
      <c r="AD254" s="426" t="n">
        <f aca="false">IF(ABS(t-ROUND(t,0))&lt;0.001,pos_x,NA())</f>
        <v>96.0642893492522</v>
      </c>
      <c r="AE254" s="427" t="n">
        <f aca="false">IF(t&lt;T_para, pos_z, NA())</f>
        <v>309.907367537041</v>
      </c>
      <c r="AF254" s="413"/>
      <c r="AG254" s="419" t="n">
        <f aca="false">IF(AND(L253&lt;L_rampe,Poussee&lt;Poids*SIN(M253)),0,(-W253+Poussee)/m-Poids*SIN(M253)/m)</f>
        <v>-6.73493141746651</v>
      </c>
      <c r="AH254" s="418" t="n">
        <f aca="false">IF(AND(L253&lt;L_rampe,Poussee&lt;Poids*SIN(M253)), g*SIN(M253), (-W253+Poussee)/m)</f>
        <v>-0.223614529549473</v>
      </c>
    </row>
    <row r="255" customFormat="false" ht="12" hidden="false" customHeight="false" outlineLevel="0" collapsed="false">
      <c r="A255" s="417" t="n">
        <f aca="false">IF(B254+0.01&lt;=T_ini+ROUNDUP(Temps_fin_propu,0), 0.01, IF(K254&gt;0, 0.1, 0.0001))</f>
        <v>0.1</v>
      </c>
      <c r="B255" s="418" t="n">
        <f aca="false">B254+pas</f>
        <v>7.09999999999999</v>
      </c>
      <c r="C255" s="402"/>
      <c r="D255" s="419" t="n">
        <f aca="false">IF(AND(L254&lt;L_rampe,Poussee&lt;Poids*SIN(M254)),0,(-W254+Poussee)/m*COS(M254)-U254/m*SIN(M254))</f>
        <v>-0.160855311685374</v>
      </c>
      <c r="E255" s="420" t="n">
        <f aca="false">IF(AND(L254&lt;L_rampe,Poussee&lt;Poids*SIN(M254)),0,(-W254+Poussee)/m*SIN(M254)+U254/m*COS(M254)-Poids/m)</f>
        <v>-9.94087946652688</v>
      </c>
      <c r="F255" s="418" t="n">
        <f aca="false">SQRT(acc_x^2+acc_z^2)</f>
        <v>9.94218079695361</v>
      </c>
      <c r="G255" s="419" t="n">
        <f aca="false">G254+acc_x*pas</f>
        <v>13.2845394875198</v>
      </c>
      <c r="H255" s="420" t="n">
        <f aca="false">H254+acc_z*pas</f>
        <v>9.82792774360243</v>
      </c>
      <c r="I255" s="418" t="n">
        <f aca="false">SQRT(vit_x^2+vit_z^2)</f>
        <v>16.5247436630328</v>
      </c>
      <c r="J255" s="419" t="n">
        <f aca="false">J254+0.5*(vit_x+G254)*pas*(K254&gt;=0)</f>
        <v>97.3935475745626</v>
      </c>
      <c r="K255" s="420" t="n">
        <f aca="false">K254+0.5*(vit_z+H254)*pas</f>
        <v>310.939864708734</v>
      </c>
      <c r="L255" s="418" t="n">
        <f aca="false">SQRT(pos_x^2+pos_z^2)</f>
        <v>325.836005644318</v>
      </c>
      <c r="M255" s="419" t="n">
        <f aca="false">IF(AND(L254&gt;L_rampe,G255&gt;0),ATAN2(G255,H255),$M$4)</f>
        <v>0.63694232174657</v>
      </c>
      <c r="N255" s="418" t="n">
        <f aca="false">DEGREES(Beta)</f>
        <v>36.4941068293422</v>
      </c>
      <c r="O255" s="402"/>
      <c r="P255" s="421" t="n">
        <f aca="false">MATCH(t-pas/2-T_ini,CdP_t)</f>
        <v>23</v>
      </c>
      <c r="Q255" s="418" t="n">
        <f aca="false">(INDEX(CdP,2,i_P+1)-INDEX(CdP,2,i_P+0))/(INDEX(CdP,1,i_P+1)-INDEX(CdP,1,i_P+0))*(t-pas/2-T_ini-INDEX(CdP,1,i_P+0))+INDEX(CdP,2,i_P+0)</f>
        <v>0</v>
      </c>
      <c r="R255" s="419" t="n">
        <f aca="false">Poussee/(g*ISP)</f>
        <v>0</v>
      </c>
      <c r="S255" s="420" t="n">
        <f aca="false">S254-Débit*pas</f>
        <v>1.4843</v>
      </c>
      <c r="T255" s="418" t="n">
        <f aca="false">m*g</f>
        <v>14.560983</v>
      </c>
      <c r="U255" s="422" t="n">
        <f aca="false">IF(pos_xz&lt;L_rampe,Poids*COS(Beta),0)</f>
        <v>0</v>
      </c>
      <c r="V255" s="419" t="n">
        <f aca="false">Rho_moyen*(20000-Alt_rampe-pos_z)/(20000+Alt_rampe+pos_z)</f>
        <v>1.18749298783755</v>
      </c>
      <c r="W255" s="418" t="n">
        <f aca="false">1/2*Rho*Sref*Cx*vit_xz^2</f>
        <v>0.285837537624299</v>
      </c>
      <c r="X255" s="402"/>
      <c r="Y255" s="423" t="str">
        <f aca="false">IF(AND(pos_z&lt;=0,K254&gt;0),"Impact balistique","") &amp; IF(AND(H256&lt;0,vit_z&gt;=0),"Apogée","") &amp; IF(AND(Poussee=0,Q254&gt;0),"Fin de propulsion","") &amp; IF(AND(L256&gt;L_rampe,pos_xz&lt;=L_rampe),"Sortie de rampe","")</f>
        <v/>
      </c>
      <c r="Z255" s="424" t="str">
        <f aca="false">IF(ABS(t-T_para)&lt;pas/2,"Para","")</f>
        <v/>
      </c>
      <c r="AA255" s="425" t="str">
        <f aca="false">IF(ABS(t-T_satellite)&lt;pas/2,"Satellite","")</f>
        <v/>
      </c>
      <c r="AB255" s="413"/>
      <c r="AC255" s="421" t="e">
        <f aca="false">IF(ABS(t-ROUND(t,0))&lt;0.001,t,NA())</f>
        <v>#N/A</v>
      </c>
      <c r="AD255" s="426" t="e">
        <f aca="false">IF(ABS(t-ROUND(t,0))&lt;0.001,pos_x,NA())</f>
        <v>#N/A</v>
      </c>
      <c r="AE255" s="427" t="n">
        <f aca="false">IF(t&lt;T_para, pos_z, NA())</f>
        <v>310.939864708734</v>
      </c>
      <c r="AF255" s="413"/>
      <c r="AG255" s="419" t="n">
        <f aca="false">IF(AND(L254&lt;L_rampe,Poussee&lt;Poids*SIN(M254)),0,(-W254+Poussee)/m-Poids*SIN(M254)/m)</f>
        <v>-6.39874394569873</v>
      </c>
      <c r="AH255" s="418" t="n">
        <f aca="false">IF(AND(L254&lt;L_rampe,Poussee&lt;Poids*SIN(M254)), g*SIN(M254), (-W254+Poussee)/m)</f>
        <v>-0.207373735211958</v>
      </c>
    </row>
    <row r="256" customFormat="false" ht="12" hidden="false" customHeight="false" outlineLevel="0" collapsed="false">
      <c r="A256" s="417" t="n">
        <f aca="false">IF(B255+0.01&lt;=T_ini+ROUNDUP(Temps_fin_propu,0), 0.01, IF(K255&gt;0, 0.1, 0.0001))</f>
        <v>0.1</v>
      </c>
      <c r="B256" s="418" t="n">
        <f aca="false">B255+pas</f>
        <v>7.19999999999999</v>
      </c>
      <c r="C256" s="402"/>
      <c r="D256" s="419" t="n">
        <f aca="false">IF(AND(L255&lt;L_rampe,Poussee&lt;Poids*SIN(M255)),0,(-W255+Poussee)/m*COS(M255)-U255/m*SIN(M255))</f>
        <v>-0.15481368466479</v>
      </c>
      <c r="E256" s="420" t="n">
        <f aca="false">IF(AND(L255&lt;L_rampe,Poussee&lt;Poids*SIN(M255)),0,(-W255+Poussee)/m*SIN(M255)+U255/m*COS(M255)-Poids/m)</f>
        <v>-9.9245314602765</v>
      </c>
      <c r="F256" s="418" t="n">
        <f aca="false">SQRT(acc_x^2+acc_z^2)</f>
        <v>9.92573886332788</v>
      </c>
      <c r="G256" s="419" t="n">
        <f aca="false">G255+acc_x*pas</f>
        <v>13.2690581190533</v>
      </c>
      <c r="H256" s="420" t="n">
        <f aca="false">H255+acc_z*pas</f>
        <v>8.83547459757478</v>
      </c>
      <c r="I256" s="418" t="n">
        <f aca="false">SQRT(vit_x^2+vit_z^2)</f>
        <v>15.9415656298622</v>
      </c>
      <c r="J256" s="419" t="n">
        <f aca="false">J255+0.5*(vit_x+G255)*pas*(K255&gt;=0)</f>
        <v>98.7212274548912</v>
      </c>
      <c r="K256" s="420" t="n">
        <f aca="false">K255+0.5*(vit_z+H255)*pas</f>
        <v>311.873034825793</v>
      </c>
      <c r="L256" s="418" t="n">
        <f aca="false">SQRT(pos_x^2+pos_z^2)</f>
        <v>327.124854759846</v>
      </c>
      <c r="M256" s="419" t="n">
        <f aca="false">IF(AND(L255&gt;L_rampe,G256&gt;0),ATAN2(G256,H256),$M$4)</f>
        <v>0.58745122086122</v>
      </c>
      <c r="N256" s="418" t="n">
        <f aca="false">DEGREES(Beta)</f>
        <v>33.6584756251555</v>
      </c>
      <c r="O256" s="402"/>
      <c r="P256" s="421" t="n">
        <f aca="false">MATCH(t-pas/2-T_ini,CdP_t)</f>
        <v>23</v>
      </c>
      <c r="Q256" s="418" t="n">
        <f aca="false">(INDEX(CdP,2,i_P+1)-INDEX(CdP,2,i_P+0))/(INDEX(CdP,1,i_P+1)-INDEX(CdP,1,i_P+0))*(t-pas/2-T_ini-INDEX(CdP,1,i_P+0))+INDEX(CdP,2,i_P+0)</f>
        <v>0</v>
      </c>
      <c r="R256" s="419" t="n">
        <f aca="false">Poussee/(g*ISP)</f>
        <v>0</v>
      </c>
      <c r="S256" s="420" t="n">
        <f aca="false">S255-Débit*pas</f>
        <v>1.4843</v>
      </c>
      <c r="T256" s="418" t="n">
        <f aca="false">m*g</f>
        <v>14.560983</v>
      </c>
      <c r="U256" s="422" t="n">
        <f aca="false">IF(pos_xz&lt;L_rampe,Poids*COS(Beta),0)</f>
        <v>0</v>
      </c>
      <c r="V256" s="419" t="n">
        <f aca="false">Rho_moyen*(20000-Alt_rampe-pos_z)/(20000+Alt_rampe+pos_z)</f>
        <v>1.18738215284168</v>
      </c>
      <c r="W256" s="418" t="n">
        <f aca="false">1/2*Rho*Sref*Cx*vit_xz^2</f>
        <v>0.26599361104918</v>
      </c>
      <c r="X256" s="402"/>
      <c r="Y256" s="423" t="str">
        <f aca="false">IF(AND(pos_z&lt;=0,K255&gt;0),"Impact balistique","") &amp; IF(AND(H257&lt;0,vit_z&gt;=0),"Apogée","") &amp; IF(AND(Poussee=0,Q255&gt;0),"Fin de propulsion","") &amp; IF(AND(L257&gt;L_rampe,pos_xz&lt;=L_rampe),"Sortie de rampe","")</f>
        <v/>
      </c>
      <c r="Z256" s="424" t="str">
        <f aca="false">IF(ABS(t-T_para)&lt;pas/2,"Para","")</f>
        <v/>
      </c>
      <c r="AA256" s="425" t="str">
        <f aca="false">IF(ABS(t-T_satellite)&lt;pas/2,"Satellite","")</f>
        <v/>
      </c>
      <c r="AB256" s="413"/>
      <c r="AC256" s="421" t="e">
        <f aca="false">IF(ABS(t-ROUND(t,0))&lt;0.001,t,NA())</f>
        <v>#N/A</v>
      </c>
      <c r="AD256" s="426" t="e">
        <f aca="false">IF(ABS(t-ROUND(t,0))&lt;0.001,pos_x,NA())</f>
        <v>#N/A</v>
      </c>
      <c r="AE256" s="427" t="n">
        <f aca="false">IF(t&lt;T_para, pos_z, NA())</f>
        <v>311.873034825793</v>
      </c>
      <c r="AF256" s="413"/>
      <c r="AG256" s="419" t="n">
        <f aca="false">IF(AND(L255&lt;L_rampe,Poussee&lt;Poids*SIN(M255)),0,(-W255+Poussee)/m-Poids*SIN(M255)/m)</f>
        <v>-6.02697437362643</v>
      </c>
      <c r="AH256" s="418" t="n">
        <f aca="false">IF(AND(L255&lt;L_rampe,Poussee&lt;Poids*SIN(M255)), g*SIN(M255), (-W255+Poussee)/m)</f>
        <v>-0.192573965926227</v>
      </c>
    </row>
    <row r="257" customFormat="false" ht="12" hidden="false" customHeight="false" outlineLevel="0" collapsed="false">
      <c r="A257" s="417" t="n">
        <f aca="false">IF(B256+0.01&lt;=T_ini+ROUNDUP(Temps_fin_propu,0), 0.01, IF(K256&gt;0, 0.1, 0.0001))</f>
        <v>0.1</v>
      </c>
      <c r="B257" s="418" t="n">
        <f aca="false">B256+pas</f>
        <v>7.29999999999999</v>
      </c>
      <c r="C257" s="402"/>
      <c r="D257" s="419" t="n">
        <f aca="false">IF(AND(L256&lt;L_rampe,Poussee&lt;Poids*SIN(M256)),0,(-W256+Poussee)/m*COS(M256)-U256/m*SIN(M256))</f>
        <v>-0.149162152811769</v>
      </c>
      <c r="E257" s="420" t="n">
        <f aca="false">IF(AND(L256&lt;L_rampe,Poussee&lt;Poids*SIN(M256)),0,(-W256+Poussee)/m*SIN(M256)+U256/m*COS(M256)-Poids/m)</f>
        <v>-9.90932267989659</v>
      </c>
      <c r="F257" s="418" t="n">
        <f aca="false">SQRT(acc_x^2+acc_z^2)</f>
        <v>9.91044526356633</v>
      </c>
      <c r="G257" s="419" t="n">
        <f aca="false">G256+acc_x*pas</f>
        <v>13.2541419037721</v>
      </c>
      <c r="H257" s="420" t="n">
        <f aca="false">H256+acc_z*pas</f>
        <v>7.84454232958512</v>
      </c>
      <c r="I257" s="418" t="n">
        <f aca="false">SQRT(vit_x^2+vit_z^2)</f>
        <v>15.4015947864492</v>
      </c>
      <c r="J257" s="419" t="n">
        <f aca="false">J256+0.5*(vit_x+G256)*pas*(K256&gt;=0)</f>
        <v>100.047387456033</v>
      </c>
      <c r="K257" s="420" t="n">
        <f aca="false">K256+0.5*(vit_z+H256)*pas</f>
        <v>312.707035672151</v>
      </c>
      <c r="L257" s="418" t="n">
        <f aca="false">SQRT(pos_x^2+pos_z^2)</f>
        <v>328.321747521606</v>
      </c>
      <c r="M257" s="419" t="n">
        <f aca="false">IF(AND(L256&gt;L_rampe,G257&gt;0),ATAN2(G257,H257),$M$4)</f>
        <v>0.53440968396788</v>
      </c>
      <c r="N257" s="418" t="n">
        <f aca="false">DEGREES(Beta)</f>
        <v>30.6194194222797</v>
      </c>
      <c r="O257" s="402"/>
      <c r="P257" s="421" t="n">
        <f aca="false">MATCH(t-pas/2-T_ini,CdP_t)</f>
        <v>23</v>
      </c>
      <c r="Q257" s="418" t="n">
        <f aca="false">(INDEX(CdP,2,i_P+1)-INDEX(CdP,2,i_P+0))/(INDEX(CdP,1,i_P+1)-INDEX(CdP,1,i_P+0))*(t-pas/2-T_ini-INDEX(CdP,1,i_P+0))+INDEX(CdP,2,i_P+0)</f>
        <v>0</v>
      </c>
      <c r="R257" s="419" t="n">
        <f aca="false">Poussee/(g*ISP)</f>
        <v>0</v>
      </c>
      <c r="S257" s="420" t="n">
        <f aca="false">S256-Débit*pas</f>
        <v>1.4843</v>
      </c>
      <c r="T257" s="418" t="n">
        <f aca="false">m*g</f>
        <v>14.560983</v>
      </c>
      <c r="U257" s="422" t="n">
        <f aca="false">IF(pos_xz&lt;L_rampe,Poids*COS(Beta),0)</f>
        <v>0</v>
      </c>
      <c r="V257" s="419" t="n">
        <f aca="false">Rho_moyen*(20000-Alt_rampe-pos_z)/(20000+Alt_rampe+pos_z)</f>
        <v>1.18728310505088</v>
      </c>
      <c r="W257" s="418" t="n">
        <f aca="false">1/2*Rho*Sref*Cx*vit_xz^2</f>
        <v>0.248258667132126</v>
      </c>
      <c r="X257" s="402"/>
      <c r="Y257" s="423" t="str">
        <f aca="false">IF(AND(pos_z&lt;=0,K256&gt;0),"Impact balistique","") &amp; IF(AND(H258&lt;0,vit_z&gt;=0),"Apogée","") &amp; IF(AND(Poussee=0,Q256&gt;0),"Fin de propulsion","") &amp; IF(AND(L258&gt;L_rampe,pos_xz&lt;=L_rampe),"Sortie de rampe","")</f>
        <v/>
      </c>
      <c r="Z257" s="424" t="str">
        <f aca="false">IF(ABS(t-T_para)&lt;pas/2,"Para","")</f>
        <v/>
      </c>
      <c r="AA257" s="425" t="str">
        <f aca="false">IF(ABS(t-T_satellite)&lt;pas/2,"Satellite","")</f>
        <v/>
      </c>
      <c r="AB257" s="413"/>
      <c r="AC257" s="421" t="e">
        <f aca="false">IF(ABS(t-ROUND(t,0))&lt;0.001,t,NA())</f>
        <v>#N/A</v>
      </c>
      <c r="AD257" s="426" t="e">
        <f aca="false">IF(ABS(t-ROUND(t,0))&lt;0.001,pos_x,NA())</f>
        <v>#N/A</v>
      </c>
      <c r="AE257" s="427" t="n">
        <f aca="false">IF(t&lt;T_para, pos_z, NA())</f>
        <v>312.707035672151</v>
      </c>
      <c r="AF257" s="413"/>
      <c r="AG257" s="419" t="n">
        <f aca="false">IF(AND(L256&lt;L_rampe,Poussee&lt;Poids*SIN(M256)),0,(-W256+Poussee)/m-Poids*SIN(M256)/m)</f>
        <v>-5.61631223501066</v>
      </c>
      <c r="AH257" s="418" t="n">
        <f aca="false">IF(AND(L256&lt;L_rampe,Poussee&lt;Poids*SIN(M256)), g*SIN(M256), (-W256+Poussee)/m)</f>
        <v>-0.179204750420522</v>
      </c>
    </row>
    <row r="258" customFormat="false" ht="12" hidden="false" customHeight="false" outlineLevel="0" collapsed="false">
      <c r="A258" s="417" t="n">
        <f aca="false">IF(B257+0.01&lt;=T_ini+ROUNDUP(Temps_fin_propu,0), 0.01, IF(K257&gt;0, 0.1, 0.0001))</f>
        <v>0.1</v>
      </c>
      <c r="B258" s="418" t="n">
        <f aca="false">B257+pas</f>
        <v>7.39999999999999</v>
      </c>
      <c r="C258" s="402"/>
      <c r="D258" s="419" t="n">
        <f aca="false">IF(AND(L257&lt;L_rampe,Poussee&lt;Poids*SIN(M257)),0,(-W257+Poussee)/m*COS(M257)-U257/m*SIN(M257))</f>
        <v>-0.143935743322767</v>
      </c>
      <c r="E258" s="420" t="n">
        <f aca="false">IF(AND(L257&lt;L_rampe,Poussee&lt;Poids*SIN(M257)),0,(-W257+Poussee)/m*SIN(M257)+U257/m*COS(M257)-Poids/m)</f>
        <v>-9.89518922156058</v>
      </c>
      <c r="F258" s="418" t="n">
        <f aca="false">SQRT(acc_x^2+acc_z^2)</f>
        <v>9.89623601318676</v>
      </c>
      <c r="G258" s="419" t="n">
        <f aca="false">G257+acc_x*pas</f>
        <v>13.2397483294398</v>
      </c>
      <c r="H258" s="420" t="n">
        <f aca="false">H257+acc_z*pas</f>
        <v>6.85502340742906</v>
      </c>
      <c r="I258" s="418" t="n">
        <f aca="false">SQRT(vit_x^2+vit_z^2)</f>
        <v>14.9091341714838</v>
      </c>
      <c r="J258" s="419" t="n">
        <f aca="false">J257+0.5*(vit_x+G257)*pas*(K257&gt;=0)</f>
        <v>101.372081967693</v>
      </c>
      <c r="K258" s="420" t="n">
        <f aca="false">K257+0.5*(vit_z+H257)*pas</f>
        <v>313.442013959001</v>
      </c>
      <c r="L258" s="418" t="n">
        <f aca="false">SQRT(pos_x^2+pos_z^2)</f>
        <v>329.42707101442</v>
      </c>
      <c r="M258" s="419" t="n">
        <f aca="false">IF(AND(L257&gt;L_rampe,G258&gt;0),ATAN2(G258,H258),$M$4)</f>
        <v>0.477755125297765</v>
      </c>
      <c r="N258" s="418" t="n">
        <f aca="false">DEGREES(Beta)</f>
        <v>27.3733523203058</v>
      </c>
      <c r="O258" s="402"/>
      <c r="P258" s="421" t="n">
        <f aca="false">MATCH(t-pas/2-T_ini,CdP_t)</f>
        <v>23</v>
      </c>
      <c r="Q258" s="418" t="n">
        <f aca="false">(INDEX(CdP,2,i_P+1)-INDEX(CdP,2,i_P+0))/(INDEX(CdP,1,i_P+1)-INDEX(CdP,1,i_P+0))*(t-pas/2-T_ini-INDEX(CdP,1,i_P+0))+INDEX(CdP,2,i_P+0)</f>
        <v>0</v>
      </c>
      <c r="R258" s="419" t="n">
        <f aca="false">Poussee/(g*ISP)</f>
        <v>0</v>
      </c>
      <c r="S258" s="420" t="n">
        <f aca="false">S257-Débit*pas</f>
        <v>1.4843</v>
      </c>
      <c r="T258" s="418" t="n">
        <f aca="false">m*g</f>
        <v>14.560983</v>
      </c>
      <c r="U258" s="422" t="n">
        <f aca="false">IF(pos_xz&lt;L_rampe,Poids*COS(Beta),0)</f>
        <v>0</v>
      </c>
      <c r="V258" s="419" t="n">
        <f aca="false">Rho_moyen*(20000-Alt_rampe-pos_z)/(20000+Alt_rampe+pos_z)</f>
        <v>1.18719582414089</v>
      </c>
      <c r="W258" s="418" t="n">
        <f aca="false">1/2*Rho*Sref*Cx*vit_xz^2</f>
        <v>0.232619411187623</v>
      </c>
      <c r="X258" s="402"/>
      <c r="Y258" s="423" t="str">
        <f aca="false">IF(AND(pos_z&lt;=0,K257&gt;0),"Impact balistique","") &amp; IF(AND(H259&lt;0,vit_z&gt;=0),"Apogée","") &amp; IF(AND(Poussee=0,Q257&gt;0),"Fin de propulsion","") &amp; IF(AND(L259&gt;L_rampe,pos_xz&lt;=L_rampe),"Sortie de rampe","")</f>
        <v/>
      </c>
      <c r="Z258" s="424" t="str">
        <f aca="false">IF(ABS(t-T_para)&lt;pas/2,"Para","")</f>
        <v/>
      </c>
      <c r="AA258" s="425" t="str">
        <f aca="false">IF(ABS(t-T_satellite)&lt;pas/2,"Satellite","")</f>
        <v/>
      </c>
      <c r="AB258" s="413"/>
      <c r="AC258" s="421" t="e">
        <f aca="false">IF(ABS(t-ROUND(t,0))&lt;0.001,t,NA())</f>
        <v>#N/A</v>
      </c>
      <c r="AD258" s="426" t="e">
        <f aca="false">IF(ABS(t-ROUND(t,0))&lt;0.001,pos_x,NA())</f>
        <v>#N/A</v>
      </c>
      <c r="AE258" s="427" t="n">
        <f aca="false">IF(t&lt;T_para, pos_z, NA())</f>
        <v>313.442013959001</v>
      </c>
      <c r="AF258" s="413"/>
      <c r="AG258" s="419" t="n">
        <f aca="false">IF(AND(L257&lt;L_rampe,Poussee&lt;Poids*SIN(M257)),0,(-W257+Poussee)/m-Poids*SIN(M257)/m)</f>
        <v>-5.16381430478776</v>
      </c>
      <c r="AH258" s="418" t="n">
        <f aca="false">IF(AND(L257&lt;L_rampe,Poussee&lt;Poids*SIN(M257)), g*SIN(M257), (-W257+Poussee)/m)</f>
        <v>-0.167256395022655</v>
      </c>
    </row>
    <row r="259" customFormat="false" ht="12" hidden="false" customHeight="false" outlineLevel="0" collapsed="false">
      <c r="A259" s="417" t="n">
        <f aca="false">IF(B258+0.01&lt;=T_ini+ROUNDUP(Temps_fin_propu,0), 0.01, IF(K258&gt;0, 0.1, 0.0001))</f>
        <v>0.1</v>
      </c>
      <c r="B259" s="418" t="n">
        <f aca="false">B258+pas</f>
        <v>7.49999999999999</v>
      </c>
      <c r="C259" s="402"/>
      <c r="D259" s="419" t="n">
        <f aca="false">IF(AND(L258&lt;L_rampe,Poussee&lt;Poids*SIN(M258)),0,(-W258+Poussee)/m*COS(M258)-U258/m*SIN(M258))</f>
        <v>-0.139171904807452</v>
      </c>
      <c r="E259" s="420" t="n">
        <f aca="false">IF(AND(L258&lt;L_rampe,Poussee&lt;Poids*SIN(M258)),0,(-W258+Poussee)/m*SIN(M258)+U258/m*COS(M258)-Poids/m)</f>
        <v>-9.88205776434513</v>
      </c>
      <c r="F259" s="418" t="n">
        <f aca="false">SQRT(acc_x^2+acc_z^2)</f>
        <v>9.88303771504195</v>
      </c>
      <c r="G259" s="419" t="n">
        <f aca="false">G258+acc_x*pas</f>
        <v>13.2258311389591</v>
      </c>
      <c r="H259" s="420" t="n">
        <f aca="false">H258+acc_z*pas</f>
        <v>5.86681763099455</v>
      </c>
      <c r="I259" s="418" t="n">
        <f aca="false">SQRT(vit_x^2+vit_z^2)</f>
        <v>14.468661252224</v>
      </c>
      <c r="J259" s="419" t="n">
        <f aca="false">J258+0.5*(vit_x+G258)*pas*(K258&gt;=0)</f>
        <v>102.695360941113</v>
      </c>
      <c r="K259" s="420" t="n">
        <f aca="false">K258+0.5*(vit_z+H258)*pas</f>
        <v>314.078106010923</v>
      </c>
      <c r="L259" s="418" t="n">
        <f aca="false">SQRT(pos_x^2+pos_z^2)</f>
        <v>330.441210859411</v>
      </c>
      <c r="M259" s="419" t="n">
        <f aca="false">IF(AND(L258&gt;L_rampe,G259&gt;0),ATAN2(G259,H259),$M$4)</f>
        <v>0.417508778436659</v>
      </c>
      <c r="N259" s="418" t="n">
        <f aca="false">DEGREES(Beta)</f>
        <v>23.9214909140831</v>
      </c>
      <c r="O259" s="402"/>
      <c r="P259" s="421" t="n">
        <f aca="false">MATCH(t-pas/2-T_ini,CdP_t)</f>
        <v>23</v>
      </c>
      <c r="Q259" s="418" t="n">
        <f aca="false">(INDEX(CdP,2,i_P+1)-INDEX(CdP,2,i_P+0))/(INDEX(CdP,1,i_P+1)-INDEX(CdP,1,i_P+0))*(t-pas/2-T_ini-INDEX(CdP,1,i_P+0))+INDEX(CdP,2,i_P+0)</f>
        <v>0</v>
      </c>
      <c r="R259" s="419" t="n">
        <f aca="false">Poussee/(g*ISP)</f>
        <v>0</v>
      </c>
      <c r="S259" s="420" t="n">
        <f aca="false">S258-Débit*pas</f>
        <v>1.4843</v>
      </c>
      <c r="T259" s="418" t="n">
        <f aca="false">m*g</f>
        <v>14.560983</v>
      </c>
      <c r="U259" s="422" t="n">
        <f aca="false">IF(pos_xz&lt;L_rampe,Poids*COS(Beta),0)</f>
        <v>0</v>
      </c>
      <c r="V259" s="419" t="n">
        <f aca="false">Rho_moyen*(20000-Alt_rampe-pos_z)/(20000+Alt_rampe+pos_z)</f>
        <v>1.18712029137079</v>
      </c>
      <c r="W259" s="418" t="n">
        <f aca="false">1/2*Rho*Sref*Cx*vit_xz^2</f>
        <v>0.219063575398855</v>
      </c>
      <c r="X259" s="402"/>
      <c r="Y259" s="423" t="str">
        <f aca="false">IF(AND(pos_z&lt;=0,K258&gt;0),"Impact balistique","") &amp; IF(AND(H260&lt;0,vit_z&gt;=0),"Apogée","") &amp; IF(AND(Poussee=0,Q258&gt;0),"Fin de propulsion","") &amp; IF(AND(L260&gt;L_rampe,pos_xz&lt;=L_rampe),"Sortie de rampe","")</f>
        <v/>
      </c>
      <c r="Z259" s="424" t="str">
        <f aca="false">IF(ABS(t-T_para)&lt;pas/2,"Para","")</f>
        <v/>
      </c>
      <c r="AA259" s="425" t="str">
        <f aca="false">IF(ABS(t-T_satellite)&lt;pas/2,"Satellite","")</f>
        <v/>
      </c>
      <c r="AB259" s="413"/>
      <c r="AC259" s="421" t="e">
        <f aca="false">IF(ABS(t-ROUND(t,0))&lt;0.001,t,NA())</f>
        <v>#N/A</v>
      </c>
      <c r="AD259" s="426" t="e">
        <f aca="false">IF(ABS(t-ROUND(t,0))&lt;0.001,pos_x,NA())</f>
        <v>#N/A</v>
      </c>
      <c r="AE259" s="427" t="n">
        <f aca="false">IF(t&lt;T_para, pos_z, NA())</f>
        <v>314.078106010923</v>
      </c>
      <c r="AF259" s="413"/>
      <c r="AG259" s="419" t="n">
        <f aca="false">IF(AND(L258&lt;L_rampe,Poussee&lt;Poids*SIN(M258)),0,(-W258+Poussee)/m-Poids*SIN(M258)/m)</f>
        <v>-4.66722865875224</v>
      </c>
      <c r="AH259" s="418" t="n">
        <f aca="false">IF(AND(L258&lt;L_rampe,Poussee&lt;Poids*SIN(M258)), g*SIN(M258), (-W258+Poussee)/m)</f>
        <v>-0.156719942860354</v>
      </c>
    </row>
    <row r="260" customFormat="false" ht="12" hidden="false" customHeight="false" outlineLevel="0" collapsed="false">
      <c r="A260" s="417" t="n">
        <f aca="false">IF(B259+0.01&lt;=T_ini+ROUNDUP(Temps_fin_propu,0), 0.01, IF(K259&gt;0, 0.1, 0.0001))</f>
        <v>0.1</v>
      </c>
      <c r="B260" s="418" t="n">
        <f aca="false">B259+pas</f>
        <v>7.59999999999999</v>
      </c>
      <c r="C260" s="402"/>
      <c r="D260" s="419" t="n">
        <f aca="false">IF(AND(L259&lt;L_rampe,Poussee&lt;Poids*SIN(M259)),0,(-W259+Poussee)/m*COS(M259)-U259/m*SIN(M259))</f>
        <v>-0.134909678984355</v>
      </c>
      <c r="E260" s="420" t="n">
        <f aca="false">IF(AND(L259&lt;L_rampe,Poussee&lt;Poids*SIN(M259)),0,(-W259+Poussee)/m*SIN(M259)+U259/m*COS(M259)-Poids/m)</f>
        <v>-9.86984429068702</v>
      </c>
      <c r="F260" s="418" t="n">
        <f aca="false">SQRT(acc_x^2+acc_z^2)</f>
        <v>9.87076627946841</v>
      </c>
      <c r="G260" s="419" t="n">
        <f aca="false">G259+acc_x*pas</f>
        <v>13.2123401710606</v>
      </c>
      <c r="H260" s="420" t="n">
        <f aca="false">H259+acc_z*pas</f>
        <v>4.87983320192585</v>
      </c>
      <c r="I260" s="418" t="n">
        <f aca="false">SQRT(vit_x^2+vit_z^2)</f>
        <v>14.0846975428811</v>
      </c>
      <c r="J260" s="419" t="n">
        <f aca="false">J259+0.5*(vit_x+G259)*pas*(K259&gt;=0)</f>
        <v>104.017269506614</v>
      </c>
      <c r="K260" s="420" t="n">
        <f aca="false">K259+0.5*(vit_z+H259)*pas</f>
        <v>314.615438552569</v>
      </c>
      <c r="L260" s="418" t="n">
        <f aca="false">SQRT(pos_x^2+pos_z^2)</f>
        <v>331.364552315477</v>
      </c>
      <c r="M260" s="419" t="n">
        <f aca="false">IF(AND(L259&gt;L_rampe,G260&gt;0),ATAN2(G260,H260),$M$4)</f>
        <v>0.353798434834024</v>
      </c>
      <c r="N260" s="418" t="n">
        <f aca="false">DEGREES(Beta)</f>
        <v>20.2711571143239</v>
      </c>
      <c r="O260" s="402"/>
      <c r="P260" s="421" t="n">
        <f aca="false">MATCH(t-pas/2-T_ini,CdP_t)</f>
        <v>23</v>
      </c>
      <c r="Q260" s="418" t="n">
        <f aca="false">(INDEX(CdP,2,i_P+1)-INDEX(CdP,2,i_P+0))/(INDEX(CdP,1,i_P+1)-INDEX(CdP,1,i_P+0))*(t-pas/2-T_ini-INDEX(CdP,1,i_P+0))+INDEX(CdP,2,i_P+0)</f>
        <v>0</v>
      </c>
      <c r="R260" s="419" t="n">
        <f aca="false">Poussee/(g*ISP)</f>
        <v>0</v>
      </c>
      <c r="S260" s="420" t="n">
        <f aca="false">S259-Débit*pas</f>
        <v>1.4843</v>
      </c>
      <c r="T260" s="418" t="n">
        <f aca="false">m*g</f>
        <v>14.560983</v>
      </c>
      <c r="U260" s="422" t="n">
        <f aca="false">IF(pos_xz&lt;L_rampe,Poids*COS(Beta),0)</f>
        <v>0</v>
      </c>
      <c r="V260" s="419" t="n">
        <f aca="false">Rho_moyen*(20000-Alt_rampe-pos_z)/(20000+Alt_rampe+pos_z)</f>
        <v>1.18705648948732</v>
      </c>
      <c r="W260" s="418" t="n">
        <f aca="false">1/2*Rho*Sref*Cx*vit_xz^2</f>
        <v>0.207579844731864</v>
      </c>
      <c r="X260" s="402"/>
      <c r="Y260" s="423" t="str">
        <f aca="false">IF(AND(pos_z&lt;=0,K259&gt;0),"Impact balistique","") &amp; IF(AND(H261&lt;0,vit_z&gt;=0),"Apogée","") &amp; IF(AND(Poussee=0,Q259&gt;0),"Fin de propulsion","") &amp; IF(AND(L261&gt;L_rampe,pos_xz&lt;=L_rampe),"Sortie de rampe","")</f>
        <v/>
      </c>
      <c r="Z260" s="424" t="str">
        <f aca="false">IF(ABS(t-T_para)&lt;pas/2,"Para","")</f>
        <v/>
      </c>
      <c r="AA260" s="425" t="str">
        <f aca="false">IF(ABS(t-T_satellite)&lt;pas/2,"Satellite","")</f>
        <v/>
      </c>
      <c r="AB260" s="413"/>
      <c r="AC260" s="421" t="e">
        <f aca="false">IF(ABS(t-ROUND(t,0))&lt;0.001,t,NA())</f>
        <v>#N/A</v>
      </c>
      <c r="AD260" s="426" t="e">
        <f aca="false">IF(ABS(t-ROUND(t,0))&lt;0.001,pos_x,NA())</f>
        <v>#N/A</v>
      </c>
      <c r="AE260" s="427" t="n">
        <f aca="false">IF(t&lt;T_para, pos_z, NA())</f>
        <v>314.615438552569</v>
      </c>
      <c r="AF260" s="413"/>
      <c r="AG260" s="419" t="n">
        <f aca="false">IF(AND(L259&lt;L_rampe,Poussee&lt;Poids*SIN(M259)),0,(-W259+Poussee)/m-Poids*SIN(M259)/m)</f>
        <v>-4.12538990944009</v>
      </c>
      <c r="AH260" s="418" t="n">
        <f aca="false">IF(AND(L259&lt;L_rampe,Poussee&lt;Poids*SIN(M259)), g*SIN(M259), (-W259+Poussee)/m)</f>
        <v>-0.14758712888153</v>
      </c>
    </row>
    <row r="261" customFormat="false" ht="12" hidden="false" customHeight="false" outlineLevel="0" collapsed="false">
      <c r="A261" s="417" t="n">
        <f aca="false">IF(B260+0.01&lt;=T_ini+ROUNDUP(Temps_fin_propu,0), 0.01, IF(K260&gt;0, 0.1, 0.0001))</f>
        <v>0.1</v>
      </c>
      <c r="B261" s="418" t="n">
        <f aca="false">B260+pas</f>
        <v>7.69999999999999</v>
      </c>
      <c r="C261" s="402"/>
      <c r="D261" s="419" t="n">
        <f aca="false">IF(AND(L260&lt;L_rampe,Poussee&lt;Poids*SIN(M260)),0,(-W260+Poussee)/m*COS(M260)-U260/m*SIN(M260))</f>
        <v>-0.131188484991882</v>
      </c>
      <c r="E261" s="420" t="n">
        <f aca="false">IF(AND(L260&lt;L_rampe,Poussee&lt;Poids*SIN(M260)),0,(-W260+Poussee)/m*SIN(M260)+U260/m*COS(M260)-Poids/m)</f>
        <v>-9.85845303076407</v>
      </c>
      <c r="F261" s="418" t="n">
        <f aca="false">SQRT(acc_x^2+acc_z^2)</f>
        <v>9.85932586835306</v>
      </c>
      <c r="G261" s="419" t="n">
        <f aca="false">G260+acc_x*pas</f>
        <v>13.1992213225615</v>
      </c>
      <c r="H261" s="420" t="n">
        <f aca="false">H260+acc_z*pas</f>
        <v>3.89398789884944</v>
      </c>
      <c r="I261" s="418" t="n">
        <f aca="false">SQRT(vit_x^2+vit_z^2)</f>
        <v>13.7616345423916</v>
      </c>
      <c r="J261" s="419" t="n">
        <f aca="false">J260+0.5*(vit_x+G260)*pas*(K260&gt;=0)</f>
        <v>105.337847581295</v>
      </c>
      <c r="K261" s="420" t="n">
        <f aca="false">K260+0.5*(vit_z+H260)*pas</f>
        <v>315.054129607607</v>
      </c>
      <c r="L261" s="418" t="n">
        <f aca="false">SQRT(pos_x^2+pos_z^2)</f>
        <v>332.197481501391</v>
      </c>
      <c r="M261" s="419" t="n">
        <f aca="false">IF(AND(L260&gt;L_rampe,G261&gt;0),ATAN2(G261,H261),$M$4)</f>
        <v>0.286878516060607</v>
      </c>
      <c r="N261" s="418" t="n">
        <f aca="false">DEGREES(Beta)</f>
        <v>16.4369282032488</v>
      </c>
      <c r="O261" s="402"/>
      <c r="P261" s="421" t="n">
        <f aca="false">MATCH(t-pas/2-T_ini,CdP_t)</f>
        <v>23</v>
      </c>
      <c r="Q261" s="418" t="n">
        <f aca="false">(INDEX(CdP,2,i_P+1)-INDEX(CdP,2,i_P+0))/(INDEX(CdP,1,i_P+1)-INDEX(CdP,1,i_P+0))*(t-pas/2-T_ini-INDEX(CdP,1,i_P+0))+INDEX(CdP,2,i_P+0)</f>
        <v>0</v>
      </c>
      <c r="R261" s="419" t="n">
        <f aca="false">Poussee/(g*ISP)</f>
        <v>0</v>
      </c>
      <c r="S261" s="420" t="n">
        <f aca="false">S260-Débit*pas</f>
        <v>1.4843</v>
      </c>
      <c r="T261" s="418" t="n">
        <f aca="false">m*g</f>
        <v>14.560983</v>
      </c>
      <c r="U261" s="422" t="n">
        <f aca="false">IF(pos_xz&lt;L_rampe,Poids*COS(Beta),0)</f>
        <v>0</v>
      </c>
      <c r="V261" s="419" t="n">
        <f aca="false">Rho_moyen*(20000-Alt_rampe-pos_z)/(20000+Alt_rampe+pos_z)</f>
        <v>1.1870044026162</v>
      </c>
      <c r="W261" s="418" t="n">
        <f aca="false">1/2*Rho*Sref*Cx*vit_xz^2</f>
        <v>0.198157774543655</v>
      </c>
      <c r="X261" s="402"/>
      <c r="Y261" s="423" t="str">
        <f aca="false">IF(AND(pos_z&lt;=0,K260&gt;0),"Impact balistique","") &amp; IF(AND(H262&lt;0,vit_z&gt;=0),"Apogée","") &amp; IF(AND(Poussee=0,Q260&gt;0),"Fin de propulsion","") &amp; IF(AND(L262&gt;L_rampe,pos_xz&lt;=L_rampe),"Sortie de rampe","")</f>
        <v/>
      </c>
      <c r="Z261" s="424" t="str">
        <f aca="false">IF(ABS(t-T_para)&lt;pas/2,"Para","")</f>
        <v/>
      </c>
      <c r="AA261" s="425" t="str">
        <f aca="false">IF(ABS(t-T_satellite)&lt;pas/2,"Satellite","")</f>
        <v/>
      </c>
      <c r="AB261" s="413"/>
      <c r="AC261" s="421" t="e">
        <f aca="false">IF(ABS(t-ROUND(t,0))&lt;0.001,t,NA())</f>
        <v>#N/A</v>
      </c>
      <c r="AD261" s="426" t="e">
        <f aca="false">IF(ABS(t-ROUND(t,0))&lt;0.001,pos_x,NA())</f>
        <v>#N/A</v>
      </c>
      <c r="AE261" s="427" t="n">
        <f aca="false">IF(t&lt;T_para, pos_z, NA())</f>
        <v>315.054129607607</v>
      </c>
      <c r="AF261" s="413"/>
      <c r="AG261" s="419" t="n">
        <f aca="false">IF(AND(L260&lt;L_rampe,Poussee&lt;Poids*SIN(M260)),0,(-W260+Poussee)/m-Poids*SIN(M260)/m)</f>
        <v>-3.53865698270384</v>
      </c>
      <c r="AH261" s="418" t="n">
        <f aca="false">IF(AND(L260&lt;L_rampe,Poussee&lt;Poids*SIN(M260)), g*SIN(M260), (-W260+Poussee)/m)</f>
        <v>-0.139850329941295</v>
      </c>
    </row>
    <row r="262" customFormat="false" ht="12" hidden="false" customHeight="false" outlineLevel="0" collapsed="false">
      <c r="A262" s="417" t="n">
        <f aca="false">IF(B261+0.01&lt;=T_ini+ROUNDUP(Temps_fin_propu,0), 0.01, IF(K261&gt;0, 0.1, 0.0001))</f>
        <v>0.1</v>
      </c>
      <c r="B262" s="418" t="n">
        <f aca="false">B261+pas</f>
        <v>7.79999999999999</v>
      </c>
      <c r="C262" s="402"/>
      <c r="D262" s="419" t="n">
        <f aca="false">IF(AND(L261&lt;L_rampe,Poussee&lt;Poids*SIN(M261)),0,(-W261+Poussee)/m*COS(M261)-U261/m*SIN(M261))</f>
        <v>-0.128046502168621</v>
      </c>
      <c r="E262" s="420" t="n">
        <f aca="false">IF(AND(L261&lt;L_rampe,Poussee&lt;Poids*SIN(M261)),0,(-W261+Poussee)/m*SIN(M261)+U261/m*COS(M261)-Poids/m)</f>
        <v>-9.8477758291758</v>
      </c>
      <c r="F262" s="418" t="n">
        <f aca="false">SQRT(acc_x^2+acc_z^2)</f>
        <v>9.84860826149648</v>
      </c>
      <c r="G262" s="419" t="n">
        <f aca="false">G261+acc_x*pas</f>
        <v>13.1864166723446</v>
      </c>
      <c r="H262" s="420" t="n">
        <f aca="false">H261+acc_z*pas</f>
        <v>2.90921031593186</v>
      </c>
      <c r="I262" s="418" t="n">
        <f aca="false">SQRT(vit_x^2+vit_z^2)</f>
        <v>13.5035213673698</v>
      </c>
      <c r="J262" s="419" t="n">
        <f aca="false">J261+0.5*(vit_x+G261)*pas*(K261&gt;=0)</f>
        <v>106.65712948104</v>
      </c>
      <c r="K262" s="420" t="n">
        <f aca="false">K261+0.5*(vit_z+H261)*pas</f>
        <v>315.394289518347</v>
      </c>
      <c r="L262" s="418" t="n">
        <f aca="false">SQRT(pos_x^2+pos_z^2)</f>
        <v>332.940386751019</v>
      </c>
      <c r="M262" s="419" t="n">
        <f aca="false">IF(AND(L261&gt;L_rampe,G262&gt;0),ATAN2(G262,H262),$M$4)</f>
        <v>0.217143273615212</v>
      </c>
      <c r="N262" s="418" t="n">
        <f aca="false">DEGREES(Beta)</f>
        <v>12.4413931278061</v>
      </c>
      <c r="O262" s="402"/>
      <c r="P262" s="421" t="n">
        <f aca="false">MATCH(t-pas/2-T_ini,CdP_t)</f>
        <v>23</v>
      </c>
      <c r="Q262" s="418" t="n">
        <f aca="false">(INDEX(CdP,2,i_P+1)-INDEX(CdP,2,i_P+0))/(INDEX(CdP,1,i_P+1)-INDEX(CdP,1,i_P+0))*(t-pas/2-T_ini-INDEX(CdP,1,i_P+0))+INDEX(CdP,2,i_P+0)</f>
        <v>0</v>
      </c>
      <c r="R262" s="419" t="n">
        <f aca="false">Poussee/(g*ISP)</f>
        <v>0</v>
      </c>
      <c r="S262" s="420" t="n">
        <f aca="false">S261-Débit*pas</f>
        <v>1.4843</v>
      </c>
      <c r="T262" s="418" t="n">
        <f aca="false">m*g</f>
        <v>14.560983</v>
      </c>
      <c r="U262" s="422" t="n">
        <f aca="false">IF(pos_xz&lt;L_rampe,Poids*COS(Beta),0)</f>
        <v>0</v>
      </c>
      <c r="V262" s="419" t="n">
        <f aca="false">Rho_moyen*(20000-Alt_rampe-pos_z)/(20000+Alt_rampe+pos_z)</f>
        <v>1.1869640161393</v>
      </c>
      <c r="W262" s="418" t="n">
        <f aca="false">1/2*Rho*Sref*Cx*vit_xz^2</f>
        <v>0.190787699184252</v>
      </c>
      <c r="X262" s="402"/>
      <c r="Y262" s="423" t="str">
        <f aca="false">IF(AND(pos_z&lt;=0,K261&gt;0),"Impact balistique","") &amp; IF(AND(H263&lt;0,vit_z&gt;=0),"Apogée","") &amp; IF(AND(Poussee=0,Q261&gt;0),"Fin de propulsion","") &amp; IF(AND(L263&gt;L_rampe,pos_xz&lt;=L_rampe),"Sortie de rampe","")</f>
        <v/>
      </c>
      <c r="Z262" s="424" t="str">
        <f aca="false">IF(ABS(t-T_para)&lt;pas/2,"Para","")</f>
        <v/>
      </c>
      <c r="AA262" s="425" t="str">
        <f aca="false">IF(ABS(t-T_satellite)&lt;pas/2,"Satellite","")</f>
        <v/>
      </c>
      <c r="AB262" s="413"/>
      <c r="AC262" s="421" t="e">
        <f aca="false">IF(ABS(t-ROUND(t,0))&lt;0.001,t,NA())</f>
        <v>#N/A</v>
      </c>
      <c r="AD262" s="426" t="e">
        <f aca="false">IF(ABS(t-ROUND(t,0))&lt;0.001,pos_x,NA())</f>
        <v>#N/A</v>
      </c>
      <c r="AE262" s="427" t="n">
        <f aca="false">IF(t&lt;T_para, pos_z, NA())</f>
        <v>315.394289518347</v>
      </c>
      <c r="AF262" s="413"/>
      <c r="AG262" s="419" t="n">
        <f aca="false">IF(AND(L261&lt;L_rampe,Poussee&lt;Poids*SIN(M261)),0,(-W261+Poussee)/m-Poids*SIN(M261)/m)</f>
        <v>-2.90933710728652</v>
      </c>
      <c r="AH262" s="418" t="n">
        <f aca="false">IF(AND(L261&lt;L_rampe,Poussee&lt;Poids*SIN(M261)), g*SIN(M261), (-W261+Poussee)/m)</f>
        <v>-0.133502509293037</v>
      </c>
    </row>
    <row r="263" customFormat="false" ht="12" hidden="false" customHeight="false" outlineLevel="0" collapsed="false">
      <c r="A263" s="417" t="n">
        <f aca="false">IF(B262+0.01&lt;=T_ini+ROUNDUP(Temps_fin_propu,0), 0.01, IF(K262&gt;0, 0.1, 0.0001))</f>
        <v>0.1</v>
      </c>
      <c r="B263" s="418" t="n">
        <f aca="false">B262+pas</f>
        <v>7.89999999999999</v>
      </c>
      <c r="C263" s="402"/>
      <c r="D263" s="419" t="n">
        <f aca="false">IF(AND(L262&lt;L_rampe,Poussee&lt;Poids*SIN(M262)),0,(-W262+Poussee)/m*COS(M262)-U262/m*SIN(M262))</f>
        <v>-0.125518702696406</v>
      </c>
      <c r="E263" s="420" t="n">
        <f aca="false">IF(AND(L262&lt;L_rampe,Poussee&lt;Poids*SIN(M262)),0,(-W262+Poussee)/m*SIN(M262)+U262/m*COS(M262)-Poids/m)</f>
        <v>-9.83769215578426</v>
      </c>
      <c r="F263" s="418" t="n">
        <f aca="false">SQRT(acc_x^2+acc_z^2)</f>
        <v>9.83849286713701</v>
      </c>
      <c r="G263" s="419" t="n">
        <f aca="false">G262+acc_x*pas</f>
        <v>13.173864802075</v>
      </c>
      <c r="H263" s="420" t="n">
        <f aca="false">H262+acc_z*pas</f>
        <v>1.92544110035343</v>
      </c>
      <c r="I263" s="418" t="n">
        <f aca="false">SQRT(vit_x^2+vit_z^2)</f>
        <v>13.313828797693</v>
      </c>
      <c r="J263" s="419" t="n">
        <f aca="false">J262+0.5*(vit_x+G262)*pas*(K262&gt;=0)</f>
        <v>107.975143554761</v>
      </c>
      <c r="K263" s="420" t="n">
        <f aca="false">K262+0.5*(vit_z+H262)*pas</f>
        <v>315.636022089161</v>
      </c>
      <c r="L263" s="418" t="n">
        <f aca="false">SQRT(pos_x^2+pos_z^2)</f>
        <v>333.593660110531</v>
      </c>
      <c r="M263" s="419" t="n">
        <f aca="false">IF(AND(L262&gt;L_rampe,G263&gt;0),ATAN2(G263,H263),$M$4)</f>
        <v>0.145128558531891</v>
      </c>
      <c r="N263" s="418" t="n">
        <f aca="false">DEGREES(Beta)</f>
        <v>8.31525389069471</v>
      </c>
      <c r="O263" s="402"/>
      <c r="P263" s="421" t="n">
        <f aca="false">MATCH(t-pas/2-T_ini,CdP_t)</f>
        <v>23</v>
      </c>
      <c r="Q263" s="418" t="n">
        <f aca="false">(INDEX(CdP,2,i_P+1)-INDEX(CdP,2,i_P+0))/(INDEX(CdP,1,i_P+1)-INDEX(CdP,1,i_P+0))*(t-pas/2-T_ini-INDEX(CdP,1,i_P+0))+INDEX(CdP,2,i_P+0)</f>
        <v>0</v>
      </c>
      <c r="R263" s="419" t="n">
        <f aca="false">Poussee/(g*ISP)</f>
        <v>0</v>
      </c>
      <c r="S263" s="420" t="n">
        <f aca="false">S262-Débit*pas</f>
        <v>1.4843</v>
      </c>
      <c r="T263" s="418" t="n">
        <f aca="false">m*g</f>
        <v>14.560983</v>
      </c>
      <c r="U263" s="422" t="n">
        <f aca="false">IF(pos_xz&lt;L_rampe,Poids*COS(Beta),0)</f>
        <v>0</v>
      </c>
      <c r="V263" s="419" t="n">
        <f aca="false">Rho_moyen*(20000-Alt_rampe-pos_z)/(20000+Alt_rampe+pos_z)</f>
        <v>1.18693531655728</v>
      </c>
      <c r="W263" s="418" t="n">
        <f aca="false">1/2*Rho*Sref*Cx*vit_xz^2</f>
        <v>0.185460631352016</v>
      </c>
      <c r="X263" s="402"/>
      <c r="Y263" s="423" t="str">
        <f aca="false">IF(AND(pos_z&lt;=0,K262&gt;0),"Impact balistique","") &amp; IF(AND(H264&lt;0,vit_z&gt;=0),"Apogée","") &amp; IF(AND(Poussee=0,Q262&gt;0),"Fin de propulsion","") &amp; IF(AND(L264&gt;L_rampe,pos_xz&lt;=L_rampe),"Sortie de rampe","")</f>
        <v/>
      </c>
      <c r="Z263" s="424" t="str">
        <f aca="false">IF(ABS(t-T_para)&lt;pas/2,"Para","")</f>
        <v/>
      </c>
      <c r="AA263" s="425" t="str">
        <f aca="false">IF(ABS(t-T_satellite)&lt;pas/2,"Satellite","")</f>
        <v/>
      </c>
      <c r="AB263" s="413"/>
      <c r="AC263" s="421" t="e">
        <f aca="false">IF(ABS(t-ROUND(t,0))&lt;0.001,t,NA())</f>
        <v>#N/A</v>
      </c>
      <c r="AD263" s="426" t="e">
        <f aca="false">IF(ABS(t-ROUND(t,0))&lt;0.001,pos_x,NA())</f>
        <v>#N/A</v>
      </c>
      <c r="AE263" s="427" t="n">
        <f aca="false">IF(t&lt;T_para, pos_z, NA())</f>
        <v>315.636022089161</v>
      </c>
      <c r="AF263" s="413"/>
      <c r="AG263" s="419" t="n">
        <f aca="false">IF(AND(L262&lt;L_rampe,Poussee&lt;Poids*SIN(M262)),0,(-W262+Poussee)/m-Poids*SIN(M262)/m)</f>
        <v>-2.24201203484995</v>
      </c>
      <c r="AH263" s="418" t="n">
        <f aca="false">IF(AND(L262&lt;L_rampe,Poussee&lt;Poids*SIN(M262)), g*SIN(M262), (-W262+Poussee)/m)</f>
        <v>-0.12853715501196</v>
      </c>
    </row>
    <row r="264" customFormat="false" ht="12" hidden="false" customHeight="false" outlineLevel="0" collapsed="false">
      <c r="A264" s="417" t="n">
        <f aca="false">IF(B263+0.01&lt;=T_ini+ROUNDUP(Temps_fin_propu,0), 0.01, IF(K263&gt;0, 0.1, 0.0001))</f>
        <v>0.1</v>
      </c>
      <c r="B264" s="418" t="n">
        <f aca="false">B263+pas</f>
        <v>7.99999999999999</v>
      </c>
      <c r="C264" s="402"/>
      <c r="D264" s="419" t="n">
        <f aca="false">IF(AND(L263&lt;L_rampe,Poussee&lt;Poids*SIN(M263)),0,(-W263+Poussee)/m*COS(M263)-U263/m*SIN(M263))</f>
        <v>-0.123634671862616</v>
      </c>
      <c r="E264" s="420" t="n">
        <f aca="false">IF(AND(L263&lt;L_rampe,Poussee&lt;Poids*SIN(M263)),0,(-W263+Poussee)/m*SIN(M263)+U263/m*COS(M263)-Poids/m)</f>
        <v>-9.82806996520835</v>
      </c>
      <c r="F264" s="418" t="n">
        <f aca="false">SQRT(acc_x^2+acc_z^2)</f>
        <v>9.82884758113163</v>
      </c>
      <c r="G264" s="419" t="n">
        <f aca="false">G263+acc_x*pas</f>
        <v>13.1615013348887</v>
      </c>
      <c r="H264" s="420" t="n">
        <f aca="false">H263+acc_z*pas</f>
        <v>0.942634103832597</v>
      </c>
      <c r="I264" s="418" t="n">
        <f aca="false">SQRT(vit_x^2+vit_z^2)</f>
        <v>13.1952141491521</v>
      </c>
      <c r="J264" s="419" t="n">
        <f aca="false">J263+0.5*(vit_x+G263)*pas*(K263&gt;=0)</f>
        <v>109.29191186161</v>
      </c>
      <c r="K264" s="420" t="n">
        <f aca="false">K263+0.5*(vit_z+H263)*pas</f>
        <v>315.77942584937</v>
      </c>
      <c r="L264" s="418" t="n">
        <f aca="false">SQRT(pos_x^2+pos_z^2)</f>
        <v>334.157698980771</v>
      </c>
      <c r="M264" s="419" t="n">
        <f aca="false">IF(AND(L263&gt;L_rampe,G264&gt;0),ATAN2(G264,H264),$M$4)</f>
        <v>0.0714984767756267</v>
      </c>
      <c r="N264" s="418" t="n">
        <f aca="false">DEGREES(Beta)</f>
        <v>4.09656096085755</v>
      </c>
      <c r="O264" s="402"/>
      <c r="P264" s="421" t="n">
        <f aca="false">MATCH(t-pas/2-T_ini,CdP_t)</f>
        <v>23</v>
      </c>
      <c r="Q264" s="418" t="n">
        <f aca="false">(INDEX(CdP,2,i_P+1)-INDEX(CdP,2,i_P+0))/(INDEX(CdP,1,i_P+1)-INDEX(CdP,1,i_P+0))*(t-pas/2-T_ini-INDEX(CdP,1,i_P+0))+INDEX(CdP,2,i_P+0)</f>
        <v>0</v>
      </c>
      <c r="R264" s="419" t="n">
        <f aca="false">Poussee/(g*ISP)</f>
        <v>0</v>
      </c>
      <c r="S264" s="420" t="n">
        <f aca="false">S263-Débit*pas</f>
        <v>1.4843</v>
      </c>
      <c r="T264" s="418" t="n">
        <f aca="false">m*g</f>
        <v>14.560983</v>
      </c>
      <c r="U264" s="422" t="n">
        <f aca="false">IF(pos_xz&lt;L_rampe,Poids*COS(Beta),0)</f>
        <v>0</v>
      </c>
      <c r="V264" s="419" t="n">
        <f aca="false">Rho_moyen*(20000-Alt_rampe-pos_z)/(20000+Alt_rampe+pos_z)</f>
        <v>1.18691829133828</v>
      </c>
      <c r="W264" s="418" t="n">
        <f aca="false">1/2*Rho*Sref*Cx*vit_xz^2</f>
        <v>0.182168152596216</v>
      </c>
      <c r="X264" s="402"/>
      <c r="Y264" s="423" t="str">
        <f aca="false">IF(AND(pos_z&lt;=0,K263&gt;0),"Impact balistique","") &amp; IF(AND(H265&lt;0,vit_z&gt;=0),"Apogée","") &amp; IF(AND(Poussee=0,Q263&gt;0),"Fin de propulsion","") &amp; IF(AND(L265&gt;L_rampe,pos_xz&lt;=L_rampe),"Sortie de rampe","")</f>
        <v>Apogée</v>
      </c>
      <c r="Z264" s="424" t="str">
        <f aca="false">IF(ABS(t-T_para)&lt;pas/2,"Para","")</f>
        <v/>
      </c>
      <c r="AA264" s="425" t="str">
        <f aca="false">IF(ABS(t-T_satellite)&lt;pas/2,"Satellite","")</f>
        <v/>
      </c>
      <c r="AB264" s="413"/>
      <c r="AC264" s="421" t="n">
        <f aca="false">IF(ABS(t-ROUND(t,0))&lt;0.001,t,NA())</f>
        <v>7.99999999999999</v>
      </c>
      <c r="AD264" s="426" t="n">
        <f aca="false">IF(ABS(t-ROUND(t,0))&lt;0.001,pos_x,NA())</f>
        <v>109.29191186161</v>
      </c>
      <c r="AE264" s="427" t="n">
        <f aca="false">IF(t&lt;T_para, pos_z, NA())</f>
        <v>315.77942584937</v>
      </c>
      <c r="AF264" s="413"/>
      <c r="AG264" s="419" t="n">
        <f aca="false">IF(AND(L263&lt;L_rampe,Poussee&lt;Poids*SIN(M263)),0,(-W263+Poussee)/m-Poids*SIN(M263)/m)</f>
        <v>-1.54366686040679</v>
      </c>
      <c r="AH264" s="418" t="n">
        <f aca="false">IF(AND(L263&lt;L_rampe,Poussee&lt;Poids*SIN(M263)), g*SIN(M263), (-W263+Poussee)/m)</f>
        <v>-0.124948212188921</v>
      </c>
    </row>
    <row r="265" customFormat="false" ht="12" hidden="false" customHeight="false" outlineLevel="0" collapsed="false">
      <c r="A265" s="417" t="n">
        <f aca="false">IF(B264+0.01&lt;=T_ini+ROUNDUP(Temps_fin_propu,0), 0.01, IF(K264&gt;0, 0.1, 0.0001))</f>
        <v>0.1</v>
      </c>
      <c r="B265" s="418" t="n">
        <f aca="false">B264+pas</f>
        <v>8.09999999999999</v>
      </c>
      <c r="C265" s="402"/>
      <c r="D265" s="419" t="n">
        <f aca="false">IF(AND(L264&lt;L_rampe,Poussee&lt;Poids*SIN(M264)),0,(-W264+Poussee)/m*COS(M264)-U264/m*SIN(M264))</f>
        <v>-0.122416442896024</v>
      </c>
      <c r="E265" s="420" t="n">
        <f aca="false">IF(AND(L264&lt;L_rampe,Poussee&lt;Poids*SIN(M264)),0,(-W264+Poussee)/m*SIN(M264)+U264/m*COS(M264)-Poids/m)</f>
        <v>-9.81876753426585</v>
      </c>
      <c r="F265" s="418" t="n">
        <f aca="false">SQRT(acc_x^2+acc_z^2)</f>
        <v>9.81953062409016</v>
      </c>
      <c r="G265" s="419" t="n">
        <f aca="false">G264+acc_x*pas</f>
        <v>13.1492596905991</v>
      </c>
      <c r="H265" s="420" t="n">
        <f aca="false">H264+acc_z*pas</f>
        <v>-0.0392426495939886</v>
      </c>
      <c r="I265" s="418" t="n">
        <f aca="false">SQRT(vit_x^2+vit_z^2)</f>
        <v>13.1493182483489</v>
      </c>
      <c r="J265" s="419" t="n">
        <f aca="false">J264+0.5*(vit_x+G264)*pas*(K264&gt;=0)</f>
        <v>110.607449912884</v>
      </c>
      <c r="K265" s="420" t="n">
        <f aca="false">K264+0.5*(vit_z+H264)*pas</f>
        <v>315.824595422082</v>
      </c>
      <c r="L265" s="418" t="n">
        <f aca="false">SQRT(pos_x^2+pos_z^2)</f>
        <v>334.632907900214</v>
      </c>
      <c r="M265" s="419" t="n">
        <f aca="false">IF(AND(L264&gt;L_rampe,G265&gt;0),ATAN2(G265,H265),$M$4)</f>
        <v>-0.00298439106164371</v>
      </c>
      <c r="N265" s="418" t="n">
        <f aca="false">DEGREES(Beta)</f>
        <v>-0.170993012248752</v>
      </c>
      <c r="O265" s="402"/>
      <c r="P265" s="421" t="n">
        <f aca="false">MATCH(t-pas/2-T_ini,CdP_t)</f>
        <v>23</v>
      </c>
      <c r="Q265" s="418" t="n">
        <f aca="false">(INDEX(CdP,2,i_P+1)-INDEX(CdP,2,i_P+0))/(INDEX(CdP,1,i_P+1)-INDEX(CdP,1,i_P+0))*(t-pas/2-T_ini-INDEX(CdP,1,i_P+0))+INDEX(CdP,2,i_P+0)</f>
        <v>0</v>
      </c>
      <c r="R265" s="419" t="n">
        <f aca="false">Poussee/(g*ISP)</f>
        <v>0</v>
      </c>
      <c r="S265" s="420" t="n">
        <f aca="false">S264-Débit*pas</f>
        <v>1.4843</v>
      </c>
      <c r="T265" s="418" t="n">
        <f aca="false">m*g</f>
        <v>14.560983</v>
      </c>
      <c r="U265" s="422" t="n">
        <f aca="false">IF(pos_xz&lt;L_rampe,Poids*COS(Beta),0)</f>
        <v>0</v>
      </c>
      <c r="V265" s="419" t="n">
        <f aca="false">Rho_moyen*(20000-Alt_rampe-pos_z)/(20000+Alt_rampe+pos_z)</f>
        <v>1.18691292875415</v>
      </c>
      <c r="W265" s="418" t="n">
        <f aca="false">1/2*Rho*Sref*Cx*vit_xz^2</f>
        <v>0.180902296127723</v>
      </c>
      <c r="X265" s="402"/>
      <c r="Y265" s="423" t="str">
        <f aca="false">IF(AND(pos_z&lt;=0,K264&gt;0),"Impact balistique","") &amp; IF(AND(H266&lt;0,vit_z&gt;=0),"Apogée","") &amp; IF(AND(Poussee=0,Q264&gt;0),"Fin de propulsion","") &amp; IF(AND(L266&gt;L_rampe,pos_xz&lt;=L_rampe),"Sortie de rampe","")</f>
        <v/>
      </c>
      <c r="Z265" s="424" t="str">
        <f aca="false">IF(ABS(t-T_para)&lt;pas/2,"Para","")</f>
        <v/>
      </c>
      <c r="AA265" s="425" t="str">
        <f aca="false">IF(ABS(t-T_satellite)&lt;pas/2,"Satellite","")</f>
        <v/>
      </c>
      <c r="AB265" s="413"/>
      <c r="AC265" s="421" t="e">
        <f aca="false">IF(ABS(t-ROUND(t,0))&lt;0.001,t,NA())</f>
        <v>#N/A</v>
      </c>
      <c r="AD265" s="426" t="e">
        <f aca="false">IF(ABS(t-ROUND(t,0))&lt;0.001,pos_x,NA())</f>
        <v>#N/A</v>
      </c>
      <c r="AE265" s="427" t="n">
        <f aca="false">IF(t&lt;T_para, pos_z, NA())</f>
        <v>315.824595422082</v>
      </c>
      <c r="AF265" s="413"/>
      <c r="AG265" s="419" t="n">
        <f aca="false">IF(AND(L264&lt;L_rampe,Poussee&lt;Poids*SIN(M264)),0,(-W264+Poussee)/m-Poids*SIN(M264)/m)</f>
        <v>-0.823532622446288</v>
      </c>
      <c r="AH265" s="418" t="n">
        <f aca="false">IF(AND(L264&lt;L_rampe,Poussee&lt;Poids*SIN(M264)), g*SIN(M264), (-W264+Poussee)/m)</f>
        <v>-0.122730009160019</v>
      </c>
    </row>
    <row r="266" customFormat="false" ht="12" hidden="false" customHeight="false" outlineLevel="0" collapsed="false">
      <c r="A266" s="417" t="n">
        <f aca="false">IF(B265+0.01&lt;=T_ini+ROUNDUP(Temps_fin_propu,0), 0.01, IF(K265&gt;0, 0.1, 0.0001))</f>
        <v>0.1</v>
      </c>
      <c r="B266" s="418" t="n">
        <f aca="false">B265+pas</f>
        <v>8.19999999999999</v>
      </c>
      <c r="C266" s="402"/>
      <c r="D266" s="419" t="n">
        <f aca="false">IF(AND(L265&lt;L_rampe,Poussee&lt;Poids*SIN(M265)),0,(-W265+Poussee)/m*COS(M265)-U265/m*SIN(M265))</f>
        <v>-0.121876635799387</v>
      </c>
      <c r="E266" s="420" t="n">
        <f aca="false">IF(AND(L265&lt;L_rampe,Poussee&lt;Poids*SIN(M265)),0,(-W265+Poussee)/m*SIN(M265)+U265/m*COS(M265)-Poids/m)</f>
        <v>-9.80963627137764</v>
      </c>
      <c r="F266" s="418" t="n">
        <f aca="false">SQRT(acc_x^2+acc_z^2)</f>
        <v>9.81039335047691</v>
      </c>
      <c r="G266" s="419" t="n">
        <f aca="false">G265+acc_x*pas</f>
        <v>13.1370720270192</v>
      </c>
      <c r="H266" s="420" t="n">
        <f aca="false">H265+acc_z*pas</f>
        <v>-1.02020627673175</v>
      </c>
      <c r="I266" s="418" t="n">
        <f aca="false">SQRT(vit_x^2+vit_z^2)</f>
        <v>13.1766263622436</v>
      </c>
      <c r="J266" s="419" t="n">
        <f aca="false">J265+0.5*(vit_x+G265)*pas*(K265&gt;=0)</f>
        <v>111.921766498765</v>
      </c>
      <c r="K266" s="420" t="n">
        <f aca="false">K265+0.5*(vit_z+H265)*pas</f>
        <v>315.771622975766</v>
      </c>
      <c r="L266" s="418" t="n">
        <f aca="false">SQRT(pos_x^2+pos_z^2)</f>
        <v>335.019700454993</v>
      </c>
      <c r="M266" s="419" t="n">
        <f aca="false">IF(AND(L265&gt;L_rampe,G266&gt;0),ATAN2(G266,H266),$M$4)</f>
        <v>-0.0775030203825511</v>
      </c>
      <c r="N266" s="418" t="n">
        <f aca="false">DEGREES(Beta)</f>
        <v>-4.44059596743657</v>
      </c>
      <c r="O266" s="402"/>
      <c r="P266" s="421" t="n">
        <f aca="false">MATCH(t-pas/2-T_ini,CdP_t)</f>
        <v>23</v>
      </c>
      <c r="Q266" s="418" t="n">
        <f aca="false">(INDEX(CdP,2,i_P+1)-INDEX(CdP,2,i_P+0))/(INDEX(CdP,1,i_P+1)-INDEX(CdP,1,i_P+0))*(t-pas/2-T_ini-INDEX(CdP,1,i_P+0))+INDEX(CdP,2,i_P+0)</f>
        <v>0</v>
      </c>
      <c r="R266" s="419" t="n">
        <f aca="false">Poussee/(g*ISP)</f>
        <v>0</v>
      </c>
      <c r="S266" s="420" t="n">
        <f aca="false">S265-Débit*pas</f>
        <v>1.4843</v>
      </c>
      <c r="T266" s="418" t="n">
        <f aca="false">m*g</f>
        <v>14.560983</v>
      </c>
      <c r="U266" s="422" t="n">
        <f aca="false">IF(pos_xz&lt;L_rampe,Poids*COS(Beta),0)</f>
        <v>0</v>
      </c>
      <c r="V266" s="419" t="n">
        <f aca="false">Rho_moyen*(20000-Alt_rampe-pos_z)/(20000+Alt_rampe+pos_z)</f>
        <v>1.18691921770691</v>
      </c>
      <c r="W266" s="418" t="n">
        <f aca="false">1/2*Rho*Sref*Cx*vit_xz^2</f>
        <v>0.181655423905056</v>
      </c>
      <c r="X266" s="402"/>
      <c r="Y266" s="423" t="str">
        <f aca="false">IF(AND(pos_z&lt;=0,K265&gt;0),"Impact balistique","") &amp; IF(AND(H267&lt;0,vit_z&gt;=0),"Apogée","") &amp; IF(AND(Poussee=0,Q265&gt;0),"Fin de propulsion","") &amp; IF(AND(L267&gt;L_rampe,pos_xz&lt;=L_rampe),"Sortie de rampe","")</f>
        <v/>
      </c>
      <c r="Z266" s="424" t="str">
        <f aca="false">IF(ABS(t-T_para)&lt;pas/2,"Para","")</f>
        <v/>
      </c>
      <c r="AA266" s="425" t="str">
        <f aca="false">IF(ABS(t-T_satellite)&lt;pas/2,"Satellite","")</f>
        <v/>
      </c>
      <c r="AB266" s="413"/>
      <c r="AC266" s="421" t="e">
        <f aca="false">IF(ABS(t-ROUND(t,0))&lt;0.001,t,NA())</f>
        <v>#N/A</v>
      </c>
      <c r="AD266" s="426" t="e">
        <f aca="false">IF(ABS(t-ROUND(t,0))&lt;0.001,pos_x,NA())</f>
        <v>#N/A</v>
      </c>
      <c r="AE266" s="427" t="n">
        <f aca="false">IF(t&lt;T_para, pos_z, NA())</f>
        <v>315.771622975766</v>
      </c>
      <c r="AF266" s="413"/>
      <c r="AG266" s="419" t="n">
        <f aca="false">IF(AND(L265&lt;L_rampe,Poussee&lt;Poids*SIN(M265)),0,(-W265+Poussee)/m-Poids*SIN(M265)/m)</f>
        <v>-0.0926003456987925</v>
      </c>
      <c r="AH266" s="418" t="n">
        <f aca="false">IF(AND(L265&lt;L_rampe,Poussee&lt;Poids*SIN(M265)), g*SIN(M265), (-W265+Poussee)/m)</f>
        <v>-0.121877178554014</v>
      </c>
    </row>
    <row r="267" customFormat="false" ht="12" hidden="false" customHeight="false" outlineLevel="0" collapsed="false">
      <c r="A267" s="417" t="n">
        <f aca="false">IF(B266+0.01&lt;=T_ini+ROUNDUP(Temps_fin_propu,0), 0.01, IF(K266&gt;0, 0.1, 0.0001))</f>
        <v>0.1</v>
      </c>
      <c r="B267" s="418" t="n">
        <f aca="false">B266+pas</f>
        <v>8.29999999999999</v>
      </c>
      <c r="C267" s="402"/>
      <c r="D267" s="419" t="n">
        <f aca="false">IF(AND(L266&lt;L_rampe,Poussee&lt;Poids*SIN(M266)),0,(-W266+Poussee)/m*COS(M266)-U266/m*SIN(M266))</f>
        <v>-0.122017193610776</v>
      </c>
      <c r="E267" s="420" t="n">
        <f aca="false">IF(AND(L266&lt;L_rampe,Poussee&lt;Poids*SIN(M266)),0,(-W266+Poussee)/m*SIN(M266)+U266/m*COS(M266)-Poids/m)</f>
        <v>-9.80052431877249</v>
      </c>
      <c r="F267" s="418" t="n">
        <f aca="false">SQRT(acc_x^2+acc_z^2)</f>
        <v>9.8012838505161</v>
      </c>
      <c r="G267" s="419" t="n">
        <f aca="false">G266+acc_x*pas</f>
        <v>13.1248703076581</v>
      </c>
      <c r="H267" s="420" t="n">
        <f aca="false">H266+acc_z*pas</f>
        <v>-2.000258708609</v>
      </c>
      <c r="I267" s="418" t="n">
        <f aca="false">SQRT(vit_x^2+vit_z^2)</f>
        <v>13.2764172687593</v>
      </c>
      <c r="J267" s="419" t="n">
        <f aca="false">J266+0.5*(vit_x+G266)*pas*(K266&gt;=0)</f>
        <v>113.234863615499</v>
      </c>
      <c r="K267" s="420" t="n">
        <f aca="false">K266+0.5*(vit_z+H266)*pas</f>
        <v>315.620599726499</v>
      </c>
      <c r="L267" s="418" t="n">
        <f aca="false">SQRT(pos_x^2+pos_z^2)</f>
        <v>335.318501293524</v>
      </c>
      <c r="M267" s="419" t="n">
        <f aca="false">IF(AND(L266&gt;L_rampe,G267&gt;0),ATAN2(G267,H267),$M$4)</f>
        <v>-0.151238425668434</v>
      </c>
      <c r="N267" s="418" t="n">
        <f aca="false">DEGREES(Beta)</f>
        <v>-8.66532349100427</v>
      </c>
      <c r="O267" s="402"/>
      <c r="P267" s="421" t="n">
        <f aca="false">MATCH(t-pas/2-T_ini,CdP_t)</f>
        <v>23</v>
      </c>
      <c r="Q267" s="418" t="n">
        <f aca="false">(INDEX(CdP,2,i_P+1)-INDEX(CdP,2,i_P+0))/(INDEX(CdP,1,i_P+1)-INDEX(CdP,1,i_P+0))*(t-pas/2-T_ini-INDEX(CdP,1,i_P+0))+INDEX(CdP,2,i_P+0)</f>
        <v>0</v>
      </c>
      <c r="R267" s="419" t="n">
        <f aca="false">Poussee/(g*ISP)</f>
        <v>0</v>
      </c>
      <c r="S267" s="420" t="n">
        <f aca="false">S266-Débit*pas</f>
        <v>1.4843</v>
      </c>
      <c r="T267" s="418" t="n">
        <f aca="false">m*g</f>
        <v>14.560983</v>
      </c>
      <c r="U267" s="422" t="n">
        <f aca="false">IF(pos_xz&lt;L_rampe,Poids*COS(Beta),0)</f>
        <v>0</v>
      </c>
      <c r="V267" s="419" t="n">
        <f aca="false">Rho_moyen*(20000-Alt_rampe-pos_z)/(20000+Alt_rampe+pos_z)</f>
        <v>1.18693714754939</v>
      </c>
      <c r="W267" s="418" t="n">
        <f aca="false">1/2*Rho*Sref*Cx*vit_xz^2</f>
        <v>0.184420100677087</v>
      </c>
      <c r="X267" s="402"/>
      <c r="Y267" s="423" t="str">
        <f aca="false">IF(AND(pos_z&lt;=0,K266&gt;0),"Impact balistique","") &amp; IF(AND(H268&lt;0,vit_z&gt;=0),"Apogée","") &amp; IF(AND(Poussee=0,Q266&gt;0),"Fin de propulsion","") &amp; IF(AND(L268&gt;L_rampe,pos_xz&lt;=L_rampe),"Sortie de rampe","")</f>
        <v/>
      </c>
      <c r="Z267" s="424" t="str">
        <f aca="false">IF(ABS(t-T_para)&lt;pas/2,"Para","")</f>
        <v/>
      </c>
      <c r="AA267" s="425" t="str">
        <f aca="false">IF(ABS(t-T_satellite)&lt;pas/2,"Satellite","")</f>
        <v/>
      </c>
      <c r="AB267" s="413"/>
      <c r="AC267" s="421" t="e">
        <f aca="false">IF(ABS(t-ROUND(t,0))&lt;0.001,t,NA())</f>
        <v>#N/A</v>
      </c>
      <c r="AD267" s="426" t="e">
        <f aca="false">IF(ABS(t-ROUND(t,0))&lt;0.001,pos_x,NA())</f>
        <v>#N/A</v>
      </c>
      <c r="AE267" s="427" t="n">
        <f aca="false">IF(t&lt;T_para, pos_z, NA())</f>
        <v>315.620599726499</v>
      </c>
      <c r="AF267" s="413"/>
      <c r="AG267" s="419" t="n">
        <f aca="false">IF(AND(L266&lt;L_rampe,Poussee&lt;Poids*SIN(M266)),0,(-W266+Poussee)/m-Poids*SIN(M266)/m)</f>
        <v>0.637159128100591</v>
      </c>
      <c r="AH267" s="418" t="n">
        <f aca="false">IF(AND(L266&lt;L_rampe,Poussee&lt;Poids*SIN(M266)), g*SIN(M266), (-W266+Poussee)/m)</f>
        <v>-0.122384574482959</v>
      </c>
    </row>
    <row r="268" customFormat="false" ht="12" hidden="false" customHeight="false" outlineLevel="0" collapsed="false">
      <c r="A268" s="417" t="n">
        <f aca="false">IF(B267+0.01&lt;=T_ini+ROUNDUP(Temps_fin_propu,0), 0.01, IF(K267&gt;0, 0.1, 0.0001))</f>
        <v>0.1</v>
      </c>
      <c r="B268" s="418" t="n">
        <f aca="false">B267+pas</f>
        <v>8.39999999999999</v>
      </c>
      <c r="C268" s="402"/>
      <c r="D268" s="419" t="n">
        <f aca="false">IF(AND(L267&lt;L_rampe,Poussee&lt;Poids*SIN(M267)),0,(-W267+Poussee)/m*COS(M267)-U267/m*SIN(M267))</f>
        <v>-0.122828937311341</v>
      </c>
      <c r="E268" s="420" t="n">
        <f aca="false">IF(AND(L267&lt;L_rampe,Poussee&lt;Poids*SIN(M267)),0,(-W267+Poussee)/m*SIN(M267)+U267/m*COS(M267)-Poids/m)</f>
        <v>-9.79128060348278</v>
      </c>
      <c r="F268" s="418" t="n">
        <f aca="false">SQRT(acc_x^2+acc_z^2)</f>
        <v>9.79205100088736</v>
      </c>
      <c r="G268" s="419" t="n">
        <f aca="false">G267+acc_x*pas</f>
        <v>13.1125874139269</v>
      </c>
      <c r="H268" s="420" t="n">
        <f aca="false">H267+acc_z*pas</f>
        <v>-2.97938676895728</v>
      </c>
      <c r="I268" s="418" t="n">
        <f aca="false">SQRT(vit_x^2+vit_z^2)</f>
        <v>13.446809815228</v>
      </c>
      <c r="J268" s="419" t="n">
        <f aca="false">J267+0.5*(vit_x+G267)*pas*(K267&gt;=0)</f>
        <v>114.546736501578</v>
      </c>
      <c r="K268" s="420" t="n">
        <f aca="false">K267+0.5*(vit_z+H267)*pas</f>
        <v>315.37161745262</v>
      </c>
      <c r="L268" s="418" t="n">
        <f aca="false">SQRT(pos_x^2+pos_z^2)</f>
        <v>335.529748215928</v>
      </c>
      <c r="M268" s="419" t="n">
        <f aca="false">IF(AND(L267&gt;L_rampe,G268&gt;0),ATAN2(G268,H268),$M$4)</f>
        <v>-0.22342244963027</v>
      </c>
      <c r="N268" s="418" t="n">
        <f aca="false">DEGREES(Beta)</f>
        <v>-12.8011634122887</v>
      </c>
      <c r="O268" s="402"/>
      <c r="P268" s="421" t="n">
        <f aca="false">MATCH(t-pas/2-T_ini,CdP_t)</f>
        <v>23</v>
      </c>
      <c r="Q268" s="418" t="n">
        <f aca="false">(INDEX(CdP,2,i_P+1)-INDEX(CdP,2,i_P+0))/(INDEX(CdP,1,i_P+1)-INDEX(CdP,1,i_P+0))*(t-pas/2-T_ini-INDEX(CdP,1,i_P+0))+INDEX(CdP,2,i_P+0)</f>
        <v>0</v>
      </c>
      <c r="R268" s="419" t="n">
        <f aca="false">Poussee/(g*ISP)</f>
        <v>0</v>
      </c>
      <c r="S268" s="420" t="n">
        <f aca="false">S267-Débit*pas</f>
        <v>1.4843</v>
      </c>
      <c r="T268" s="418" t="n">
        <f aca="false">m*g</f>
        <v>14.560983</v>
      </c>
      <c r="U268" s="422" t="n">
        <f aca="false">IF(pos_xz&lt;L_rampe,Poids*COS(Beta),0)</f>
        <v>0</v>
      </c>
      <c r="V268" s="419" t="n">
        <f aca="false">Rho_moyen*(20000-Alt_rampe-pos_z)/(20000+Alt_rampe+pos_z)</f>
        <v>1.18696670790432</v>
      </c>
      <c r="W268" s="418" t="n">
        <f aca="false">1/2*Rho*Sref*Cx*vit_xz^2</f>
        <v>0.189188968144989</v>
      </c>
      <c r="X268" s="402"/>
      <c r="Y268" s="423" t="str">
        <f aca="false">IF(AND(pos_z&lt;=0,K267&gt;0),"Impact balistique","") &amp; IF(AND(H269&lt;0,vit_z&gt;=0),"Apogée","") &amp; IF(AND(Poussee=0,Q267&gt;0),"Fin de propulsion","") &amp; IF(AND(L269&gt;L_rampe,pos_xz&lt;=L_rampe),"Sortie de rampe","")</f>
        <v/>
      </c>
      <c r="Z268" s="424" t="str">
        <f aca="false">IF(ABS(t-T_para)&lt;pas/2,"Para","")</f>
        <v/>
      </c>
      <c r="AA268" s="425" t="str">
        <f aca="false">IF(ABS(t-T_satellite)&lt;pas/2,"Satellite","")</f>
        <v/>
      </c>
      <c r="AB268" s="413"/>
      <c r="AC268" s="421" t="e">
        <f aca="false">IF(ABS(t-ROUND(t,0))&lt;0.001,t,NA())</f>
        <v>#N/A</v>
      </c>
      <c r="AD268" s="426" t="e">
        <f aca="false">IF(ABS(t-ROUND(t,0))&lt;0.001,pos_x,NA())</f>
        <v>#N/A</v>
      </c>
      <c r="AE268" s="427" t="n">
        <f aca="false">IF(t&lt;T_para, pos_z, NA())</f>
        <v>315.37161745262</v>
      </c>
      <c r="AF268" s="413"/>
      <c r="AG268" s="419" t="n">
        <f aca="false">IF(AND(L267&lt;L_rampe,Poussee&lt;Poids*SIN(M267)),0,(-W267+Poussee)/m-Poids*SIN(M267)/m)</f>
        <v>1.35375230075091</v>
      </c>
      <c r="AH268" s="418" t="n">
        <f aca="false">IF(AND(L267&lt;L_rampe,Poussee&lt;Poids*SIN(M267)), g*SIN(M267), (-W267+Poussee)/m)</f>
        <v>-0.124247187682468</v>
      </c>
    </row>
    <row r="269" customFormat="false" ht="12" hidden="false" customHeight="false" outlineLevel="0" collapsed="false">
      <c r="A269" s="417" t="n">
        <f aca="false">IF(B268+0.01&lt;=T_ini+ROUNDUP(Temps_fin_propu,0), 0.01, IF(K268&gt;0, 0.1, 0.0001))</f>
        <v>0.1</v>
      </c>
      <c r="B269" s="418" t="n">
        <f aca="false">B268+pas</f>
        <v>8.49999999999999</v>
      </c>
      <c r="C269" s="402"/>
      <c r="D269" s="419" t="n">
        <f aca="false">IF(AND(L268&lt;L_rampe,Poussee&lt;Poids*SIN(M268)),0,(-W268+Poussee)/m*COS(M268)-U268/m*SIN(M268))</f>
        <v>-0.124292022502194</v>
      </c>
      <c r="E269" s="420" t="n">
        <f aca="false">IF(AND(L268&lt;L_rampe,Poussee&lt;Poids*SIN(M268)),0,(-W268+Poussee)/m*SIN(M268)+U268/m*COS(M268)-Poids/m)</f>
        <v>-9.78175889123632</v>
      </c>
      <c r="F269" s="418" t="n">
        <f aca="false">SQRT(acc_x^2+acc_z^2)</f>
        <v>9.78254851831252</v>
      </c>
      <c r="G269" s="419" t="n">
        <f aca="false">G268+acc_x*pas</f>
        <v>13.1001582116767</v>
      </c>
      <c r="H269" s="420" t="n">
        <f aca="false">H268+acc_z*pas</f>
        <v>-3.95756265808091</v>
      </c>
      <c r="I269" s="418" t="n">
        <f aca="false">SQRT(vit_x^2+vit_z^2)</f>
        <v>13.6848985149177</v>
      </c>
      <c r="J269" s="419" t="n">
        <f aca="false">J268+0.5*(vit_x+G268)*pas*(K268&gt;=0)</f>
        <v>115.857373782858</v>
      </c>
      <c r="K269" s="420" t="n">
        <f aca="false">K268+0.5*(vit_z+H268)*pas</f>
        <v>315.024769981269</v>
      </c>
      <c r="L269" s="418" t="n">
        <f aca="false">SQRT(pos_x^2+pos_z^2)</f>
        <v>335.653894304255</v>
      </c>
      <c r="M269" s="419" t="n">
        <f aca="false">IF(AND(L268&gt;L_rampe,G269&gt;0),ATAN2(G269,H269),$M$4)</f>
        <v>-0.293382624828149</v>
      </c>
      <c r="N269" s="418" t="n">
        <f aca="false">DEGREES(Beta)</f>
        <v>-16.809586185123</v>
      </c>
      <c r="O269" s="402"/>
      <c r="P269" s="421" t="n">
        <f aca="false">MATCH(t-pas/2-T_ini,CdP_t)</f>
        <v>23</v>
      </c>
      <c r="Q269" s="418" t="n">
        <f aca="false">(INDEX(CdP,2,i_P+1)-INDEX(CdP,2,i_P+0))/(INDEX(CdP,1,i_P+1)-INDEX(CdP,1,i_P+0))*(t-pas/2-T_ini-INDEX(CdP,1,i_P+0))+INDEX(CdP,2,i_P+0)</f>
        <v>0</v>
      </c>
      <c r="R269" s="419" t="n">
        <f aca="false">Poussee/(g*ISP)</f>
        <v>0</v>
      </c>
      <c r="S269" s="420" t="n">
        <f aca="false">S268-Débit*pas</f>
        <v>1.4843</v>
      </c>
      <c r="T269" s="418" t="n">
        <f aca="false">m*g</f>
        <v>14.560983</v>
      </c>
      <c r="U269" s="422" t="n">
        <f aca="false">IF(pos_xz&lt;L_rampe,Poids*COS(Beta),0)</f>
        <v>0</v>
      </c>
      <c r="V269" s="419" t="n">
        <f aca="false">Rho_moyen*(20000-Alt_rampe-pos_z)/(20000+Alt_rampe+pos_z)</f>
        <v>1.18700788848682</v>
      </c>
      <c r="W269" s="418" t="n">
        <f aca="false">1/2*Rho*Sref*Cx*vit_xz^2</f>
        <v>0.195954622549255</v>
      </c>
      <c r="X269" s="402"/>
      <c r="Y269" s="423" t="str">
        <f aca="false">IF(AND(pos_z&lt;=0,K268&gt;0),"Impact balistique","") &amp; IF(AND(H270&lt;0,vit_z&gt;=0),"Apogée","") &amp; IF(AND(Poussee=0,Q268&gt;0),"Fin de propulsion","") &amp; IF(AND(L270&gt;L_rampe,pos_xz&lt;=L_rampe),"Sortie de rampe","")</f>
        <v/>
      </c>
      <c r="Z269" s="424" t="str">
        <f aca="false">IF(ABS(t-T_para)&lt;pas/2,"Para","")</f>
        <v/>
      </c>
      <c r="AA269" s="425" t="str">
        <f aca="false">IF(ABS(t-T_satellite)&lt;pas/2,"Satellite","")</f>
        <v/>
      </c>
      <c r="AB269" s="413"/>
      <c r="AC269" s="421" t="e">
        <f aca="false">IF(ABS(t-ROUND(t,0))&lt;0.001,t,NA())</f>
        <v>#N/A</v>
      </c>
      <c r="AD269" s="426" t="e">
        <f aca="false">IF(ABS(t-ROUND(t,0))&lt;0.001,pos_x,NA())</f>
        <v>#N/A</v>
      </c>
      <c r="AE269" s="427" t="n">
        <f aca="false">IF(t&lt;T_para, pos_z, NA())</f>
        <v>315.024769981269</v>
      </c>
      <c r="AF269" s="413"/>
      <c r="AG269" s="419" t="n">
        <f aca="false">IF(AND(L268&lt;L_rampe,Poussee&lt;Poids*SIN(M268)),0,(-W268+Poussee)/m-Poids*SIN(M268)/m)</f>
        <v>2.04612494605282</v>
      </c>
      <c r="AH269" s="418" t="n">
        <f aca="false">IF(AND(L268&lt;L_rampe,Poussee&lt;Poids*SIN(M268)), g*SIN(M268), (-W268+Poussee)/m)</f>
        <v>-0.127460060732325</v>
      </c>
    </row>
    <row r="270" customFormat="false" ht="12" hidden="false" customHeight="false" outlineLevel="0" collapsed="false">
      <c r="A270" s="417" t="n">
        <f aca="false">IF(B269+0.01&lt;=T_ini+ROUNDUP(Temps_fin_propu,0), 0.01, IF(K269&gt;0, 0.1, 0.0001))</f>
        <v>0.1</v>
      </c>
      <c r="B270" s="418" t="n">
        <f aca="false">B269+pas</f>
        <v>8.59999999999999</v>
      </c>
      <c r="C270" s="402"/>
      <c r="D270" s="419" t="n">
        <f aca="false">IF(AND(L269&lt;L_rampe,Poussee&lt;Poids*SIN(M269)),0,(-W269+Poussee)/m*COS(M269)-U269/m*SIN(M269))</f>
        <v>-0.126377216323158</v>
      </c>
      <c r="E270" s="420" t="n">
        <f aca="false">IF(AND(L269&lt;L_rampe,Poussee&lt;Poids*SIN(M269)),0,(-W269+Poussee)/m*SIN(M269)+U269/m*COS(M269)-Poids/m)</f>
        <v>-9.77182139604185</v>
      </c>
      <c r="F270" s="418" t="n">
        <f aca="false">SQRT(acc_x^2+acc_z^2)</f>
        <v>9.77263856882812</v>
      </c>
      <c r="G270" s="419" t="n">
        <f aca="false">G269+acc_x*pas</f>
        <v>13.0875204900444</v>
      </c>
      <c r="H270" s="420" t="n">
        <f aca="false">H269+acc_z*pas</f>
        <v>-4.9347447976851</v>
      </c>
      <c r="I270" s="418" t="n">
        <f aca="false">SQRT(vit_x^2+vit_z^2)</f>
        <v>13.9869545933206</v>
      </c>
      <c r="J270" s="419" t="n">
        <f aca="false">J269+0.5*(vit_x+G269)*pas*(K269&gt;=0)</f>
        <v>117.166757717944</v>
      </c>
      <c r="K270" s="420" t="n">
        <f aca="false">K269+0.5*(vit_z+H269)*pas</f>
        <v>314.58015460848</v>
      </c>
      <c r="L270" s="418" t="n">
        <f aca="false">SQRT(pos_x^2+pos_z^2)</f>
        <v>335.691410059344</v>
      </c>
      <c r="M270" s="419" t="n">
        <f aca="false">IF(AND(L269&gt;L_rampe,G270&gt;0),ATAN2(G270,H270),$M$4)</f>
        <v>-0.360573086592765</v>
      </c>
      <c r="N270" s="418" t="n">
        <f aca="false">DEGREES(Beta)</f>
        <v>-20.6593160677706</v>
      </c>
      <c r="O270" s="402"/>
      <c r="P270" s="421" t="n">
        <f aca="false">MATCH(t-pas/2-T_ini,CdP_t)</f>
        <v>23</v>
      </c>
      <c r="Q270" s="418" t="n">
        <f aca="false">(INDEX(CdP,2,i_P+1)-INDEX(CdP,2,i_P+0))/(INDEX(CdP,1,i_P+1)-INDEX(CdP,1,i_P+0))*(t-pas/2-T_ini-INDEX(CdP,1,i_P+0))+INDEX(CdP,2,i_P+0)</f>
        <v>0</v>
      </c>
      <c r="R270" s="419" t="n">
        <f aca="false">Poussee/(g*ISP)</f>
        <v>0</v>
      </c>
      <c r="S270" s="420" t="n">
        <f aca="false">S269-Débit*pas</f>
        <v>1.4843</v>
      </c>
      <c r="T270" s="418" t="n">
        <f aca="false">m*g</f>
        <v>14.560983</v>
      </c>
      <c r="U270" s="422" t="n">
        <f aca="false">IF(pos_xz&lt;L_rampe,Poids*COS(Beta),0)</f>
        <v>0</v>
      </c>
      <c r="V270" s="419" t="n">
        <f aca="false">Rho_moyen*(20000-Alt_rampe-pos_z)/(20000+Alt_rampe+pos_z)</f>
        <v>1.18706067893478</v>
      </c>
      <c r="W270" s="418" t="n">
        <f aca="false">1/2*Rho*Sref*Cx*vit_xz^2</f>
        <v>0.204709498759734</v>
      </c>
      <c r="X270" s="402"/>
      <c r="Y270" s="423" t="str">
        <f aca="false">IF(AND(pos_z&lt;=0,K269&gt;0),"Impact balistique","") &amp; IF(AND(H271&lt;0,vit_z&gt;=0),"Apogée","") &amp; IF(AND(Poussee=0,Q269&gt;0),"Fin de propulsion","") &amp; IF(AND(L271&gt;L_rampe,pos_xz&lt;=L_rampe),"Sortie de rampe","")</f>
        <v/>
      </c>
      <c r="Z270" s="424" t="str">
        <f aca="false">IF(ABS(t-T_para)&lt;pas/2,"Para","")</f>
        <v/>
      </c>
      <c r="AA270" s="425" t="str">
        <f aca="false">IF(ABS(t-T_satellite)&lt;pas/2,"Satellite","")</f>
        <v/>
      </c>
      <c r="AB270" s="413"/>
      <c r="AC270" s="421" t="e">
        <f aca="false">IF(ABS(t-ROUND(t,0))&lt;0.001,t,NA())</f>
        <v>#N/A</v>
      </c>
      <c r="AD270" s="426" t="e">
        <f aca="false">IF(ABS(t-ROUND(t,0))&lt;0.001,pos_x,NA())</f>
        <v>#N/A</v>
      </c>
      <c r="AE270" s="427" t="n">
        <f aca="false">IF(t&lt;T_para, pos_z, NA())</f>
        <v>314.58015460848</v>
      </c>
      <c r="AF270" s="413"/>
      <c r="AG270" s="419" t="n">
        <f aca="false">IF(AND(L269&lt;L_rampe,Poussee&lt;Poids*SIN(M269)),0,(-W269+Poussee)/m-Poids*SIN(M269)/m)</f>
        <v>2.7049549464963</v>
      </c>
      <c r="AH270" s="418" t="n">
        <f aca="false">IF(AND(L269&lt;L_rampe,Poussee&lt;Poids*SIN(M269)), g*SIN(M269), (-W269+Poussee)/m)</f>
        <v>-0.132018205584623</v>
      </c>
    </row>
    <row r="271" customFormat="false" ht="12" hidden="false" customHeight="false" outlineLevel="0" collapsed="false">
      <c r="A271" s="417" t="n">
        <f aca="false">IF(B270+0.01&lt;=T_ini+ROUNDUP(Temps_fin_propu,0), 0.01, IF(K270&gt;0, 0.1, 0.0001))</f>
        <v>0.1</v>
      </c>
      <c r="B271" s="418" t="n">
        <f aca="false">B270+pas</f>
        <v>8.69999999999999</v>
      </c>
      <c r="C271" s="402"/>
      <c r="D271" s="419" t="n">
        <f aca="false">IF(AND(L270&lt;L_rampe,Poussee&lt;Poids*SIN(M270)),0,(-W270+Poussee)/m*COS(M270)-U270/m*SIN(M270))</f>
        <v>-0.129047773838273</v>
      </c>
      <c r="E271" s="420" t="n">
        <f aca="false">IF(AND(L270&lt;L_rampe,Poussee&lt;Poids*SIN(M270)),0,(-W270+Poussee)/m*SIN(M270)+U270/m*COS(M270)-Poids/m)</f>
        <v>-9.76134159819764</v>
      </c>
      <c r="F271" s="418" t="n">
        <f aca="false">SQRT(acc_x^2+acc_z^2)</f>
        <v>9.76219458547289</v>
      </c>
      <c r="G271" s="419" t="n">
        <f aca="false">G270+acc_x*pas</f>
        <v>13.0746157126606</v>
      </c>
      <c r="H271" s="420" t="n">
        <f aca="false">H270+acc_z*pas</f>
        <v>-5.91087895750486</v>
      </c>
      <c r="I271" s="418" t="n">
        <f aca="false">SQRT(vit_x^2+vit_z^2)</f>
        <v>14.3486607766727</v>
      </c>
      <c r="J271" s="419" t="n">
        <f aca="false">J270+0.5*(vit_x+G270)*pas*(K270&gt;=0)</f>
        <v>118.47486452808</v>
      </c>
      <c r="K271" s="420" t="n">
        <f aca="false">K270+0.5*(vit_z+H270)*pas</f>
        <v>314.037873420721</v>
      </c>
      <c r="L271" s="418" t="n">
        <f aca="false">SQRT(pos_x^2+pos_z^2)</f>
        <v>335.642785513938</v>
      </c>
      <c r="M271" s="419" t="n">
        <f aca="false">IF(AND(L270&gt;L_rampe,G271&gt;0),ATAN2(G271,H271),$M$4)</f>
        <v>-0.424589083900799</v>
      </c>
      <c r="N271" s="418" t="n">
        <f aca="false">DEGREES(Beta)</f>
        <v>-24.3271625348418</v>
      </c>
      <c r="O271" s="402"/>
      <c r="P271" s="421" t="n">
        <f aca="false">MATCH(t-pas/2-T_ini,CdP_t)</f>
        <v>23</v>
      </c>
      <c r="Q271" s="418" t="n">
        <f aca="false">(INDEX(CdP,2,i_P+1)-INDEX(CdP,2,i_P+0))/(INDEX(CdP,1,i_P+1)-INDEX(CdP,1,i_P+0))*(t-pas/2-T_ini-INDEX(CdP,1,i_P+0))+INDEX(CdP,2,i_P+0)</f>
        <v>0</v>
      </c>
      <c r="R271" s="419" t="n">
        <f aca="false">Poussee/(g*ISP)</f>
        <v>0</v>
      </c>
      <c r="S271" s="420" t="n">
        <f aca="false">S270-Débit*pas</f>
        <v>1.4843</v>
      </c>
      <c r="T271" s="418" t="n">
        <f aca="false">m*g</f>
        <v>14.560983</v>
      </c>
      <c r="U271" s="422" t="n">
        <f aca="false">IF(pos_xz&lt;L_rampe,Poids*COS(Beta),0)</f>
        <v>0</v>
      </c>
      <c r="V271" s="419" t="n">
        <f aca="false">Rho_moyen*(20000-Alt_rampe-pos_z)/(20000+Alt_rampe+pos_z)</f>
        <v>1.1871250686508</v>
      </c>
      <c r="W271" s="418" t="n">
        <f aca="false">1/2*Rho*Sref*Cx*vit_xz^2</f>
        <v>0.215445763399325</v>
      </c>
      <c r="X271" s="402"/>
      <c r="Y271" s="423" t="str">
        <f aca="false">IF(AND(pos_z&lt;=0,K270&gt;0),"Impact balistique","") &amp; IF(AND(H272&lt;0,vit_z&gt;=0),"Apogée","") &amp; IF(AND(Poussee=0,Q270&gt;0),"Fin de propulsion","") &amp; IF(AND(L272&gt;L_rampe,pos_xz&lt;=L_rampe),"Sortie de rampe","")</f>
        <v/>
      </c>
      <c r="Z271" s="424" t="str">
        <f aca="false">IF(ABS(t-T_para)&lt;pas/2,"Para","")</f>
        <v/>
      </c>
      <c r="AA271" s="425" t="str">
        <f aca="false">IF(ABS(t-T_satellite)&lt;pas/2,"Satellite","")</f>
        <v/>
      </c>
      <c r="AB271" s="413"/>
      <c r="AC271" s="421" t="e">
        <f aca="false">IF(ABS(t-ROUND(t,0))&lt;0.001,t,NA())</f>
        <v>#N/A</v>
      </c>
      <c r="AD271" s="426" t="e">
        <f aca="false">IF(ABS(t-ROUND(t,0))&lt;0.001,pos_x,NA())</f>
        <v>#N/A</v>
      </c>
      <c r="AE271" s="427" t="n">
        <f aca="false">IF(t&lt;T_para, pos_z, NA())</f>
        <v>314.037873420721</v>
      </c>
      <c r="AF271" s="413"/>
      <c r="AG271" s="419" t="n">
        <f aca="false">IF(AND(L270&lt;L_rampe,Poussee&lt;Poids*SIN(M270)),0,(-W270+Poussee)/m-Poids*SIN(M270)/m)</f>
        <v>3.32315472790814</v>
      </c>
      <c r="AH271" s="418" t="n">
        <f aca="false">IF(AND(L270&lt;L_rampe,Poussee&lt;Poids*SIN(M270)), g*SIN(M270), (-W270+Poussee)/m)</f>
        <v>-0.137916525473108</v>
      </c>
    </row>
    <row r="272" customFormat="false" ht="12" hidden="false" customHeight="false" outlineLevel="0" collapsed="false">
      <c r="A272" s="417" t="n">
        <f aca="false">IF(B271+0.01&lt;=T_ini+ROUNDUP(Temps_fin_propu,0), 0.01, IF(K271&gt;0, 0.1, 0.0001))</f>
        <v>0.1</v>
      </c>
      <c r="B272" s="418" t="n">
        <f aca="false">B271+pas</f>
        <v>8.79999999999999</v>
      </c>
      <c r="C272" s="402"/>
      <c r="D272" s="419" t="n">
        <f aca="false">IF(AND(L271&lt;L_rampe,Poussee&lt;Poids*SIN(M271)),0,(-W271+Poussee)/m*COS(M271)-U271/m*SIN(M271))</f>
        <v>-0.132261619314851</v>
      </c>
      <c r="E272" s="420" t="n">
        <f aca="false">IF(AND(L271&lt;L_rampe,Poussee&lt;Poids*SIN(M271)),0,(-W271+Poussee)/m*SIN(M271)+U271/m*COS(M271)-Poids/m)</f>
        <v>-9.75020608791304</v>
      </c>
      <c r="F272" s="418" t="n">
        <f aca="false">SQRT(acc_x^2+acc_z^2)</f>
        <v>9.75110311158282</v>
      </c>
      <c r="G272" s="419" t="n">
        <f aca="false">G271+acc_x*pas</f>
        <v>13.0613895507291</v>
      </c>
      <c r="H272" s="420" t="n">
        <f aca="false">H271+acc_z*pas</f>
        <v>-6.88589956629616</v>
      </c>
      <c r="I272" s="418" t="n">
        <f aca="false">SQRT(vit_x^2+vit_z^2)</f>
        <v>14.7653482801122</v>
      </c>
      <c r="J272" s="419" t="n">
        <f aca="false">J271+0.5*(vit_x+G271)*pas*(K271&gt;=0)</f>
        <v>119.781664791249</v>
      </c>
      <c r="K272" s="420" t="n">
        <f aca="false">K271+0.5*(vit_z+H271)*pas</f>
        <v>313.398034494531</v>
      </c>
      <c r="L272" s="418" t="n">
        <f aca="false">SQRT(pos_x^2+pos_z^2)</f>
        <v>335.508532298656</v>
      </c>
      <c r="M272" s="419" t="n">
        <f aca="false">IF(AND(L271&gt;L_rampe,G272&gt;0),ATAN2(G272,H272),$M$4)</f>
        <v>-0.485166190040275</v>
      </c>
      <c r="N272" s="418" t="n">
        <f aca="false">DEGREES(Beta)</f>
        <v>-27.7979750517498</v>
      </c>
      <c r="O272" s="402"/>
      <c r="P272" s="421" t="n">
        <f aca="false">MATCH(t-pas/2-T_ini,CdP_t)</f>
        <v>23</v>
      </c>
      <c r="Q272" s="418" t="n">
        <f aca="false">(INDEX(CdP,2,i_P+1)-INDEX(CdP,2,i_P+0))/(INDEX(CdP,1,i_P+1)-INDEX(CdP,1,i_P+0))*(t-pas/2-T_ini-INDEX(CdP,1,i_P+0))+INDEX(CdP,2,i_P+0)</f>
        <v>0</v>
      </c>
      <c r="R272" s="419" t="n">
        <f aca="false">Poussee/(g*ISP)</f>
        <v>0</v>
      </c>
      <c r="S272" s="420" t="n">
        <f aca="false">S271-Débit*pas</f>
        <v>1.4843</v>
      </c>
      <c r="T272" s="418" t="n">
        <f aca="false">m*g</f>
        <v>14.560983</v>
      </c>
      <c r="U272" s="422" t="n">
        <f aca="false">IF(pos_xz&lt;L_rampe,Poids*COS(Beta),0)</f>
        <v>0</v>
      </c>
      <c r="V272" s="419" t="n">
        <f aca="false">Rho_moyen*(20000-Alt_rampe-pos_z)/(20000+Alt_rampe+pos_z)</f>
        <v>1.18720104665858</v>
      </c>
      <c r="W272" s="418" t="n">
        <f aca="false">1/2*Rho*Sref*Cx*vit_xz^2</f>
        <v>0.228155218782747</v>
      </c>
      <c r="X272" s="402"/>
      <c r="Y272" s="423" t="str">
        <f aca="false">IF(AND(pos_z&lt;=0,K271&gt;0),"Impact balistique","") &amp; IF(AND(H273&lt;0,vit_z&gt;=0),"Apogée","") &amp; IF(AND(Poussee=0,Q271&gt;0),"Fin de propulsion","") &amp; IF(AND(L273&gt;L_rampe,pos_xz&lt;=L_rampe),"Sortie de rampe","")</f>
        <v/>
      </c>
      <c r="Z272" s="424" t="str">
        <f aca="false">IF(ABS(t-T_para)&lt;pas/2,"Para","")</f>
        <v/>
      </c>
      <c r="AA272" s="425" t="str">
        <f aca="false">IF(ABS(t-T_satellite)&lt;pas/2,"Satellite","")</f>
        <v/>
      </c>
      <c r="AB272" s="413"/>
      <c r="AC272" s="421" t="e">
        <f aca="false">IF(ABS(t-ROUND(t,0))&lt;0.001,t,NA())</f>
        <v>#N/A</v>
      </c>
      <c r="AD272" s="426" t="e">
        <f aca="false">IF(ABS(t-ROUND(t,0))&lt;0.001,pos_x,NA())</f>
        <v>#N/A</v>
      </c>
      <c r="AE272" s="427" t="n">
        <f aca="false">IF(t&lt;T_para, pos_z, NA())</f>
        <v>313.398034494531</v>
      </c>
      <c r="AF272" s="413"/>
      <c r="AG272" s="419" t="n">
        <f aca="false">IF(AND(L271&lt;L_rampe,Poussee&lt;Poids*SIN(M271)),0,(-W271+Poussee)/m-Poids*SIN(M271)/m)</f>
        <v>3.89604430827366</v>
      </c>
      <c r="AH272" s="418" t="n">
        <f aca="false">IF(AND(L271&lt;L_rampe,Poussee&lt;Poids*SIN(M271)), g*SIN(M271), (-W271+Poussee)/m)</f>
        <v>-0.145149742908661</v>
      </c>
    </row>
    <row r="273" customFormat="false" ht="12" hidden="false" customHeight="false" outlineLevel="0" collapsed="false">
      <c r="A273" s="417" t="n">
        <f aca="false">IF(B272+0.01&lt;=T_ini+ROUNDUP(Temps_fin_propu,0), 0.01, IF(K272&gt;0, 0.1, 0.0001))</f>
        <v>0.1</v>
      </c>
      <c r="B273" s="418" t="n">
        <f aca="false">B272+pas</f>
        <v>8.89999999999999</v>
      </c>
      <c r="C273" s="402"/>
      <c r="D273" s="419" t="n">
        <f aca="false">IF(AND(L272&lt;L_rampe,Poussee&lt;Poids*SIN(M272)),0,(-W272+Poussee)/m*COS(M272)-U272/m*SIN(M272))</f>
        <v>-0.135973540724615</v>
      </c>
      <c r="E273" s="420" t="n">
        <f aca="false">IF(AND(L272&lt;L_rampe,Poussee&lt;Poids*SIN(M272)),0,(-W272+Poussee)/m*SIN(M272)+U272/m*COS(M272)-Poids/m)</f>
        <v>-9.73831542605273</v>
      </c>
      <c r="F273" s="418" t="n">
        <f aca="false">SQRT(acc_x^2+acc_z^2)</f>
        <v>9.73926466120896</v>
      </c>
      <c r="G273" s="419" t="n">
        <f aca="false">G272+acc_x*pas</f>
        <v>13.0477921966566</v>
      </c>
      <c r="H273" s="420" t="n">
        <f aca="false">H272+acc_z*pas</f>
        <v>-7.85973110890144</v>
      </c>
      <c r="I273" s="418" t="n">
        <f aca="false">SQRT(vit_x^2+vit_z^2)</f>
        <v>15.2322110775608</v>
      </c>
      <c r="J273" s="419" t="n">
        <f aca="false">J272+0.5*(vit_x+G272)*pas*(K272&gt;=0)</f>
        <v>121.087123878618</v>
      </c>
      <c r="K273" s="420" t="n">
        <f aca="false">K272+0.5*(vit_z+H272)*pas</f>
        <v>312.660752960771</v>
      </c>
      <c r="L273" s="418" t="n">
        <f aca="false">SQRT(pos_x^2+pos_z^2)</f>
        <v>335.289185646051</v>
      </c>
      <c r="M273" s="419" t="n">
        <f aca="false">IF(AND(L272&gt;L_rampe,G273&gt;0),ATAN2(G273,H273),$M$4)</f>
        <v>-0.542167777945813</v>
      </c>
      <c r="N273" s="418" t="n">
        <f aca="false">DEGREES(Beta)</f>
        <v>-31.0639254642811</v>
      </c>
      <c r="O273" s="402"/>
      <c r="P273" s="421" t="n">
        <f aca="false">MATCH(t-pas/2-T_ini,CdP_t)</f>
        <v>23</v>
      </c>
      <c r="Q273" s="418" t="n">
        <f aca="false">(INDEX(CdP,2,i_P+1)-INDEX(CdP,2,i_P+0))/(INDEX(CdP,1,i_P+1)-INDEX(CdP,1,i_P+0))*(t-pas/2-T_ini-INDEX(CdP,1,i_P+0))+INDEX(CdP,2,i_P+0)</f>
        <v>0</v>
      </c>
      <c r="R273" s="419" t="n">
        <f aca="false">Poussee/(g*ISP)</f>
        <v>0</v>
      </c>
      <c r="S273" s="420" t="n">
        <f aca="false">S272-Débit*pas</f>
        <v>1.4843</v>
      </c>
      <c r="T273" s="418" t="n">
        <f aca="false">m*g</f>
        <v>14.560983</v>
      </c>
      <c r="U273" s="422" t="n">
        <f aca="false">IF(pos_xz&lt;L_rampe,Poids*COS(Beta),0)</f>
        <v>0</v>
      </c>
      <c r="V273" s="419" t="n">
        <f aca="false">Rho_moyen*(20000-Alt_rampe-pos_z)/(20000+Alt_rampe+pos_z)</f>
        <v>1.1872886014752</v>
      </c>
      <c r="W273" s="418" t="n">
        <f aca="false">1/2*Rho*Sref*Cx*vit_xz^2</f>
        <v>0.24282921864312</v>
      </c>
      <c r="X273" s="402"/>
      <c r="Y273" s="423" t="str">
        <f aca="false">IF(AND(pos_z&lt;=0,K272&gt;0),"Impact balistique","") &amp; IF(AND(H274&lt;0,vit_z&gt;=0),"Apogée","") &amp; IF(AND(Poussee=0,Q272&gt;0),"Fin de propulsion","") &amp; IF(AND(L274&gt;L_rampe,pos_xz&lt;=L_rampe),"Sortie de rampe","")</f>
        <v/>
      </c>
      <c r="Z273" s="424" t="str">
        <f aca="false">IF(ABS(t-T_para)&lt;pas/2,"Para","")</f>
        <v/>
      </c>
      <c r="AA273" s="425" t="str">
        <f aca="false">IF(ABS(t-T_satellite)&lt;pas/2,"Satellite","")</f>
        <v/>
      </c>
      <c r="AB273" s="413"/>
      <c r="AC273" s="421" t="e">
        <f aca="false">IF(ABS(t-ROUND(t,0))&lt;0.001,t,NA())</f>
        <v>#N/A</v>
      </c>
      <c r="AD273" s="426" t="e">
        <f aca="false">IF(ABS(t-ROUND(t,0))&lt;0.001,pos_x,NA())</f>
        <v>#N/A</v>
      </c>
      <c r="AE273" s="427" t="n">
        <f aca="false">IF(t&lt;T_para, pos_z, NA())</f>
        <v>312.660752960771</v>
      </c>
      <c r="AF273" s="413"/>
      <c r="AG273" s="419" t="n">
        <f aca="false">IF(AND(L272&lt;L_rampe,Poussee&lt;Poids*SIN(M272)),0,(-W272+Poussee)/m-Poids*SIN(M272)/m)</f>
        <v>4.42123391512845</v>
      </c>
      <c r="AH273" s="418" t="n">
        <f aca="false">IF(AND(L272&lt;L_rampe,Poussee&lt;Poids*SIN(M272)), g*SIN(M272), (-W272+Poussee)/m)</f>
        <v>-0.153712334961091</v>
      </c>
    </row>
    <row r="274" customFormat="false" ht="12" hidden="false" customHeight="false" outlineLevel="0" collapsed="false">
      <c r="A274" s="417" t="n">
        <f aca="false">IF(B273+0.01&lt;=T_ini+ROUNDUP(Temps_fin_propu,0), 0.01, IF(K273&gt;0, 0.1, 0.0001))</f>
        <v>0.1</v>
      </c>
      <c r="B274" s="418" t="n">
        <f aca="false">B273+pas</f>
        <v>8.99999999999999</v>
      </c>
      <c r="C274" s="402"/>
      <c r="D274" s="419" t="n">
        <f aca="false">IF(AND(L273&lt;L_rampe,Poussee&lt;Poids*SIN(M273)),0,(-W273+Poussee)/m*COS(M273)-U273/m*SIN(M273))</f>
        <v>-0.140137168134383</v>
      </c>
      <c r="E274" s="420" t="n">
        <f aca="false">IF(AND(L273&lt;L_rampe,Poussee&lt;Poids*SIN(M273)),0,(-W273+Poussee)/m*SIN(M273)+U273/m*COS(M273)-Poids/m)</f>
        <v>-9.72558415069015</v>
      </c>
      <c r="F274" s="418" t="n">
        <f aca="false">SQRT(acc_x^2+acc_z^2)</f>
        <v>9.72659372535155</v>
      </c>
      <c r="G274" s="419" t="n">
        <f aca="false">G273+acc_x*pas</f>
        <v>13.0337784798432</v>
      </c>
      <c r="H274" s="420" t="n">
        <f aca="false">H273+acc_z*pas</f>
        <v>-8.83228952397045</v>
      </c>
      <c r="I274" s="418" t="n">
        <f aca="false">SQRT(vit_x^2+vit_z^2)</f>
        <v>15.7444821984358</v>
      </c>
      <c r="J274" s="419" t="n">
        <f aca="false">J273+0.5*(vit_x+G273)*pas*(K273&gt;=0)</f>
        <v>122.391202412443</v>
      </c>
      <c r="K274" s="420" t="n">
        <f aca="false">K273+0.5*(vit_z+H273)*pas</f>
        <v>311.826151929127</v>
      </c>
      <c r="L274" s="418" t="n">
        <f aca="false">SQRT(pos_x^2+pos_z^2)</f>
        <v>334.985306326846</v>
      </c>
      <c r="M274" s="419" t="n">
        <f aca="false">IF(AND(L273&gt;L_rampe,G274&gt;0),ATAN2(G274,H274),$M$4)</f>
        <v>-0.59556530083398</v>
      </c>
      <c r="N274" s="418" t="n">
        <f aca="false">DEGREES(Beta)</f>
        <v>-34.1233781622263</v>
      </c>
      <c r="O274" s="402"/>
      <c r="P274" s="421" t="n">
        <f aca="false">MATCH(t-pas/2-T_ini,CdP_t)</f>
        <v>23</v>
      </c>
      <c r="Q274" s="418" t="n">
        <f aca="false">(INDEX(CdP,2,i_P+1)-INDEX(CdP,2,i_P+0))/(INDEX(CdP,1,i_P+1)-INDEX(CdP,1,i_P+0))*(t-pas/2-T_ini-INDEX(CdP,1,i_P+0))+INDEX(CdP,2,i_P+0)</f>
        <v>0</v>
      </c>
      <c r="R274" s="419" t="n">
        <f aca="false">Poussee/(g*ISP)</f>
        <v>0</v>
      </c>
      <c r="S274" s="420" t="n">
        <f aca="false">S273-Débit*pas</f>
        <v>1.4843</v>
      </c>
      <c r="T274" s="418" t="n">
        <f aca="false">m*g</f>
        <v>14.560983</v>
      </c>
      <c r="U274" s="422" t="n">
        <f aca="false">IF(pos_xz&lt;L_rampe,Poids*COS(Beta),0)</f>
        <v>0</v>
      </c>
      <c r="V274" s="419" t="n">
        <f aca="false">Rho_moyen*(20000-Alt_rampe-pos_z)/(20000+Alt_rampe+pos_z)</f>
        <v>1.18738772099998</v>
      </c>
      <c r="W274" s="418" t="n">
        <f aca="false">1/2*Rho*Sref*Cx*vit_xz^2</f>
        <v>0.259458595876504</v>
      </c>
      <c r="X274" s="402"/>
      <c r="Y274" s="423" t="str">
        <f aca="false">IF(AND(pos_z&lt;=0,K273&gt;0),"Impact balistique","") &amp; IF(AND(H275&lt;0,vit_z&gt;=0),"Apogée","") &amp; IF(AND(Poussee=0,Q273&gt;0),"Fin de propulsion","") &amp; IF(AND(L275&gt;L_rampe,pos_xz&lt;=L_rampe),"Sortie de rampe","")</f>
        <v/>
      </c>
      <c r="Z274" s="424" t="str">
        <f aca="false">IF(ABS(t-T_para)&lt;pas/2,"Para","")</f>
        <v/>
      </c>
      <c r="AA274" s="425" t="str">
        <f aca="false">IF(ABS(t-T_satellite)&lt;pas/2,"Satellite","")</f>
        <v/>
      </c>
      <c r="AB274" s="413"/>
      <c r="AC274" s="421" t="n">
        <f aca="false">IF(ABS(t-ROUND(t,0))&lt;0.001,t,NA())</f>
        <v>8.99999999999999</v>
      </c>
      <c r="AD274" s="426" t="n">
        <f aca="false">IF(ABS(t-ROUND(t,0))&lt;0.001,pos_x,NA())</f>
        <v>122.391202412443</v>
      </c>
      <c r="AE274" s="427" t="n">
        <f aca="false">IF(t&lt;T_para, pos_z, NA())</f>
        <v>311.826151929127</v>
      </c>
      <c r="AF274" s="413"/>
      <c r="AG274" s="419" t="n">
        <f aca="false">IF(AND(L273&lt;L_rampe,Poussee&lt;Poids*SIN(M273)),0,(-W273+Poussee)/m-Poids*SIN(M273)/m)</f>
        <v>4.89830368504325</v>
      </c>
      <c r="AH274" s="418" t="n">
        <f aca="false">IF(AND(L273&lt;L_rampe,Poussee&lt;Poids*SIN(M273)), g*SIN(M273), (-W273+Poussee)/m)</f>
        <v>-0.163598476482598</v>
      </c>
    </row>
    <row r="275" customFormat="false" ht="12" hidden="false" customHeight="false" outlineLevel="0" collapsed="false">
      <c r="A275" s="417" t="n">
        <f aca="false">IF(B274+0.01&lt;=T_ini+ROUNDUP(Temps_fin_propu,0), 0.01, IF(K274&gt;0, 0.1, 0.0001))</f>
        <v>0.1</v>
      </c>
      <c r="B275" s="418" t="n">
        <f aca="false">B274+pas</f>
        <v>9.09999999999999</v>
      </c>
      <c r="C275" s="402"/>
      <c r="D275" s="419" t="n">
        <f aca="false">IF(AND(L274&lt;L_rampe,Poussee&lt;Poids*SIN(M274)),0,(-W274+Poussee)/m*COS(M274)-U274/m*SIN(M274))</f>
        <v>-0.144706596596342</v>
      </c>
      <c r="E275" s="420" t="n">
        <f aca="false">IF(AND(L274&lt;L_rampe,Poussee&lt;Poids*SIN(M274)),0,(-W274+Poussee)/m*SIN(M274)+U274/m*COS(M274)-Poids/m)</f>
        <v>-9.71194013507719</v>
      </c>
      <c r="F275" s="418" t="n">
        <f aca="false">SQRT(acc_x^2+acc_z^2)</f>
        <v>9.71301812962488</v>
      </c>
      <c r="G275" s="419" t="n">
        <f aca="false">G274+acc_x*pas</f>
        <v>13.0193078201836</v>
      </c>
      <c r="H275" s="420" t="n">
        <f aca="false">H274+acc_z*pas</f>
        <v>-9.80348353747817</v>
      </c>
      <c r="I275" s="418" t="n">
        <f aca="false">SQRT(vit_x^2+vit_z^2)</f>
        <v>16.2975662473358</v>
      </c>
      <c r="J275" s="419" t="n">
        <f aca="false">J274+0.5*(vit_x+G274)*pas*(K274&gt;=0)</f>
        <v>123.693856727445</v>
      </c>
      <c r="K275" s="420" t="n">
        <f aca="false">K274+0.5*(vit_z+H274)*pas</f>
        <v>310.894363276055</v>
      </c>
      <c r="L275" s="418" t="n">
        <f aca="false">SQRT(pos_x^2+pos_z^2)</f>
        <v>334.597482520316</v>
      </c>
      <c r="M275" s="419" t="n">
        <f aca="false">IF(AND(L274&gt;L_rampe,G275&gt;0),ATAN2(G275,H275),$M$4)</f>
        <v>-0.645415637408193</v>
      </c>
      <c r="N275" s="418" t="n">
        <f aca="false">DEGREES(Beta)</f>
        <v>-36.9795920552353</v>
      </c>
      <c r="O275" s="402"/>
      <c r="P275" s="421" t="n">
        <f aca="false">MATCH(t-pas/2-T_ini,CdP_t)</f>
        <v>23</v>
      </c>
      <c r="Q275" s="418" t="n">
        <f aca="false">(INDEX(CdP,2,i_P+1)-INDEX(CdP,2,i_P+0))/(INDEX(CdP,1,i_P+1)-INDEX(CdP,1,i_P+0))*(t-pas/2-T_ini-INDEX(CdP,1,i_P+0))+INDEX(CdP,2,i_P+0)</f>
        <v>0</v>
      </c>
      <c r="R275" s="419" t="n">
        <f aca="false">Poussee/(g*ISP)</f>
        <v>0</v>
      </c>
      <c r="S275" s="420" t="n">
        <f aca="false">S274-Débit*pas</f>
        <v>1.4843</v>
      </c>
      <c r="T275" s="418" t="n">
        <f aca="false">m*g</f>
        <v>14.560983</v>
      </c>
      <c r="U275" s="422" t="n">
        <f aca="false">IF(pos_xz&lt;L_rampe,Poids*COS(Beta),0)</f>
        <v>0</v>
      </c>
      <c r="V275" s="419" t="n">
        <f aca="false">Rho_moyen*(20000-Alt_rampe-pos_z)/(20000+Alt_rampe+pos_z)</f>
        <v>1.18749839241922</v>
      </c>
      <c r="W275" s="418" t="n">
        <f aca="false">1/2*Rho*Sref*Cx*vit_xz^2</f>
        <v>0.278033601939951</v>
      </c>
      <c r="X275" s="402"/>
      <c r="Y275" s="423" t="str">
        <f aca="false">IF(AND(pos_z&lt;=0,K274&gt;0),"Impact balistique","") &amp; IF(AND(H276&lt;0,vit_z&gt;=0),"Apogée","") &amp; IF(AND(Poussee=0,Q274&gt;0),"Fin de propulsion","") &amp; IF(AND(L276&gt;L_rampe,pos_xz&lt;=L_rampe),"Sortie de rampe","")</f>
        <v/>
      </c>
      <c r="Z275" s="424" t="str">
        <f aca="false">IF(ABS(t-T_para)&lt;pas/2,"Para","")</f>
        <v/>
      </c>
      <c r="AA275" s="425" t="str">
        <f aca="false">IF(ABS(t-T_satellite)&lt;pas/2,"Satellite","")</f>
        <v/>
      </c>
      <c r="AB275" s="413"/>
      <c r="AC275" s="421" t="e">
        <f aca="false">IF(ABS(t-ROUND(t,0))&lt;0.001,t,NA())</f>
        <v>#N/A</v>
      </c>
      <c r="AD275" s="426" t="e">
        <f aca="false">IF(ABS(t-ROUND(t,0))&lt;0.001,pos_x,NA())</f>
        <v>#N/A</v>
      </c>
      <c r="AE275" s="427" t="n">
        <f aca="false">IF(t&lt;T_para, pos_z, NA())</f>
        <v>310.894363276055</v>
      </c>
      <c r="AF275" s="413"/>
      <c r="AG275" s="419" t="n">
        <f aca="false">IF(AND(L274&lt;L_rampe,Poussee&lt;Poids*SIN(M274)),0,(-W274+Poussee)/m-Poids*SIN(M274)/m)</f>
        <v>5.32838059267496</v>
      </c>
      <c r="AH275" s="418" t="n">
        <f aca="false">IF(AND(L274&lt;L_rampe,Poussee&lt;Poids*SIN(M274)), g*SIN(M274), (-W274+Poussee)/m)</f>
        <v>-0.174801991427949</v>
      </c>
    </row>
    <row r="276" customFormat="false" ht="12" hidden="false" customHeight="false" outlineLevel="0" collapsed="false">
      <c r="A276" s="417" t="n">
        <f aca="false">IF(B275+0.01&lt;=T_ini+ROUNDUP(Temps_fin_propu,0), 0.01, IF(K275&gt;0, 0.1, 0.0001))</f>
        <v>0.1</v>
      </c>
      <c r="B276" s="418" t="n">
        <f aca="false">B275+pas</f>
        <v>9.19999999999999</v>
      </c>
      <c r="C276" s="402"/>
      <c r="D276" s="419" t="n">
        <f aca="false">IF(AND(L275&lt;L_rampe,Poussee&lt;Poids*SIN(M275)),0,(-W275+Poussee)/m*COS(M275)-U275/m*SIN(M275))</f>
        <v>-0.149637601651388</v>
      </c>
      <c r="E276" s="420" t="n">
        <f aca="false">IF(AND(L275&lt;L_rampe,Poussee&lt;Poids*SIN(M275)),0,(-W275+Poussee)/m*SIN(M275)+U275/m*COS(M275)-Poids/m)</f>
        <v>-9.69732352098605</v>
      </c>
      <c r="F276" s="418" t="n">
        <f aca="false">SQRT(acc_x^2+acc_z^2)</f>
        <v>9.69847796731514</v>
      </c>
      <c r="G276" s="419" t="n">
        <f aca="false">G275+acc_x*pas</f>
        <v>13.0043440600184</v>
      </c>
      <c r="H276" s="420" t="n">
        <f aca="false">H275+acc_z*pas</f>
        <v>-10.7732158895768</v>
      </c>
      <c r="I276" s="418" t="n">
        <f aca="false">SQRT(vit_x^2+vit_z^2)</f>
        <v>16.8871295676549</v>
      </c>
      <c r="J276" s="419" t="n">
        <f aca="false">J275+0.5*(vit_x+G275)*pas*(K275&gt;=0)</f>
        <v>124.995039321455</v>
      </c>
      <c r="K276" s="420" t="n">
        <f aca="false">K275+0.5*(vit_z+H275)*pas</f>
        <v>309.865528304702</v>
      </c>
      <c r="L276" s="418" t="n">
        <f aca="false">SQRT(pos_x^2+pos_z^2)</f>
        <v>334.126331627012</v>
      </c>
      <c r="M276" s="419" t="n">
        <f aca="false">IF(AND(L275&gt;L_rampe,G276&gt;0),ATAN2(G276,H276),$M$4)</f>
        <v>-0.691838756332367</v>
      </c>
      <c r="N276" s="418" t="n">
        <f aca="false">DEGREES(Beta)</f>
        <v>-39.6394408414244</v>
      </c>
      <c r="O276" s="402"/>
      <c r="P276" s="421" t="n">
        <f aca="false">MATCH(t-pas/2-T_ini,CdP_t)</f>
        <v>23</v>
      </c>
      <c r="Q276" s="418" t="n">
        <f aca="false">(INDEX(CdP,2,i_P+1)-INDEX(CdP,2,i_P+0))/(INDEX(CdP,1,i_P+1)-INDEX(CdP,1,i_P+0))*(t-pas/2-T_ini-INDEX(CdP,1,i_P+0))+INDEX(CdP,2,i_P+0)</f>
        <v>0</v>
      </c>
      <c r="R276" s="419" t="n">
        <f aca="false">Poussee/(g*ISP)</f>
        <v>0</v>
      </c>
      <c r="S276" s="420" t="n">
        <f aca="false">S275-Débit*pas</f>
        <v>1.4843</v>
      </c>
      <c r="T276" s="418" t="n">
        <f aca="false">m*g</f>
        <v>14.560983</v>
      </c>
      <c r="U276" s="422" t="n">
        <f aca="false">IF(pos_xz&lt;L_rampe,Poids*COS(Beta),0)</f>
        <v>0</v>
      </c>
      <c r="V276" s="419" t="n">
        <f aca="false">Rho_moyen*(20000-Alt_rampe-pos_z)/(20000+Alt_rampe+pos_z)</f>
        <v>1.18762060212617</v>
      </c>
      <c r="W276" s="418" t="n">
        <f aca="false">1/2*Rho*Sref*Cx*vit_xz^2</f>
        <v>0.298543857124382</v>
      </c>
      <c r="X276" s="402"/>
      <c r="Y276" s="423" t="str">
        <f aca="false">IF(AND(pos_z&lt;=0,K275&gt;0),"Impact balistique","") &amp; IF(AND(H277&lt;0,vit_z&gt;=0),"Apogée","") &amp; IF(AND(Poussee=0,Q275&gt;0),"Fin de propulsion","") &amp; IF(AND(L277&gt;L_rampe,pos_xz&lt;=L_rampe),"Sortie de rampe","")</f>
        <v/>
      </c>
      <c r="Z276" s="424" t="str">
        <f aca="false">IF(ABS(t-T_para)&lt;pas/2,"Para","")</f>
        <v/>
      </c>
      <c r="AA276" s="425" t="str">
        <f aca="false">IF(ABS(t-T_satellite)&lt;pas/2,"Satellite","")</f>
        <v/>
      </c>
      <c r="AB276" s="413"/>
      <c r="AC276" s="421" t="e">
        <f aca="false">IF(ABS(t-ROUND(t,0))&lt;0.001,t,NA())</f>
        <v>#N/A</v>
      </c>
      <c r="AD276" s="426" t="e">
        <f aca="false">IF(ABS(t-ROUND(t,0))&lt;0.001,pos_x,NA())</f>
        <v>#N/A</v>
      </c>
      <c r="AE276" s="427" t="n">
        <f aca="false">IF(t&lt;T_para, pos_z, NA())</f>
        <v>309.865528304702</v>
      </c>
      <c r="AF276" s="413"/>
      <c r="AG276" s="419" t="n">
        <f aca="false">IF(AND(L275&lt;L_rampe,Poussee&lt;Poids*SIN(M275)),0,(-W275+Poussee)/m-Poids*SIN(M275)/m)</f>
        <v>5.71369811203779</v>
      </c>
      <c r="AH276" s="418" t="n">
        <f aca="false">IF(AND(L275&lt;L_rampe,Poussee&lt;Poids*SIN(M275)), g*SIN(M275), (-W275+Poussee)/m)</f>
        <v>-0.187316312025838</v>
      </c>
    </row>
    <row r="277" customFormat="false" ht="12" hidden="false" customHeight="false" outlineLevel="0" collapsed="false">
      <c r="A277" s="417" t="n">
        <f aca="false">IF(B276+0.01&lt;=T_ini+ROUNDUP(Temps_fin_propu,0), 0.01, IF(K276&gt;0, 0.1, 0.0001))</f>
        <v>0.1</v>
      </c>
      <c r="B277" s="418" t="n">
        <f aca="false">B276+pas</f>
        <v>9.29999999999999</v>
      </c>
      <c r="C277" s="402"/>
      <c r="D277" s="419" t="n">
        <f aca="false">IF(AND(L276&lt;L_rampe,Poussee&lt;Poids*SIN(M276)),0,(-W276+Poussee)/m*COS(M276)-U276/m*SIN(M276))</f>
        <v>-0.154888462140456</v>
      </c>
      <c r="E277" s="420" t="n">
        <f aca="false">IF(AND(L276&lt;L_rampe,Poussee&lt;Poids*SIN(M276)),0,(-W276+Poussee)/m*SIN(M276)+U276/m*COS(M276)-Poids/m)</f>
        <v>-9.68168542805831</v>
      </c>
      <c r="F277" s="418" t="n">
        <f aca="false">SQRT(acc_x^2+acc_z^2)</f>
        <v>9.68292430847112</v>
      </c>
      <c r="G277" s="419" t="n">
        <f aca="false">G276+acc_x*pas</f>
        <v>12.9888552138044</v>
      </c>
      <c r="H277" s="420" t="n">
        <f aca="false">H276+acc_z*pas</f>
        <v>-11.7413844323826</v>
      </c>
      <c r="I277" s="418" t="n">
        <f aca="false">SQRT(vit_x^2+vit_z^2)</f>
        <v>17.5091538388972</v>
      </c>
      <c r="J277" s="419" t="n">
        <f aca="false">J276+0.5*(vit_x+G276)*pas*(K276&gt;=0)</f>
        <v>126.294699285146</v>
      </c>
      <c r="K277" s="420" t="n">
        <f aca="false">K276+0.5*(vit_z+H276)*pas</f>
        <v>308.739798288604</v>
      </c>
      <c r="L277" s="418" t="n">
        <f aca="false">SQRT(pos_x^2+pos_z^2)</f>
        <v>333.572502036384</v>
      </c>
      <c r="M277" s="419" t="n">
        <f aca="false">IF(AND(L276&gt;L_rampe,G277&gt;0),ATAN2(G277,H277),$M$4)</f>
        <v>-0.734997748985631</v>
      </c>
      <c r="N277" s="418" t="n">
        <f aca="false">DEGREES(Beta)</f>
        <v>-42.1122689684926</v>
      </c>
      <c r="O277" s="402"/>
      <c r="P277" s="421" t="n">
        <f aca="false">MATCH(t-pas/2-T_ini,CdP_t)</f>
        <v>23</v>
      </c>
      <c r="Q277" s="418" t="n">
        <f aca="false">(INDEX(CdP,2,i_P+1)-INDEX(CdP,2,i_P+0))/(INDEX(CdP,1,i_P+1)-INDEX(CdP,1,i_P+0))*(t-pas/2-T_ini-INDEX(CdP,1,i_P+0))+INDEX(CdP,2,i_P+0)</f>
        <v>0</v>
      </c>
      <c r="R277" s="419" t="n">
        <f aca="false">Poussee/(g*ISP)</f>
        <v>0</v>
      </c>
      <c r="S277" s="420" t="n">
        <f aca="false">S276-Débit*pas</f>
        <v>1.4843</v>
      </c>
      <c r="T277" s="418" t="n">
        <f aca="false">m*g</f>
        <v>14.560983</v>
      </c>
      <c r="U277" s="422" t="n">
        <f aca="false">IF(pos_xz&lt;L_rampe,Poids*COS(Beta),0)</f>
        <v>0</v>
      </c>
      <c r="V277" s="419" t="n">
        <f aca="false">Rho_moyen*(20000-Alt_rampe-pos_z)/(20000+Alt_rampe+pos_z)</f>
        <v>1.1877543356545</v>
      </c>
      <c r="W277" s="418" t="n">
        <f aca="false">1/2*Rho*Sref*Cx*vit_xz^2</f>
        <v>0.320978310682172</v>
      </c>
      <c r="X277" s="402"/>
      <c r="Y277" s="423" t="str">
        <f aca="false">IF(AND(pos_z&lt;=0,K276&gt;0),"Impact balistique","") &amp; IF(AND(H278&lt;0,vit_z&gt;=0),"Apogée","") &amp; IF(AND(Poussee=0,Q276&gt;0),"Fin de propulsion","") &amp; IF(AND(L278&gt;L_rampe,pos_xz&lt;=L_rampe),"Sortie de rampe","")</f>
        <v/>
      </c>
      <c r="Z277" s="424" t="str">
        <f aca="false">IF(ABS(t-T_para)&lt;pas/2,"Para","")</f>
        <v/>
      </c>
      <c r="AA277" s="425" t="str">
        <f aca="false">IF(ABS(t-T_satellite)&lt;pas/2,"Satellite","")</f>
        <v/>
      </c>
      <c r="AB277" s="413"/>
      <c r="AC277" s="421" t="e">
        <f aca="false">IF(ABS(t-ROUND(t,0))&lt;0.001,t,NA())</f>
        <v>#N/A</v>
      </c>
      <c r="AD277" s="426" t="e">
        <f aca="false">IF(ABS(t-ROUND(t,0))&lt;0.001,pos_x,NA())</f>
        <v>#N/A</v>
      </c>
      <c r="AE277" s="427" t="n">
        <f aca="false">IF(t&lt;T_para, pos_z, NA())</f>
        <v>308.739798288604</v>
      </c>
      <c r="AF277" s="413"/>
      <c r="AG277" s="419" t="n">
        <f aca="false">IF(AND(L276&lt;L_rampe,Poussee&lt;Poids*SIN(M276)),0,(-W276+Poussee)/m-Poids*SIN(M276)/m)</f>
        <v>6.05719663777321</v>
      </c>
      <c r="AH277" s="418" t="n">
        <f aca="false">IF(AND(L276&lt;L_rampe,Poussee&lt;Poids*SIN(M276)), g*SIN(M276), (-W276+Poussee)/m)</f>
        <v>-0.201134445276819</v>
      </c>
    </row>
    <row r="278" customFormat="false" ht="12" hidden="false" customHeight="false" outlineLevel="0" collapsed="false">
      <c r="A278" s="417" t="n">
        <f aca="false">IF(B277+0.01&lt;=T_ini+ROUNDUP(Temps_fin_propu,0), 0.01, IF(K277&gt;0, 0.1, 0.0001))</f>
        <v>0.1</v>
      </c>
      <c r="B278" s="418" t="n">
        <f aca="false">B277+pas</f>
        <v>9.39999999999998</v>
      </c>
      <c r="C278" s="402"/>
      <c r="D278" s="419" t="n">
        <f aca="false">IF(AND(L277&lt;L_rampe,Poussee&lt;Poids*SIN(M277)),0,(-W277+Poussee)/m*COS(M277)-U277/m*SIN(M277))</f>
        <v>-0.16042044502846</v>
      </c>
      <c r="E278" s="420" t="n">
        <f aca="false">IF(AND(L277&lt;L_rampe,Poussee&lt;Poids*SIN(M277)),0,(-W277+Poussee)/m*SIN(M277)+U277/m*COS(M277)-Poids/m)</f>
        <v>-9.66498659543982</v>
      </c>
      <c r="F278" s="418" t="n">
        <f aca="false">SQRT(acc_x^2+acc_z^2)</f>
        <v>9.6663178413093</v>
      </c>
      <c r="G278" s="419" t="n">
        <f aca="false">G277+acc_x*pas</f>
        <v>12.9728131693015</v>
      </c>
      <c r="H278" s="420" t="n">
        <f aca="false">H277+acc_z*pas</f>
        <v>-12.7078830919266</v>
      </c>
      <c r="I278" s="418" t="n">
        <f aca="false">SQRT(vit_x^2+vit_z^2)</f>
        <v>18.1599607434509</v>
      </c>
      <c r="J278" s="419" t="n">
        <f aca="false">J277+0.5*(vit_x+G277)*pas*(K277&gt;=0)</f>
        <v>127.592782704301</v>
      </c>
      <c r="K278" s="420" t="n">
        <f aca="false">K277+0.5*(vit_z+H277)*pas</f>
        <v>307.517334912389</v>
      </c>
      <c r="L278" s="418" t="n">
        <f aca="false">SQRT(pos_x^2+pos_z^2)</f>
        <v>332.936674864523</v>
      </c>
      <c r="M278" s="419" t="n">
        <f aca="false">IF(AND(L277&gt;L_rampe,G278&gt;0),ATAN2(G278,H278),$M$4)</f>
        <v>-0.77508221725754</v>
      </c>
      <c r="N278" s="418" t="n">
        <f aca="false">DEGREES(Beta)</f>
        <v>-44.408939824499</v>
      </c>
      <c r="O278" s="402"/>
      <c r="P278" s="421" t="n">
        <f aca="false">MATCH(t-pas/2-T_ini,CdP_t)</f>
        <v>23</v>
      </c>
      <c r="Q278" s="418" t="n">
        <f aca="false">(INDEX(CdP,2,i_P+1)-INDEX(CdP,2,i_P+0))/(INDEX(CdP,1,i_P+1)-INDEX(CdP,1,i_P+0))*(t-pas/2-T_ini-INDEX(CdP,1,i_P+0))+INDEX(CdP,2,i_P+0)</f>
        <v>0</v>
      </c>
      <c r="R278" s="419" t="n">
        <f aca="false">Poussee/(g*ISP)</f>
        <v>0</v>
      </c>
      <c r="S278" s="420" t="n">
        <f aca="false">S277-Débit*pas</f>
        <v>1.4843</v>
      </c>
      <c r="T278" s="418" t="n">
        <f aca="false">m*g</f>
        <v>14.560983</v>
      </c>
      <c r="U278" s="422" t="n">
        <f aca="false">IF(pos_xz&lt;L_rampe,Poids*COS(Beta),0)</f>
        <v>0</v>
      </c>
      <c r="V278" s="419" t="n">
        <f aca="false">Rho_moyen*(20000-Alt_rampe-pos_z)/(20000+Alt_rampe+pos_z)</f>
        <v>1.18789957762389</v>
      </c>
      <c r="W278" s="418" t="n">
        <f aca="false">1/2*Rho*Sref*Cx*vit_xz^2</f>
        <v>0.345325209689893</v>
      </c>
      <c r="X278" s="402"/>
      <c r="Y278" s="423" t="str">
        <f aca="false">IF(AND(pos_z&lt;=0,K277&gt;0),"Impact balistique","") &amp; IF(AND(H279&lt;0,vit_z&gt;=0),"Apogée","") &amp; IF(AND(Poussee=0,Q277&gt;0),"Fin de propulsion","") &amp; IF(AND(L279&gt;L_rampe,pos_xz&lt;=L_rampe),"Sortie de rampe","")</f>
        <v/>
      </c>
      <c r="Z278" s="424" t="str">
        <f aca="false">IF(ABS(t-T_para)&lt;pas/2,"Para","")</f>
        <v/>
      </c>
      <c r="AA278" s="425" t="str">
        <f aca="false">IF(ABS(t-T_satellite)&lt;pas/2,"Satellite","")</f>
        <v/>
      </c>
      <c r="AB278" s="413"/>
      <c r="AC278" s="421" t="e">
        <f aca="false">IF(ABS(t-ROUND(t,0))&lt;0.001,t,NA())</f>
        <v>#N/A</v>
      </c>
      <c r="AD278" s="426" t="e">
        <f aca="false">IF(ABS(t-ROUND(t,0))&lt;0.001,pos_x,NA())</f>
        <v>#N/A</v>
      </c>
      <c r="AE278" s="427" t="n">
        <f aca="false">IF(t&lt;T_para, pos_z, NA())</f>
        <v>307.517334912389</v>
      </c>
      <c r="AF278" s="413"/>
      <c r="AG278" s="419" t="n">
        <f aca="false">IF(AND(L277&lt;L_rampe,Poussee&lt;Poids*SIN(M277)),0,(-W277+Poussee)/m-Poids*SIN(M277)/m)</f>
        <v>6.36219466925941</v>
      </c>
      <c r="AH278" s="418" t="n">
        <f aca="false">IF(AND(L277&lt;L_rampe,Poussee&lt;Poids*SIN(M277)), g*SIN(M277), (-W277+Poussee)/m)</f>
        <v>-0.216248946090529</v>
      </c>
    </row>
    <row r="279" customFormat="false" ht="12" hidden="false" customHeight="false" outlineLevel="0" collapsed="false">
      <c r="A279" s="417" t="n">
        <f aca="false">IF(B278+0.01&lt;=T_ini+ROUNDUP(Temps_fin_propu,0), 0.01, IF(K278&gt;0, 0.1, 0.0001))</f>
        <v>0.1</v>
      </c>
      <c r="B279" s="418" t="n">
        <f aca="false">B278+pas</f>
        <v>9.49999999999998</v>
      </c>
      <c r="C279" s="402"/>
      <c r="D279" s="419" t="n">
        <f aca="false">IF(AND(L278&lt;L_rampe,Poussee&lt;Poids*SIN(M278)),0,(-W278+Poussee)/m*COS(M278)-U278/m*SIN(M278))</f>
        <v>-0.166198023603946</v>
      </c>
      <c r="E279" s="420" t="n">
        <f aca="false">IF(AND(L278&lt;L_rampe,Poussee&lt;Poids*SIN(M278)),0,(-W278+Poussee)/m*SIN(M278)+U278/m*COS(M278)-Poids/m)</f>
        <v>-9.64719606329751</v>
      </c>
      <c r="F279" s="418" t="n">
        <f aca="false">SQRT(acc_x^2+acc_z^2)</f>
        <v>9.64862755353075</v>
      </c>
      <c r="G279" s="419" t="n">
        <f aca="false">G278+acc_x*pas</f>
        <v>12.9561933669411</v>
      </c>
      <c r="H279" s="420" t="n">
        <f aca="false">H278+acc_z*pas</f>
        <v>-13.6726026982563</v>
      </c>
      <c r="I279" s="418" t="n">
        <f aca="false">SQRT(vit_x^2+vit_z^2)</f>
        <v>18.8362154135574</v>
      </c>
      <c r="J279" s="419" t="n">
        <f aca="false">J278+0.5*(vit_x+G278)*pas*(K278&gt;=0)</f>
        <v>128.889233031113</v>
      </c>
      <c r="K279" s="420" t="n">
        <f aca="false">K278+0.5*(vit_z+H278)*pas</f>
        <v>306.198310622879</v>
      </c>
      <c r="L279" s="418" t="n">
        <f aca="false">SQRT(pos_x^2+pos_z^2)</f>
        <v>332.219565678564</v>
      </c>
      <c r="M279" s="419" t="n">
        <f aca="false">IF(AND(L278&gt;L_rampe,G279&gt;0),ATAN2(G279,H279),$M$4)</f>
        <v>-0.812295232215975</v>
      </c>
      <c r="N279" s="418" t="n">
        <f aca="false">DEGREES(Beta)</f>
        <v>-46.5410885245745</v>
      </c>
      <c r="O279" s="402"/>
      <c r="P279" s="421" t="n">
        <f aca="false">MATCH(t-pas/2-T_ini,CdP_t)</f>
        <v>23</v>
      </c>
      <c r="Q279" s="418" t="n">
        <f aca="false">(INDEX(CdP,2,i_P+1)-INDEX(CdP,2,i_P+0))/(INDEX(CdP,1,i_P+1)-INDEX(CdP,1,i_P+0))*(t-pas/2-T_ini-INDEX(CdP,1,i_P+0))+INDEX(CdP,2,i_P+0)</f>
        <v>0</v>
      </c>
      <c r="R279" s="419" t="n">
        <f aca="false">Poussee/(g*ISP)</f>
        <v>0</v>
      </c>
      <c r="S279" s="420" t="n">
        <f aca="false">S278-Débit*pas</f>
        <v>1.4843</v>
      </c>
      <c r="T279" s="418" t="n">
        <f aca="false">m*g</f>
        <v>14.560983</v>
      </c>
      <c r="U279" s="422" t="n">
        <f aca="false">IF(pos_xz&lt;L_rampe,Poids*COS(Beta),0)</f>
        <v>0</v>
      </c>
      <c r="V279" s="419" t="n">
        <f aca="false">Rho_moyen*(20000-Alt_rampe-pos_z)/(20000+Alt_rampe+pos_z)</f>
        <v>1.18805631169604</v>
      </c>
      <c r="W279" s="418" t="n">
        <f aca="false">1/2*Rho*Sref*Cx*vit_xz^2</f>
        <v>0.371572075529904</v>
      </c>
      <c r="X279" s="402"/>
      <c r="Y279" s="423" t="str">
        <f aca="false">IF(AND(pos_z&lt;=0,K278&gt;0),"Impact balistique","") &amp; IF(AND(H280&lt;0,vit_z&gt;=0),"Apogée","") &amp; IF(AND(Poussee=0,Q278&gt;0),"Fin de propulsion","") &amp; IF(AND(L280&gt;L_rampe,pos_xz&lt;=L_rampe),"Sortie de rampe","")</f>
        <v/>
      </c>
      <c r="Z279" s="424" t="str">
        <f aca="false">IF(ABS(t-T_para)&lt;pas/2,"Para","")</f>
        <v/>
      </c>
      <c r="AA279" s="425" t="str">
        <f aca="false">IF(ABS(t-T_satellite)&lt;pas/2,"Satellite","")</f>
        <v/>
      </c>
      <c r="AB279" s="413"/>
      <c r="AC279" s="421" t="e">
        <f aca="false">IF(ABS(t-ROUND(t,0))&lt;0.001,t,NA())</f>
        <v>#N/A</v>
      </c>
      <c r="AD279" s="426" t="e">
        <f aca="false">IF(ABS(t-ROUND(t,0))&lt;0.001,pos_x,NA())</f>
        <v>#N/A</v>
      </c>
      <c r="AE279" s="427" t="n">
        <f aca="false">IF(t&lt;T_para, pos_z, NA())</f>
        <v>306.198310622879</v>
      </c>
      <c r="AF279" s="413"/>
      <c r="AG279" s="419" t="n">
        <f aca="false">IF(AND(L278&lt;L_rampe,Poussee&lt;Poids*SIN(M278)),0,(-W278+Poussee)/m-Poids*SIN(M278)/m)</f>
        <v>6.63213899685288</v>
      </c>
      <c r="AH279" s="418" t="n">
        <f aca="false">IF(AND(L278&lt;L_rampe,Poussee&lt;Poids*SIN(M278)), g*SIN(M278), (-W278+Poussee)/m)</f>
        <v>-0.232651896307952</v>
      </c>
    </row>
    <row r="280" customFormat="false" ht="12" hidden="false" customHeight="false" outlineLevel="0" collapsed="false">
      <c r="A280" s="417" t="n">
        <f aca="false">IF(B279+0.01&lt;=T_ini+ROUNDUP(Temps_fin_propu,0), 0.01, IF(K279&gt;0, 0.1, 0.0001))</f>
        <v>0.1</v>
      </c>
      <c r="B280" s="418" t="n">
        <f aca="false">B279+pas</f>
        <v>9.59999999999998</v>
      </c>
      <c r="C280" s="402"/>
      <c r="D280" s="419" t="n">
        <f aca="false">IF(AND(L279&lt;L_rampe,Poussee&lt;Poids*SIN(M279)),0,(-W279+Poussee)/m*COS(M279)-U279/m*SIN(M279))</f>
        <v>-0.1721889007589</v>
      </c>
      <c r="E280" s="420" t="n">
        <f aca="false">IF(AND(L279&lt;L_rampe,Poussee&lt;Poids*SIN(M279)),0,(-W279+Poussee)/m*SIN(M279)+U279/m*COS(M279)-Poids/m)</f>
        <v>-9.62828995890621</v>
      </c>
      <c r="F280" s="418" t="n">
        <f aca="false">SQRT(acc_x^2+acc_z^2)</f>
        <v>9.62982951823753</v>
      </c>
      <c r="G280" s="419" t="n">
        <f aca="false">G279+acc_x*pas</f>
        <v>12.9389744768652</v>
      </c>
      <c r="H280" s="420" t="n">
        <f aca="false">H279+acc_z*pas</f>
        <v>-14.635431694147</v>
      </c>
      <c r="I280" s="418" t="n">
        <f aca="false">SQRT(vit_x^2+vit_z^2)</f>
        <v>19.5349154435593</v>
      </c>
      <c r="J280" s="419" t="n">
        <f aca="false">J279+0.5*(vit_x+G279)*pas*(K279&gt;=0)</f>
        <v>130.183991423304</v>
      </c>
      <c r="K280" s="420" t="n">
        <f aca="false">K279+0.5*(vit_z+H279)*pas</f>
        <v>304.782908903259</v>
      </c>
      <c r="L280" s="418" t="n">
        <f aca="false">SQRT(pos_x^2+pos_z^2)</f>
        <v>331.421926224617</v>
      </c>
      <c r="M280" s="419" t="n">
        <f aca="false">IF(AND(L279&gt;L_rampe,G280&gt;0),ATAN2(G280,H280),$M$4)</f>
        <v>-0.846843608627147</v>
      </c>
      <c r="N280" s="418" t="n">
        <f aca="false">DEGREES(Beta)</f>
        <v>-48.520564681964</v>
      </c>
      <c r="O280" s="402"/>
      <c r="P280" s="421" t="n">
        <f aca="false">MATCH(t-pas/2-T_ini,CdP_t)</f>
        <v>23</v>
      </c>
      <c r="Q280" s="418" t="n">
        <f aca="false">(INDEX(CdP,2,i_P+1)-INDEX(CdP,2,i_P+0))/(INDEX(CdP,1,i_P+1)-INDEX(CdP,1,i_P+0))*(t-pas/2-T_ini-INDEX(CdP,1,i_P+0))+INDEX(CdP,2,i_P+0)</f>
        <v>0</v>
      </c>
      <c r="R280" s="419" t="n">
        <f aca="false">Poussee/(g*ISP)</f>
        <v>0</v>
      </c>
      <c r="S280" s="420" t="n">
        <f aca="false">S279-Débit*pas</f>
        <v>1.4843</v>
      </c>
      <c r="T280" s="418" t="n">
        <f aca="false">m*g</f>
        <v>14.560983</v>
      </c>
      <c r="U280" s="422" t="n">
        <f aca="false">IF(pos_xz&lt;L_rampe,Poids*COS(Beta),0)</f>
        <v>0</v>
      </c>
      <c r="V280" s="419" t="n">
        <f aca="false">Rho_moyen*(20000-Alt_rampe-pos_z)/(20000+Alt_rampe+pos_z)</f>
        <v>1.18822452053966</v>
      </c>
      <c r="W280" s="418" t="n">
        <f aca="false">1/2*Rho*Sref*Cx*vit_xz^2</f>
        <v>0.399705686943075</v>
      </c>
      <c r="X280" s="402"/>
      <c r="Y280" s="423" t="str">
        <f aca="false">IF(AND(pos_z&lt;=0,K279&gt;0),"Impact balistique","") &amp; IF(AND(H281&lt;0,vit_z&gt;=0),"Apogée","") &amp; IF(AND(Poussee=0,Q279&gt;0),"Fin de propulsion","") &amp; IF(AND(L281&gt;L_rampe,pos_xz&lt;=L_rampe),"Sortie de rampe","")</f>
        <v/>
      </c>
      <c r="Z280" s="424" t="str">
        <f aca="false">IF(ABS(t-T_para)&lt;pas/2,"Para","")</f>
        <v/>
      </c>
      <c r="AA280" s="425" t="str">
        <f aca="false">IF(ABS(t-T_satellite)&lt;pas/2,"Satellite","")</f>
        <v/>
      </c>
      <c r="AB280" s="413"/>
      <c r="AC280" s="421" t="e">
        <f aca="false">IF(ABS(t-ROUND(t,0))&lt;0.001,t,NA())</f>
        <v>#N/A</v>
      </c>
      <c r="AD280" s="426" t="e">
        <f aca="false">IF(ABS(t-ROUND(t,0))&lt;0.001,pos_x,NA())</f>
        <v>#N/A</v>
      </c>
      <c r="AE280" s="427" t="n">
        <f aca="false">IF(t&lt;T_para, pos_z, NA())</f>
        <v>304.782908903259</v>
      </c>
      <c r="AF280" s="413"/>
      <c r="AG280" s="419" t="n">
        <f aca="false">IF(AND(L279&lt;L_rampe,Poussee&lt;Poids*SIN(M279)),0,(-W279+Poussee)/m-Poids*SIN(M279)/m)</f>
        <v>6.87042846646982</v>
      </c>
      <c r="AH280" s="418" t="n">
        <f aca="false">IF(AND(L279&lt;L_rampe,Poussee&lt;Poids*SIN(M279)), g*SIN(M279), (-W279+Poussee)/m)</f>
        <v>-0.250334888856636</v>
      </c>
    </row>
    <row r="281" customFormat="false" ht="12" hidden="false" customHeight="false" outlineLevel="0" collapsed="false">
      <c r="A281" s="417" t="n">
        <f aca="false">IF(B280+0.01&lt;=T_ini+ROUNDUP(Temps_fin_propu,0), 0.01, IF(K280&gt;0, 0.1, 0.0001))</f>
        <v>0.1</v>
      </c>
      <c r="B281" s="418" t="n">
        <f aca="false">B280+pas</f>
        <v>9.69999999999998</v>
      </c>
      <c r="C281" s="402"/>
      <c r="D281" s="419" t="n">
        <f aca="false">IF(AND(L280&lt;L_rampe,Poussee&lt;Poids*SIN(M280)),0,(-W280+Poussee)/m*COS(M280)-U280/m*SIN(M280))</f>
        <v>-0.178363900232885</v>
      </c>
      <c r="E281" s="420" t="n">
        <f aca="false">IF(AND(L280&lt;L_rampe,Poussee&lt;Poids*SIN(M280)),0,(-W280+Poussee)/m*SIN(M280)+U280/m*COS(M280)-Poids/m)</f>
        <v>-9.60825041905543</v>
      </c>
      <c r="F281" s="418" t="n">
        <f aca="false">SQRT(acc_x^2+acc_z^2)</f>
        <v>9.60990581619743</v>
      </c>
      <c r="G281" s="419" t="n">
        <f aca="false">G280+acc_x*pas</f>
        <v>12.9211380868419</v>
      </c>
      <c r="H281" s="420" t="n">
        <f aca="false">H280+acc_z*pas</f>
        <v>-15.5962567360525</v>
      </c>
      <c r="I281" s="418" t="n">
        <f aca="false">SQRT(vit_x^2+vit_z^2)</f>
        <v>20.2533709203209</v>
      </c>
      <c r="J281" s="419" t="n">
        <f aca="false">J280+0.5*(vit_x+G280)*pas*(K280&gt;=0)</f>
        <v>131.476997051489</v>
      </c>
      <c r="K281" s="420" t="n">
        <f aca="false">K280+0.5*(vit_z+H280)*pas</f>
        <v>303.271324481749</v>
      </c>
      <c r="L281" s="418" t="n">
        <f aca="false">SQRT(pos_x^2+pos_z^2)</f>
        <v>330.54454617584</v>
      </c>
      <c r="M281" s="419" t="n">
        <f aca="false">IF(AND(L280&gt;L_rampe,G281&gt;0),ATAN2(G281,H281),$M$4)</f>
        <v>-0.878931009422117</v>
      </c>
      <c r="N281" s="418" t="n">
        <f aca="false">DEGREES(Beta)</f>
        <v>-50.3590373230605</v>
      </c>
      <c r="O281" s="402"/>
      <c r="P281" s="421" t="n">
        <f aca="false">MATCH(t-pas/2-T_ini,CdP_t)</f>
        <v>23</v>
      </c>
      <c r="Q281" s="418" t="n">
        <f aca="false">(INDEX(CdP,2,i_P+1)-INDEX(CdP,2,i_P+0))/(INDEX(CdP,1,i_P+1)-INDEX(CdP,1,i_P+0))*(t-pas/2-T_ini-INDEX(CdP,1,i_P+0))+INDEX(CdP,2,i_P+0)</f>
        <v>0</v>
      </c>
      <c r="R281" s="419" t="n">
        <f aca="false">Poussee/(g*ISP)</f>
        <v>0</v>
      </c>
      <c r="S281" s="420" t="n">
        <f aca="false">S280-Débit*pas</f>
        <v>1.4843</v>
      </c>
      <c r="T281" s="418" t="n">
        <f aca="false">m*g</f>
        <v>14.560983</v>
      </c>
      <c r="U281" s="422" t="n">
        <f aca="false">IF(pos_xz&lt;L_rampe,Poids*COS(Beta),0)</f>
        <v>0</v>
      </c>
      <c r="V281" s="419" t="n">
        <f aca="false">Rho_moyen*(20000-Alt_rampe-pos_z)/(20000+Alt_rampe+pos_z)</f>
        <v>1.18840418580309</v>
      </c>
      <c r="W281" s="418" t="n">
        <f aca="false">1/2*Rho*Sref*Cx*vit_xz^2</f>
        <v>0.429712068708913</v>
      </c>
      <c r="X281" s="402"/>
      <c r="Y281" s="423" t="str">
        <f aca="false">IF(AND(pos_z&lt;=0,K280&gt;0),"Impact balistique","") &amp; IF(AND(H282&lt;0,vit_z&gt;=0),"Apogée","") &amp; IF(AND(Poussee=0,Q280&gt;0),"Fin de propulsion","") &amp; IF(AND(L282&gt;L_rampe,pos_xz&lt;=L_rampe),"Sortie de rampe","")</f>
        <v/>
      </c>
      <c r="Z281" s="424" t="str">
        <f aca="false">IF(ABS(t-T_para)&lt;pas/2,"Para","")</f>
        <v/>
      </c>
      <c r="AA281" s="425" t="str">
        <f aca="false">IF(ABS(t-T_satellite)&lt;pas/2,"Satellite","")</f>
        <v/>
      </c>
      <c r="AB281" s="413"/>
      <c r="AC281" s="421" t="e">
        <f aca="false">IF(ABS(t-ROUND(t,0))&lt;0.001,t,NA())</f>
        <v>#N/A</v>
      </c>
      <c r="AD281" s="426" t="e">
        <f aca="false">IF(ABS(t-ROUND(t,0))&lt;0.001,pos_x,NA())</f>
        <v>#N/A</v>
      </c>
      <c r="AE281" s="427" t="n">
        <f aca="false">IF(t&lt;T_para, pos_z, NA())</f>
        <v>303.271324481749</v>
      </c>
      <c r="AF281" s="413"/>
      <c r="AG281" s="419" t="n">
        <f aca="false">IF(AND(L280&lt;L_rampe,Poussee&lt;Poids*SIN(M280)),0,(-W280+Poussee)/m-Poids*SIN(M280)/m)</f>
        <v>7.08029922910362</v>
      </c>
      <c r="AH281" s="418" t="n">
        <f aca="false">IF(AND(L280&lt;L_rampe,Poussee&lt;Poids*SIN(M280)), g*SIN(M280), (-W280+Poussee)/m)</f>
        <v>-0.269289016333002</v>
      </c>
    </row>
    <row r="282" customFormat="false" ht="12" hidden="false" customHeight="false" outlineLevel="0" collapsed="false">
      <c r="A282" s="417" t="n">
        <f aca="false">IF(B281+0.01&lt;=T_ini+ROUNDUP(Temps_fin_propu,0), 0.01, IF(K281&gt;0, 0.1, 0.0001))</f>
        <v>0.1</v>
      </c>
      <c r="B282" s="418" t="n">
        <f aca="false">B281+pas</f>
        <v>9.79999999999998</v>
      </c>
      <c r="C282" s="402"/>
      <c r="D282" s="419" t="n">
        <f aca="false">IF(AND(L281&lt;L_rampe,Poussee&lt;Poids*SIN(M281)),0,(-W281+Poussee)/m*COS(M281)-U281/m*SIN(M281))</f>
        <v>-0.184696776216135</v>
      </c>
      <c r="E282" s="420" t="n">
        <f aca="false">IF(AND(L281&lt;L_rampe,Poussee&lt;Poids*SIN(M281)),0,(-W281+Poussee)/m*SIN(M281)+U281/m*COS(M281)-Poids/m)</f>
        <v>-9.58706465786311</v>
      </c>
      <c r="F282" s="418" t="n">
        <f aca="false">SQRT(acc_x^2+acc_z^2)</f>
        <v>9.58884360354222</v>
      </c>
      <c r="G282" s="419" t="n">
        <f aca="false">G281+acc_x*pas</f>
        <v>12.9026684092203</v>
      </c>
      <c r="H282" s="420" t="n">
        <f aca="false">H281+acc_z*pas</f>
        <v>-16.5549632018388</v>
      </c>
      <c r="I282" s="418" t="n">
        <f aca="false">SQRT(vit_x^2+vit_z^2)</f>
        <v>20.9891795621584</v>
      </c>
      <c r="J282" s="419" t="n">
        <f aca="false">J281+0.5*(vit_x+G281)*pas*(K281&gt;=0)</f>
        <v>132.768187376292</v>
      </c>
      <c r="K282" s="420" t="n">
        <f aca="false">K281+0.5*(vit_z+H281)*pas</f>
        <v>301.663763484855</v>
      </c>
      <c r="L282" s="418" t="n">
        <f aca="false">SQRT(pos_x^2+pos_z^2)</f>
        <v>329.588254916695</v>
      </c>
      <c r="M282" s="419" t="n">
        <f aca="false">IF(AND(L281&gt;L_rampe,G282&gt;0),ATAN2(G282,H282),$M$4)</f>
        <v>-0.908753325746387</v>
      </c>
      <c r="N282" s="418" t="n">
        <f aca="false">DEGREES(Beta)</f>
        <v>-52.0677301837453</v>
      </c>
      <c r="O282" s="402"/>
      <c r="P282" s="421" t="n">
        <f aca="false">MATCH(t-pas/2-T_ini,CdP_t)</f>
        <v>23</v>
      </c>
      <c r="Q282" s="418" t="n">
        <f aca="false">(INDEX(CdP,2,i_P+1)-INDEX(CdP,2,i_P+0))/(INDEX(CdP,1,i_P+1)-INDEX(CdP,1,i_P+0))*(t-pas/2-T_ini-INDEX(CdP,1,i_P+0))+INDEX(CdP,2,i_P+0)</f>
        <v>0</v>
      </c>
      <c r="R282" s="419" t="n">
        <f aca="false">Poussee/(g*ISP)</f>
        <v>0</v>
      </c>
      <c r="S282" s="420" t="n">
        <f aca="false">S281-Débit*pas</f>
        <v>1.4843</v>
      </c>
      <c r="T282" s="418" t="n">
        <f aca="false">m*g</f>
        <v>14.560983</v>
      </c>
      <c r="U282" s="422" t="n">
        <f aca="false">IF(pos_xz&lt;L_rampe,Poids*COS(Beta),0)</f>
        <v>0</v>
      </c>
      <c r="V282" s="419" t="n">
        <f aca="false">Rho_moyen*(20000-Alt_rampe-pos_z)/(20000+Alt_rampe+pos_z)</f>
        <v>1.18859528809322</v>
      </c>
      <c r="W282" s="418" t="n">
        <f aca="false">1/2*Rho*Sref*Cx*vit_xz^2</f>
        <v>0.461576485126935</v>
      </c>
      <c r="X282" s="402"/>
      <c r="Y282" s="423" t="str">
        <f aca="false">IF(AND(pos_z&lt;=0,K281&gt;0),"Impact balistique","") &amp; IF(AND(H283&lt;0,vit_z&gt;=0),"Apogée","") &amp; IF(AND(Poussee=0,Q281&gt;0),"Fin de propulsion","") &amp; IF(AND(L283&gt;L_rampe,pos_xz&lt;=L_rampe),"Sortie de rampe","")</f>
        <v/>
      </c>
      <c r="Z282" s="424" t="str">
        <f aca="false">IF(ABS(t-T_para)&lt;pas/2,"Para","")</f>
        <v/>
      </c>
      <c r="AA282" s="425" t="str">
        <f aca="false">IF(ABS(t-T_satellite)&lt;pas/2,"Satellite","")</f>
        <v/>
      </c>
      <c r="AB282" s="413"/>
      <c r="AC282" s="421" t="e">
        <f aca="false">IF(ABS(t-ROUND(t,0))&lt;0.001,t,NA())</f>
        <v>#N/A</v>
      </c>
      <c r="AD282" s="426" t="e">
        <f aca="false">IF(ABS(t-ROUND(t,0))&lt;0.001,pos_x,NA())</f>
        <v>#N/A</v>
      </c>
      <c r="AE282" s="427" t="n">
        <f aca="false">IF(t&lt;T_para, pos_z, NA())</f>
        <v>301.663763484855</v>
      </c>
      <c r="AF282" s="413"/>
      <c r="AG282" s="419" t="n">
        <f aca="false">IF(AND(L281&lt;L_rampe,Poussee&lt;Poids*SIN(M281)),0,(-W281+Poussee)/m-Poids*SIN(M281)/m)</f>
        <v>7.26475754472352</v>
      </c>
      <c r="AH282" s="418" t="n">
        <f aca="false">IF(AND(L281&lt;L_rampe,Poussee&lt;Poids*SIN(M281)), g*SIN(M281), (-W281+Poussee)/m)</f>
        <v>-0.289504863375944</v>
      </c>
    </row>
    <row r="283" customFormat="false" ht="12" hidden="false" customHeight="false" outlineLevel="0" collapsed="false">
      <c r="A283" s="417" t="n">
        <f aca="false">IF(B282+0.01&lt;=T_ini+ROUNDUP(Temps_fin_propu,0), 0.01, IF(K282&gt;0, 0.1, 0.0001))</f>
        <v>0.1</v>
      </c>
      <c r="B283" s="418" t="n">
        <f aca="false">B282+pas</f>
        <v>9.89999999999998</v>
      </c>
      <c r="C283" s="402"/>
      <c r="D283" s="419" t="n">
        <f aca="false">IF(AND(L282&lt;L_rampe,Poussee&lt;Poids*SIN(M282)),0,(-W282+Poussee)/m*COS(M282)-U282/m*SIN(M282))</f>
        <v>-0.191163979009218</v>
      </c>
      <c r="E283" s="420" t="n">
        <f aca="false">IF(AND(L282&lt;L_rampe,Poussee&lt;Poids*SIN(M282)),0,(-W282+Poussee)/m*SIN(M282)+U282/m*COS(M282)-Poids/m)</f>
        <v>-9.56472417505877</v>
      </c>
      <c r="F283" s="418" t="n">
        <f aca="false">SQRT(acc_x^2+acc_z^2)</f>
        <v>9.56663431995936</v>
      </c>
      <c r="G283" s="419" t="n">
        <f aca="false">G282+acc_x*pas</f>
        <v>12.8835520113194</v>
      </c>
      <c r="H283" s="420" t="n">
        <f aca="false">H282+acc_z*pas</f>
        <v>-17.5114356193447</v>
      </c>
      <c r="I283" s="418" t="n">
        <f aca="false">SQRT(vit_x^2+vit_z^2)</f>
        <v>21.7401998583</v>
      </c>
      <c r="J283" s="419" t="n">
        <f aca="false">J282+0.5*(vit_x+G282)*pas*(K282&gt;=0)</f>
        <v>134.057498397319</v>
      </c>
      <c r="K283" s="420" t="n">
        <f aca="false">K282+0.5*(vit_z+H282)*pas</f>
        <v>299.960443543796</v>
      </c>
      <c r="L283" s="418" t="n">
        <f aca="false">SQRT(pos_x^2+pos_z^2)</f>
        <v>328.553923378702</v>
      </c>
      <c r="M283" s="419" t="n">
        <f aca="false">IF(AND(L282&gt;L_rampe,G283&gt;0),ATAN2(G283,H283),$M$4)</f>
        <v>-0.93649580428208</v>
      </c>
      <c r="N283" s="418" t="n">
        <f aca="false">DEGREES(Beta)</f>
        <v>-53.6572571170728</v>
      </c>
      <c r="O283" s="402"/>
      <c r="P283" s="421" t="n">
        <f aca="false">MATCH(t-pas/2-T_ini,CdP_t)</f>
        <v>23</v>
      </c>
      <c r="Q283" s="418" t="n">
        <f aca="false">(INDEX(CdP,2,i_P+1)-INDEX(CdP,2,i_P+0))/(INDEX(CdP,1,i_P+1)-INDEX(CdP,1,i_P+0))*(t-pas/2-T_ini-INDEX(CdP,1,i_P+0))+INDEX(CdP,2,i_P+0)</f>
        <v>0</v>
      </c>
      <c r="R283" s="419" t="n">
        <f aca="false">Poussee/(g*ISP)</f>
        <v>0</v>
      </c>
      <c r="S283" s="420" t="n">
        <f aca="false">S282-Débit*pas</f>
        <v>1.4843</v>
      </c>
      <c r="T283" s="418" t="n">
        <f aca="false">m*g</f>
        <v>14.560983</v>
      </c>
      <c r="U283" s="422" t="n">
        <f aca="false">IF(pos_xz&lt;L_rampe,Poids*COS(Beta),0)</f>
        <v>0</v>
      </c>
      <c r="V283" s="419" t="n">
        <f aca="false">Rho_moyen*(20000-Alt_rampe-pos_z)/(20000+Alt_rampe+pos_z)</f>
        <v>1.18879780695996</v>
      </c>
      <c r="W283" s="418" t="n">
        <f aca="false">1/2*Rho*Sref*Cx*vit_xz^2</f>
        <v>0.495283437590415</v>
      </c>
      <c r="X283" s="402"/>
      <c r="Y283" s="423" t="str">
        <f aca="false">IF(AND(pos_z&lt;=0,K282&gt;0),"Impact balistique","") &amp; IF(AND(H284&lt;0,vit_z&gt;=0),"Apogée","") &amp; IF(AND(Poussee=0,Q282&gt;0),"Fin de propulsion","") &amp; IF(AND(L284&gt;L_rampe,pos_xz&lt;=L_rampe),"Sortie de rampe","")</f>
        <v/>
      </c>
      <c r="Z283" s="424" t="str">
        <f aca="false">IF(ABS(t-T_para)&lt;pas/2,"Para","")</f>
        <v/>
      </c>
      <c r="AA283" s="425" t="str">
        <f aca="false">IF(ABS(t-T_satellite)&lt;pas/2,"Satellite","")</f>
        <v/>
      </c>
      <c r="AB283" s="413"/>
      <c r="AC283" s="421" t="e">
        <f aca="false">IF(ABS(t-ROUND(t,0))&lt;0.001,t,NA())</f>
        <v>#N/A</v>
      </c>
      <c r="AD283" s="426" t="e">
        <f aca="false">IF(ABS(t-ROUND(t,0))&lt;0.001,pos_x,NA())</f>
        <v>#N/A</v>
      </c>
      <c r="AE283" s="427" t="n">
        <f aca="false">IF(t&lt;T_para, pos_z, NA())</f>
        <v>299.960443543796</v>
      </c>
      <c r="AF283" s="413"/>
      <c r="AG283" s="419" t="n">
        <f aca="false">IF(AND(L282&lt;L_rampe,Poussee&lt;Poids*SIN(M282)),0,(-W282+Poussee)/m-Poids*SIN(M282)/m)</f>
        <v>7.42654713393014</v>
      </c>
      <c r="AH283" s="418" t="n">
        <f aca="false">IF(AND(L282&lt;L_rampe,Poussee&lt;Poids*SIN(M282)), g*SIN(M282), (-W282+Poussee)/m)</f>
        <v>-0.310972502275103</v>
      </c>
    </row>
    <row r="284" customFormat="false" ht="12" hidden="false" customHeight="false" outlineLevel="0" collapsed="false">
      <c r="A284" s="417" t="n">
        <f aca="false">IF(B283+0.01&lt;=T_ini+ROUNDUP(Temps_fin_propu,0), 0.01, IF(K283&gt;0, 0.1, 0.0001))</f>
        <v>0.1</v>
      </c>
      <c r="B284" s="418" t="n">
        <f aca="false">B283+pas</f>
        <v>9.99999999999998</v>
      </c>
      <c r="C284" s="402"/>
      <c r="D284" s="419" t="n">
        <f aca="false">IF(AND(L283&lt;L_rampe,Poussee&lt;Poids*SIN(M283)),0,(-W283+Poussee)/m*COS(M283)-U283/m*SIN(M283))</f>
        <v>-0.197744403311182</v>
      </c>
      <c r="E284" s="420" t="n">
        <f aca="false">IF(AND(L283&lt;L_rampe,Poussee&lt;Poids*SIN(M283)),0,(-W283+Poussee)/m*SIN(M283)+U283/m*COS(M283)-Poids/m)</f>
        <v>-9.54122409218924</v>
      </c>
      <c r="F284" s="418" t="n">
        <f aca="false">SQRT(acc_x^2+acc_z^2)</f>
        <v>9.54327302482819</v>
      </c>
      <c r="G284" s="419" t="n">
        <f aca="false">G283+acc_x*pas</f>
        <v>12.8637775709883</v>
      </c>
      <c r="H284" s="420" t="n">
        <f aca="false">H283+acc_z*pas</f>
        <v>-18.4655580285636</v>
      </c>
      <c r="I284" s="418" t="n">
        <f aca="false">SQRT(vit_x^2+vit_z^2)</f>
        <v>22.5045241385396</v>
      </c>
      <c r="J284" s="419" t="n">
        <f aca="false">J283+0.5*(vit_x+G283)*pas*(K283&gt;=0)</f>
        <v>135.344864876434</v>
      </c>
      <c r="K284" s="420" t="n">
        <f aca="false">K283+0.5*(vit_z+H283)*pas</f>
        <v>298.1615938614</v>
      </c>
      <c r="L284" s="418" t="n">
        <f aca="false">SQRT(pos_x^2+pos_z^2)</f>
        <v>327.442465942325</v>
      </c>
      <c r="M284" s="419" t="n">
        <f aca="false">IF(AND(L283&gt;L_rampe,G284&gt;0),ATAN2(G284,H284),$M$4)</f>
        <v>-0.962331464905453</v>
      </c>
      <c r="N284" s="418" t="n">
        <f aca="false">DEGREES(Beta)</f>
        <v>-55.1375314317243</v>
      </c>
      <c r="O284" s="402"/>
      <c r="P284" s="421" t="n">
        <f aca="false">MATCH(t-pas/2-T_ini,CdP_t)</f>
        <v>23</v>
      </c>
      <c r="Q284" s="418" t="n">
        <f aca="false">(INDEX(CdP,2,i_P+1)-INDEX(CdP,2,i_P+0))/(INDEX(CdP,1,i_P+1)-INDEX(CdP,1,i_P+0))*(t-pas/2-T_ini-INDEX(CdP,1,i_P+0))+INDEX(CdP,2,i_P+0)</f>
        <v>0</v>
      </c>
      <c r="R284" s="419" t="n">
        <f aca="false">Poussee/(g*ISP)</f>
        <v>0</v>
      </c>
      <c r="S284" s="420" t="n">
        <f aca="false">S283-Débit*pas</f>
        <v>1.4843</v>
      </c>
      <c r="T284" s="418" t="n">
        <f aca="false">m*g</f>
        <v>14.560983</v>
      </c>
      <c r="U284" s="422" t="n">
        <f aca="false">IF(pos_xz&lt;L_rampe,Poids*COS(Beta),0)</f>
        <v>0</v>
      </c>
      <c r="V284" s="419" t="n">
        <f aca="false">Rho_moyen*(20000-Alt_rampe-pos_z)/(20000+Alt_rampe+pos_z)</f>
        <v>1.18901172088504</v>
      </c>
      <c r="W284" s="418" t="n">
        <f aca="false">1/2*Rho*Sref*Cx*vit_xz^2</f>
        <v>0.530816665652531</v>
      </c>
      <c r="X284" s="402"/>
      <c r="Y284" s="423" t="str">
        <f aca="false">IF(AND(pos_z&lt;=0,K283&gt;0),"Impact balistique","") &amp; IF(AND(H285&lt;0,vit_z&gt;=0),"Apogée","") &amp; IF(AND(Poussee=0,Q283&gt;0),"Fin de propulsion","") &amp; IF(AND(L285&gt;L_rampe,pos_xz&lt;=L_rampe),"Sortie de rampe","")</f>
        <v/>
      </c>
      <c r="Z284" s="424" t="str">
        <f aca="false">IF(ABS(t-T_para)&lt;pas/2,"Para","")</f>
        <v/>
      </c>
      <c r="AA284" s="425" t="str">
        <f aca="false">IF(ABS(t-T_satellite)&lt;pas/2,"Satellite","")</f>
        <v/>
      </c>
      <c r="AB284" s="413"/>
      <c r="AC284" s="421" t="n">
        <f aca="false">IF(ABS(t-ROUND(t,0))&lt;0.001,t,NA())</f>
        <v>9.99999999999998</v>
      </c>
      <c r="AD284" s="426" t="n">
        <f aca="false">IF(ABS(t-ROUND(t,0))&lt;0.001,pos_x,NA())</f>
        <v>135.344864876434</v>
      </c>
      <c r="AE284" s="427" t="n">
        <f aca="false">IF(t&lt;T_para, pos_z, NA())</f>
        <v>298.1615938614</v>
      </c>
      <c r="AF284" s="413"/>
      <c r="AG284" s="419" t="n">
        <f aca="false">IF(AND(L283&lt;L_rampe,Poussee&lt;Poids*SIN(M283)),0,(-W283+Poussee)/m-Poids*SIN(M283)/m)</f>
        <v>7.56814022812629</v>
      </c>
      <c r="AH284" s="418" t="n">
        <f aca="false">IF(AND(L283&lt;L_rampe,Poussee&lt;Poids*SIN(M283)), g*SIN(M283), (-W283+Poussee)/m)</f>
        <v>-0.333681491336263</v>
      </c>
    </row>
    <row r="285" customFormat="false" ht="12" hidden="false" customHeight="false" outlineLevel="0" collapsed="false">
      <c r="A285" s="417" t="n">
        <f aca="false">IF(B284+0.01&lt;=T_ini+ROUNDUP(Temps_fin_propu,0), 0.01, IF(K284&gt;0, 0.1, 0.0001))</f>
        <v>0.1</v>
      </c>
      <c r="B285" s="418" t="n">
        <f aca="false">B284+pas</f>
        <v>10.1</v>
      </c>
      <c r="C285" s="402"/>
      <c r="D285" s="419" t="n">
        <f aca="false">IF(AND(L284&lt;L_rampe,Poussee&lt;Poids*SIN(M284)),0,(-W284+Poussee)/m*COS(M284)-U284/m*SIN(M284))</f>
        <v>-0.204419136798254</v>
      </c>
      <c r="E285" s="420" t="n">
        <f aca="false">IF(AND(L284&lt;L_rampe,Poussee&lt;Poids*SIN(M284)),0,(-W284+Poussee)/m*SIN(M284)+U284/m*COS(M284)-Poids/m)</f>
        <v>-9.51656260092602</v>
      </c>
      <c r="F285" s="418" t="n">
        <f aca="false">SQRT(acc_x^2+acc_z^2)</f>
        <v>9.51875784547717</v>
      </c>
      <c r="G285" s="419" t="n">
        <f aca="false">G284+acc_x*pas</f>
        <v>12.8433356573085</v>
      </c>
      <c r="H285" s="420" t="n">
        <f aca="false">H284+acc_z*pas</f>
        <v>-19.4172142886562</v>
      </c>
      <c r="I285" s="418" t="n">
        <f aca="false">SQRT(vit_x^2+vit_z^2)</f>
        <v>23.280452777768</v>
      </c>
      <c r="J285" s="419" t="n">
        <f aca="false">J284+0.5*(vit_x+G284)*pas*(K284&gt;=0)</f>
        <v>136.630220537849</v>
      </c>
      <c r="K285" s="420" t="n">
        <f aca="false">K284+0.5*(vit_z+H284)*pas</f>
        <v>296.267455245539</v>
      </c>
      <c r="L285" s="418" t="n">
        <f aca="false">SQRT(pos_x^2+pos_z^2)</f>
        <v>326.254842419065</v>
      </c>
      <c r="M285" s="419" t="n">
        <f aca="false">IF(AND(L284&gt;L_rampe,G285&gt;0),ATAN2(G285,H285),$M$4)</f>
        <v>-0.986420437384564</v>
      </c>
      <c r="N285" s="418" t="n">
        <f aca="false">DEGREES(Beta)</f>
        <v>-56.5177278875842</v>
      </c>
      <c r="O285" s="402"/>
      <c r="P285" s="421" t="n">
        <f aca="false">MATCH(t-pas/2-T_ini,CdP_t)</f>
        <v>23</v>
      </c>
      <c r="Q285" s="418" t="n">
        <f aca="false">(INDEX(CdP,2,i_P+1)-INDEX(CdP,2,i_P+0))/(INDEX(CdP,1,i_P+1)-INDEX(CdP,1,i_P+0))*(t-pas/2-T_ini-INDEX(CdP,1,i_P+0))+INDEX(CdP,2,i_P+0)</f>
        <v>0</v>
      </c>
      <c r="R285" s="419" t="n">
        <f aca="false">Poussee/(g*ISP)</f>
        <v>0</v>
      </c>
      <c r="S285" s="420" t="n">
        <f aca="false">S284-Débit*pas</f>
        <v>1.4843</v>
      </c>
      <c r="T285" s="418" t="n">
        <f aca="false">m*g</f>
        <v>14.560983</v>
      </c>
      <c r="U285" s="422" t="n">
        <f aca="false">IF(pos_xz&lt;L_rampe,Poids*COS(Beta),0)</f>
        <v>0</v>
      </c>
      <c r="V285" s="419" t="n">
        <f aca="false">Rho_moyen*(20000-Alt_rampe-pos_z)/(20000+Alt_rampe+pos_z)</f>
        <v>1.18923700727476</v>
      </c>
      <c r="W285" s="418" t="n">
        <f aca="false">1/2*Rho*Sref*Cx*vit_xz^2</f>
        <v>0.568159151081608</v>
      </c>
      <c r="X285" s="402"/>
      <c r="Y285" s="423" t="str">
        <f aca="false">IF(AND(pos_z&lt;=0,K284&gt;0),"Impact balistique","") &amp; IF(AND(H286&lt;0,vit_z&gt;=0),"Apogée","") &amp; IF(AND(Poussee=0,Q284&gt;0),"Fin de propulsion","") &amp; IF(AND(L286&gt;L_rampe,pos_xz&lt;=L_rampe),"Sortie de rampe","")</f>
        <v/>
      </c>
      <c r="Z285" s="424" t="str">
        <f aca="false">IF(ABS(t-T_para)&lt;pas/2,"Para","")</f>
        <v/>
      </c>
      <c r="AA285" s="425" t="str">
        <f aca="false">IF(ABS(t-T_satellite)&lt;pas/2,"Satellite","")</f>
        <v/>
      </c>
      <c r="AB285" s="413"/>
      <c r="AC285" s="421" t="e">
        <f aca="false">IF(ABS(t-ROUND(t,0))&lt;0.001,t,NA())</f>
        <v>#N/A</v>
      </c>
      <c r="AD285" s="426" t="e">
        <f aca="false">IF(ABS(t-ROUND(t,0))&lt;0.001,pos_x,NA())</f>
        <v>#N/A</v>
      </c>
      <c r="AE285" s="427" t="n">
        <f aca="false">IF(t&lt;T_para, pos_z, NA())</f>
        <v>296.267455245539</v>
      </c>
      <c r="AF285" s="413"/>
      <c r="AG285" s="419" t="n">
        <f aca="false">IF(AND(L284&lt;L_rampe,Poussee&lt;Poids*SIN(M284)),0,(-W284+Poussee)/m-Poids*SIN(M284)/m)</f>
        <v>7.69174391634413</v>
      </c>
      <c r="AH285" s="418" t="n">
        <f aca="false">IF(AND(L284&lt;L_rampe,Poussee&lt;Poids*SIN(M284)), g*SIN(M284), (-W284+Poussee)/m)</f>
        <v>-0.357620875599631</v>
      </c>
    </row>
    <row r="286" customFormat="false" ht="12" hidden="false" customHeight="false" outlineLevel="0" collapsed="false">
      <c r="A286" s="417" t="n">
        <f aca="false">IF(B285+0.01&lt;=T_ini+ROUNDUP(Temps_fin_propu,0), 0.01, IF(K285&gt;0, 0.1, 0.0001))</f>
        <v>0.1</v>
      </c>
      <c r="B286" s="418" t="n">
        <f aca="false">B285+pas</f>
        <v>10.2</v>
      </c>
      <c r="C286" s="402"/>
      <c r="D286" s="419" t="n">
        <f aca="false">IF(AND(L285&lt;L_rampe,Poussee&lt;Poids*SIN(M285)),0,(-W285+Poussee)/m*COS(M285)-U285/m*SIN(M285))</f>
        <v>-0.211171219960099</v>
      </c>
      <c r="E286" s="420" t="n">
        <f aca="false">IF(AND(L285&lt;L_rampe,Poussee&lt;Poids*SIN(M285)),0,(-W285+Poussee)/m*SIN(M285)+U285/m*COS(M285)-Poids/m)</f>
        <v>-9.49074050706376</v>
      </c>
      <c r="F286" s="418" t="n">
        <f aca="false">SQRT(acc_x^2+acc_z^2)</f>
        <v>9.4930895211496</v>
      </c>
      <c r="G286" s="419" t="n">
        <f aca="false">G285+acc_x*pas</f>
        <v>12.8222185353125</v>
      </c>
      <c r="H286" s="420" t="n">
        <f aca="false">H285+acc_z*pas</f>
        <v>-20.3662883393626</v>
      </c>
      <c r="I286" s="418" t="n">
        <f aca="false">SQRT(vit_x^2+vit_z^2)</f>
        <v>24.0664702208148</v>
      </c>
      <c r="J286" s="419" t="n">
        <f aca="false">J285+0.5*(vit_x+G285)*pas*(K285&gt;=0)</f>
        <v>137.91349824748</v>
      </c>
      <c r="K286" s="420" t="n">
        <f aca="false">K285+0.5*(vit_z+H285)*pas</f>
        <v>294.278280114138</v>
      </c>
      <c r="L286" s="418" t="n">
        <f aca="false">SQRT(pos_x^2+pos_z^2)</f>
        <v>324.99206012731</v>
      </c>
      <c r="M286" s="419" t="n">
        <f aca="false">IF(AND(L285&gt;L_rampe,G286&gt;0),ATAN2(G286,H286),$M$4)</f>
        <v>-1.00890992856795</v>
      </c>
      <c r="N286" s="418" t="n">
        <f aca="false">DEGREES(Beta)</f>
        <v>-57.8062808157891</v>
      </c>
      <c r="O286" s="402"/>
      <c r="P286" s="421" t="n">
        <f aca="false">MATCH(t-pas/2-T_ini,CdP_t)</f>
        <v>23</v>
      </c>
      <c r="Q286" s="418" t="n">
        <f aca="false">(INDEX(CdP,2,i_P+1)-INDEX(CdP,2,i_P+0))/(INDEX(CdP,1,i_P+1)-INDEX(CdP,1,i_P+0))*(t-pas/2-T_ini-INDEX(CdP,1,i_P+0))+INDEX(CdP,2,i_P+0)</f>
        <v>0</v>
      </c>
      <c r="R286" s="419" t="n">
        <f aca="false">Poussee/(g*ISP)</f>
        <v>0</v>
      </c>
      <c r="S286" s="420" t="n">
        <f aca="false">S285-Débit*pas</f>
        <v>1.4843</v>
      </c>
      <c r="T286" s="418" t="n">
        <f aca="false">m*g</f>
        <v>14.560983</v>
      </c>
      <c r="U286" s="422" t="n">
        <f aca="false">IF(pos_xz&lt;L_rampe,Poids*COS(Beta),0)</f>
        <v>0</v>
      </c>
      <c r="V286" s="419" t="n">
        <f aca="false">Rho_moyen*(20000-Alt_rampe-pos_z)/(20000+Alt_rampe+pos_z)</f>
        <v>1.18947364245586</v>
      </c>
      <c r="W286" s="418" t="n">
        <f aca="false">1/2*Rho*Sref*Cx*vit_xz^2</f>
        <v>0.607293124485302</v>
      </c>
      <c r="X286" s="402"/>
      <c r="Y286" s="423" t="str">
        <f aca="false">IF(AND(pos_z&lt;=0,K285&gt;0),"Impact balistique","") &amp; IF(AND(H287&lt;0,vit_z&gt;=0),"Apogée","") &amp; IF(AND(Poussee=0,Q285&gt;0),"Fin de propulsion","") &amp; IF(AND(L287&gt;L_rampe,pos_xz&lt;=L_rampe),"Sortie de rampe","")</f>
        <v/>
      </c>
      <c r="Z286" s="424" t="str">
        <f aca="false">IF(ABS(t-T_para)&lt;pas/2,"Para","")</f>
        <v/>
      </c>
      <c r="AA286" s="425" t="str">
        <f aca="false">IF(ABS(t-T_satellite)&lt;pas/2,"Satellite","")</f>
        <v/>
      </c>
      <c r="AB286" s="413"/>
      <c r="AC286" s="421" t="e">
        <f aca="false">IF(ABS(t-ROUND(t,0))&lt;0.001,t,NA())</f>
        <v>#N/A</v>
      </c>
      <c r="AD286" s="426" t="e">
        <f aca="false">IF(ABS(t-ROUND(t,0))&lt;0.001,pos_x,NA())</f>
        <v>#N/A</v>
      </c>
      <c r="AE286" s="427" t="n">
        <f aca="false">IF(t&lt;T_para, pos_z, NA())</f>
        <v>294.278280114138</v>
      </c>
      <c r="AF286" s="413"/>
      <c r="AG286" s="419" t="n">
        <f aca="false">IF(AND(L285&lt;L_rampe,Poussee&lt;Poids*SIN(M285)),0,(-W285+Poussee)/m-Poids*SIN(M285)/m)</f>
        <v>7.79931563435786</v>
      </c>
      <c r="AH286" s="418" t="n">
        <f aca="false">IF(AND(L285&lt;L_rampe,Poussee&lt;Poids*SIN(M285)), g*SIN(M285), (-W285+Poussee)/m)</f>
        <v>-0.382779189571925</v>
      </c>
    </row>
    <row r="287" customFormat="false" ht="12" hidden="false" customHeight="false" outlineLevel="0" collapsed="false">
      <c r="A287" s="417" t="n">
        <f aca="false">IF(B286+0.01&lt;=T_ini+ROUNDUP(Temps_fin_propu,0), 0.01, IF(K286&gt;0, 0.1, 0.0001))</f>
        <v>0.1</v>
      </c>
      <c r="B287" s="418" t="n">
        <f aca="false">B286+pas</f>
        <v>10.3</v>
      </c>
      <c r="C287" s="402"/>
      <c r="D287" s="419" t="n">
        <f aca="false">IF(AND(L286&lt;L_rampe,Poussee&lt;Poids*SIN(M286)),0,(-W286+Poussee)/m*COS(M286)-U286/m*SIN(M286))</f>
        <v>-0.217985423377732</v>
      </c>
      <c r="E287" s="420" t="n">
        <f aca="false">IF(AND(L286&lt;L_rampe,Poussee&lt;Poids*SIN(M286)),0,(-W286+Poussee)/m*SIN(M286)+U286/m*COS(M286)-Poids/m)</f>
        <v>-9.46376085471774</v>
      </c>
      <c r="F287" s="418" t="n">
        <f aca="false">SQRT(acc_x^2+acc_z^2)</f>
        <v>9.46627102718346</v>
      </c>
      <c r="G287" s="419" t="n">
        <f aca="false">G286+acc_x*pas</f>
        <v>12.8004199929747</v>
      </c>
      <c r="H287" s="420" t="n">
        <f aca="false">H286+acc_z*pas</f>
        <v>-21.3126644248344</v>
      </c>
      <c r="I287" s="418" t="n">
        <f aca="false">SQRT(vit_x^2+vit_z^2)</f>
        <v>24.8612231574021</v>
      </c>
      <c r="J287" s="419" t="n">
        <f aca="false">J286+0.5*(vit_x+G286)*pas*(K286&gt;=0)</f>
        <v>139.194630173895</v>
      </c>
      <c r="K287" s="420" t="n">
        <f aca="false">K286+0.5*(vit_z+H286)*pas</f>
        <v>292.194332475928</v>
      </c>
      <c r="L287" s="418" t="n">
        <f aca="false">SQRT(pos_x^2+pos_z^2)</f>
        <v>323.655176075249</v>
      </c>
      <c r="M287" s="419" t="n">
        <f aca="false">IF(AND(L286&gt;L_rampe,G287&gt;0),ATAN2(G287,H287),$M$4)</f>
        <v>-1.02993460342912</v>
      </c>
      <c r="N287" s="418" t="n">
        <f aca="false">DEGREES(Beta)</f>
        <v>-59.0109059509686</v>
      </c>
      <c r="O287" s="402"/>
      <c r="P287" s="421" t="n">
        <f aca="false">MATCH(t-pas/2-T_ini,CdP_t)</f>
        <v>23</v>
      </c>
      <c r="Q287" s="418" t="n">
        <f aca="false">(INDEX(CdP,2,i_P+1)-INDEX(CdP,2,i_P+0))/(INDEX(CdP,1,i_P+1)-INDEX(CdP,1,i_P+0))*(t-pas/2-T_ini-INDEX(CdP,1,i_P+0))+INDEX(CdP,2,i_P+0)</f>
        <v>0</v>
      </c>
      <c r="R287" s="419" t="n">
        <f aca="false">Poussee/(g*ISP)</f>
        <v>0</v>
      </c>
      <c r="S287" s="420" t="n">
        <f aca="false">S286-Débit*pas</f>
        <v>1.4843</v>
      </c>
      <c r="T287" s="418" t="n">
        <f aca="false">m*g</f>
        <v>14.560983</v>
      </c>
      <c r="U287" s="422" t="n">
        <f aca="false">IF(pos_xz&lt;L_rampe,Poids*COS(Beta),0)</f>
        <v>0</v>
      </c>
      <c r="V287" s="419" t="n">
        <f aca="false">Rho_moyen*(20000-Alt_rampe-pos_z)/(20000+Alt_rampe+pos_z)</f>
        <v>1.18972160167418</v>
      </c>
      <c r="W287" s="418" t="n">
        <f aca="false">1/2*Rho*Sref*Cx*vit_xz^2</f>
        <v>0.648200074153736</v>
      </c>
      <c r="X287" s="402"/>
      <c r="Y287" s="423" t="str">
        <f aca="false">IF(AND(pos_z&lt;=0,K286&gt;0),"Impact balistique","") &amp; IF(AND(H288&lt;0,vit_z&gt;=0),"Apogée","") &amp; IF(AND(Poussee=0,Q286&gt;0),"Fin de propulsion","") &amp; IF(AND(L288&gt;L_rampe,pos_xz&lt;=L_rampe),"Sortie de rampe","")</f>
        <v/>
      </c>
      <c r="Z287" s="424" t="str">
        <f aca="false">IF(ABS(t-T_para)&lt;pas/2,"Para","")</f>
        <v/>
      </c>
      <c r="AA287" s="425" t="str">
        <f aca="false">IF(ABS(t-T_satellite)&lt;pas/2,"Satellite","")</f>
        <v/>
      </c>
      <c r="AB287" s="413"/>
      <c r="AC287" s="421" t="e">
        <f aca="false">IF(ABS(t-ROUND(t,0))&lt;0.001,t,NA())</f>
        <v>#N/A</v>
      </c>
      <c r="AD287" s="426" t="e">
        <f aca="false">IF(ABS(t-ROUND(t,0))&lt;0.001,pos_x,NA())</f>
        <v>#N/A</v>
      </c>
      <c r="AE287" s="427" t="n">
        <f aca="false">IF(t&lt;T_para, pos_z, NA())</f>
        <v>292.194332475928</v>
      </c>
      <c r="AF287" s="413"/>
      <c r="AG287" s="419" t="n">
        <f aca="false">IF(AND(L286&lt;L_rampe,Poussee&lt;Poids*SIN(M286)),0,(-W286+Poussee)/m-Poids*SIN(M286)/m)</f>
        <v>7.89258349326232</v>
      </c>
      <c r="AH287" s="418" t="n">
        <f aca="false">IF(AND(L286&lt;L_rampe,Poussee&lt;Poids*SIN(M286)), g*SIN(M286), (-W286+Poussee)/m)</f>
        <v>-0.409144461689216</v>
      </c>
    </row>
    <row r="288" customFormat="false" ht="12" hidden="false" customHeight="false" outlineLevel="0" collapsed="false">
      <c r="A288" s="417" t="n">
        <f aca="false">IF(B287+0.01&lt;=T_ini+ROUNDUP(Temps_fin_propu,0), 0.01, IF(K287&gt;0, 0.1, 0.0001))</f>
        <v>0.1</v>
      </c>
      <c r="B288" s="418" t="n">
        <f aca="false">B287+pas</f>
        <v>10.4</v>
      </c>
      <c r="C288" s="402"/>
      <c r="D288" s="419" t="n">
        <f aca="false">IF(AND(L287&lt;L_rampe,Poussee&lt;Poids*SIN(M287)),0,(-W287+Poussee)/m*COS(M287)-U287/m*SIN(M287))</f>
        <v>-0.224848045360807</v>
      </c>
      <c r="E288" s="420" t="n">
        <f aca="false">IF(AND(L287&lt;L_rampe,Poussee&lt;Poids*SIN(M287)),0,(-W287+Poussee)/m*SIN(M287)+U287/m*COS(M287)-Poids/m)</f>
        <v>-9.43562861687469</v>
      </c>
      <c r="F288" s="418" t="n">
        <f aca="false">SQRT(acc_x^2+acc_z^2)</f>
        <v>9.43830726555812</v>
      </c>
      <c r="G288" s="419" t="n">
        <f aca="false">G287+acc_x*pas</f>
        <v>12.7779351884386</v>
      </c>
      <c r="H288" s="420" t="n">
        <f aca="false">H287+acc_z*pas</f>
        <v>-22.2562272865218</v>
      </c>
      <c r="I288" s="418" t="n">
        <f aca="false">SQRT(vit_x^2+vit_z^2)</f>
        <v>25.663500944128</v>
      </c>
      <c r="J288" s="419" t="n">
        <f aca="false">J287+0.5*(vit_x+G287)*pas*(K287&gt;=0)</f>
        <v>140.473547932965</v>
      </c>
      <c r="K288" s="420" t="n">
        <f aca="false">K287+0.5*(vit_z+H287)*pas</f>
        <v>290.015887890361</v>
      </c>
      <c r="L288" s="418" t="n">
        <f aca="false">SQRT(pos_x^2+pos_z^2)</f>
        <v>322.245299263945</v>
      </c>
      <c r="M288" s="419" t="n">
        <f aca="false">IF(AND(L287&gt;L_rampe,G288&gt;0),ATAN2(G288,H288),$M$4)</f>
        <v>-1.04961722195359</v>
      </c>
      <c r="N288" s="418" t="n">
        <f aca="false">DEGREES(Beta)</f>
        <v>-60.1386369221868</v>
      </c>
      <c r="O288" s="402"/>
      <c r="P288" s="421" t="n">
        <f aca="false">MATCH(t-pas/2-T_ini,CdP_t)</f>
        <v>23</v>
      </c>
      <c r="Q288" s="418" t="n">
        <f aca="false">(INDEX(CdP,2,i_P+1)-INDEX(CdP,2,i_P+0))/(INDEX(CdP,1,i_P+1)-INDEX(CdP,1,i_P+0))*(t-pas/2-T_ini-INDEX(CdP,1,i_P+0))+INDEX(CdP,2,i_P+0)</f>
        <v>0</v>
      </c>
      <c r="R288" s="419" t="n">
        <f aca="false">Poussee/(g*ISP)</f>
        <v>0</v>
      </c>
      <c r="S288" s="420" t="n">
        <f aca="false">S287-Débit*pas</f>
        <v>1.4843</v>
      </c>
      <c r="T288" s="418" t="n">
        <f aca="false">m*g</f>
        <v>14.560983</v>
      </c>
      <c r="U288" s="422" t="n">
        <f aca="false">IF(pos_xz&lt;L_rampe,Poids*COS(Beta),0)</f>
        <v>0</v>
      </c>
      <c r="V288" s="419" t="n">
        <f aca="false">Rho_moyen*(20000-Alt_rampe-pos_z)/(20000+Alt_rampe+pos_z)</f>
        <v>1.18998085909556</v>
      </c>
      <c r="W288" s="418" t="n">
        <f aca="false">1/2*Rho*Sref*Cx*vit_xz^2</f>
        <v>0.690860756829747</v>
      </c>
      <c r="X288" s="402"/>
      <c r="Y288" s="423" t="str">
        <f aca="false">IF(AND(pos_z&lt;=0,K287&gt;0),"Impact balistique","") &amp; IF(AND(H289&lt;0,vit_z&gt;=0),"Apogée","") &amp; IF(AND(Poussee=0,Q287&gt;0),"Fin de propulsion","") &amp; IF(AND(L289&gt;L_rampe,pos_xz&lt;=L_rampe),"Sortie de rampe","")</f>
        <v/>
      </c>
      <c r="Z288" s="424" t="str">
        <f aca="false">IF(ABS(t-T_para)&lt;pas/2,"Para","")</f>
        <v/>
      </c>
      <c r="AA288" s="425" t="str">
        <f aca="false">IF(ABS(t-T_satellite)&lt;pas/2,"Satellite","")</f>
        <v/>
      </c>
      <c r="AB288" s="413"/>
      <c r="AC288" s="421" t="e">
        <f aca="false">IF(ABS(t-ROUND(t,0))&lt;0.001,t,NA())</f>
        <v>#N/A</v>
      </c>
      <c r="AD288" s="426" t="e">
        <f aca="false">IF(ABS(t-ROUND(t,0))&lt;0.001,pos_x,NA())</f>
        <v>#N/A</v>
      </c>
      <c r="AE288" s="427" t="n">
        <f aca="false">IF(t&lt;T_para, pos_z, NA())</f>
        <v>290.015887890361</v>
      </c>
      <c r="AF288" s="413"/>
      <c r="AG288" s="419" t="n">
        <f aca="false">IF(AND(L287&lt;L_rampe,Poussee&lt;Poids*SIN(M287)),0,(-W287+Poussee)/m-Poids*SIN(M287)/m)</f>
        <v>7.97306856861462</v>
      </c>
      <c r="AH288" s="418" t="n">
        <f aca="false">IF(AND(L287&lt;L_rampe,Poussee&lt;Poids*SIN(M287)), g*SIN(M287), (-W287+Poussee)/m)</f>
        <v>-0.4367042202747</v>
      </c>
    </row>
    <row r="289" customFormat="false" ht="12" hidden="false" customHeight="false" outlineLevel="0" collapsed="false">
      <c r="A289" s="417" t="n">
        <f aca="false">IF(B288+0.01&lt;=T_ini+ROUNDUP(Temps_fin_propu,0), 0.01, IF(K288&gt;0, 0.1, 0.0001))</f>
        <v>0.1</v>
      </c>
      <c r="B289" s="418" t="n">
        <f aca="false">B288+pas</f>
        <v>10.5</v>
      </c>
      <c r="C289" s="402"/>
      <c r="D289" s="419" t="n">
        <f aca="false">IF(AND(L288&lt;L_rampe,Poussee&lt;Poids*SIN(M288)),0,(-W288+Poussee)/m*COS(M288)-U288/m*SIN(M288))</f>
        <v>-0.231746730730725</v>
      </c>
      <c r="E289" s="420" t="n">
        <f aca="false">IF(AND(L288&lt;L_rampe,Poussee&lt;Poids*SIN(M288)),0,(-W288+Poussee)/m*SIN(M288)+U288/m*COS(M288)-Poids/m)</f>
        <v>-9.40635044034985</v>
      </c>
      <c r="F289" s="418" t="n">
        <f aca="false">SQRT(acc_x^2+acc_z^2)</f>
        <v>9.40920480985903</v>
      </c>
      <c r="G289" s="419" t="n">
        <f aca="false">G288+acc_x*pas</f>
        <v>12.7547605153655</v>
      </c>
      <c r="H289" s="420" t="n">
        <f aca="false">H288+acc_z*pas</f>
        <v>-23.1968623305568</v>
      </c>
      <c r="I289" s="418" t="n">
        <f aca="false">SQRT(vit_x^2+vit_z^2)</f>
        <v>26.4722182256632</v>
      </c>
      <c r="J289" s="419" t="n">
        <f aca="false">J288+0.5*(vit_x+G288)*pas*(K288&gt;=0)</f>
        <v>141.750182718156</v>
      </c>
      <c r="K289" s="420" t="n">
        <f aca="false">K288+0.5*(vit_z+H288)*pas</f>
        <v>287.743233409507</v>
      </c>
      <c r="L289" s="418" t="n">
        <f aca="false">SQRT(pos_x^2+pos_z^2)</f>
        <v>320.76359312364</v>
      </c>
      <c r="M289" s="419" t="n">
        <f aca="false">IF(AND(L288&gt;L_rampe,G289&gt;0),ATAN2(G289,H289),$M$4)</f>
        <v>-1.0680694196099</v>
      </c>
      <c r="N289" s="418" t="n">
        <f aca="false">DEGREES(Beta)</f>
        <v>-61.1958699706349</v>
      </c>
      <c r="O289" s="402"/>
      <c r="P289" s="421" t="n">
        <f aca="false">MATCH(t-pas/2-T_ini,CdP_t)</f>
        <v>23</v>
      </c>
      <c r="Q289" s="418" t="n">
        <f aca="false">(INDEX(CdP,2,i_P+1)-INDEX(CdP,2,i_P+0))/(INDEX(CdP,1,i_P+1)-INDEX(CdP,1,i_P+0))*(t-pas/2-T_ini-INDEX(CdP,1,i_P+0))+INDEX(CdP,2,i_P+0)</f>
        <v>0</v>
      </c>
      <c r="R289" s="419" t="n">
        <f aca="false">Poussee/(g*ISP)</f>
        <v>0</v>
      </c>
      <c r="S289" s="420" t="n">
        <f aca="false">S288-Débit*pas</f>
        <v>1.4843</v>
      </c>
      <c r="T289" s="418" t="n">
        <f aca="false">m*g</f>
        <v>14.560983</v>
      </c>
      <c r="U289" s="422" t="n">
        <f aca="false">IF(pos_xz&lt;L_rampe,Poids*COS(Beta),0)</f>
        <v>0</v>
      </c>
      <c r="V289" s="419" t="n">
        <f aca="false">Rho_moyen*(20000-Alt_rampe-pos_z)/(20000+Alt_rampe+pos_z)</f>
        <v>1.19025138780876</v>
      </c>
      <c r="W289" s="418" t="n">
        <f aca="false">1/2*Rho*Sref*Cx*vit_xz^2</f>
        <v>0.735255210162243</v>
      </c>
      <c r="X289" s="402"/>
      <c r="Y289" s="423" t="str">
        <f aca="false">IF(AND(pos_z&lt;=0,K288&gt;0),"Impact balistique","") &amp; IF(AND(H290&lt;0,vit_z&gt;=0),"Apogée","") &amp; IF(AND(Poussee=0,Q288&gt;0),"Fin de propulsion","") &amp; IF(AND(L290&gt;L_rampe,pos_xz&lt;=L_rampe),"Sortie de rampe","")</f>
        <v/>
      </c>
      <c r="Z289" s="424" t="str">
        <f aca="false">IF(ABS(t-T_para)&lt;pas/2,"Para","")</f>
        <v/>
      </c>
      <c r="AA289" s="425" t="str">
        <f aca="false">IF(ABS(t-T_satellite)&lt;pas/2,"Satellite","")</f>
        <v/>
      </c>
      <c r="AB289" s="413"/>
      <c r="AC289" s="421" t="e">
        <f aca="false">IF(ABS(t-ROUND(t,0))&lt;0.001,t,NA())</f>
        <v>#N/A</v>
      </c>
      <c r="AD289" s="426" t="e">
        <f aca="false">IF(ABS(t-ROUND(t,0))&lt;0.001,pos_x,NA())</f>
        <v>#N/A</v>
      </c>
      <c r="AE289" s="427" t="n">
        <f aca="false">IF(t&lt;T_para, pos_z, NA())</f>
        <v>287.743233409507</v>
      </c>
      <c r="AF289" s="413"/>
      <c r="AG289" s="419" t="n">
        <f aca="false">IF(AND(L288&lt;L_rampe,Poussee&lt;Poids*SIN(M288)),0,(-W288+Poussee)/m-Poids*SIN(M288)/m)</f>
        <v>8.04210731345736</v>
      </c>
      <c r="AH289" s="418" t="n">
        <f aca="false">IF(AND(L288&lt;L_rampe,Poussee&lt;Poids*SIN(M288)), g*SIN(M288), (-W288+Poussee)/m)</f>
        <v>-0.465445500794818</v>
      </c>
    </row>
    <row r="290" customFormat="false" ht="12" hidden="false" customHeight="false" outlineLevel="0" collapsed="false">
      <c r="A290" s="417" t="n">
        <f aca="false">IF(B289+0.01&lt;=T_ini+ROUNDUP(Temps_fin_propu,0), 0.01, IF(K289&gt;0, 0.1, 0.0001))</f>
        <v>0.1</v>
      </c>
      <c r="B290" s="418" t="n">
        <f aca="false">B289+pas</f>
        <v>10.6</v>
      </c>
      <c r="C290" s="402"/>
      <c r="D290" s="419" t="n">
        <f aca="false">IF(AND(L289&lt;L_rampe,Poussee&lt;Poids*SIN(M289)),0,(-W289+Poussee)/m*COS(M289)-U289/m*SIN(M289))</f>
        <v>-0.238670310217851</v>
      </c>
      <c r="E290" s="420" t="n">
        <f aca="false">IF(AND(L289&lt;L_rampe,Poussee&lt;Poids*SIN(M289)),0,(-W289+Poussee)/m*SIN(M289)+U289/m*COS(M289)-Poids/m)</f>
        <v>-9.37593443508052</v>
      </c>
      <c r="F290" s="418" t="n">
        <f aca="false">SQRT(acc_x^2+acc_z^2)</f>
        <v>9.37897169458935</v>
      </c>
      <c r="G290" s="419" t="n">
        <f aca="false">G289+acc_x*pas</f>
        <v>12.7308934843437</v>
      </c>
      <c r="H290" s="420" t="n">
        <f aca="false">H289+acc_z*pas</f>
        <v>-24.1344557740649</v>
      </c>
      <c r="I290" s="418" t="n">
        <f aca="false">SQRT(vit_x^2+vit_z^2)</f>
        <v>27.286399623622</v>
      </c>
      <c r="J290" s="419" t="n">
        <f aca="false">J289+0.5*(vit_x+G289)*pas*(K289&gt;=0)</f>
        <v>143.024465418141</v>
      </c>
      <c r="K290" s="420" t="n">
        <f aca="false">K289+0.5*(vit_z+H289)*pas</f>
        <v>285.376667504276</v>
      </c>
      <c r="L290" s="418" t="n">
        <f aca="false">SQRT(pos_x^2+pos_z^2)</f>
        <v>319.211278096484</v>
      </c>
      <c r="M290" s="419" t="n">
        <f aca="false">IF(AND(L289&gt;L_rampe,G290&gt;0),ATAN2(G290,H290),$M$4)</f>
        <v>-1.08539255373557</v>
      </c>
      <c r="N290" s="418" t="n">
        <f aca="false">DEGREES(Beta)</f>
        <v>-62.1884124439748</v>
      </c>
      <c r="O290" s="402"/>
      <c r="P290" s="421" t="n">
        <f aca="false">MATCH(t-pas/2-T_ini,CdP_t)</f>
        <v>23</v>
      </c>
      <c r="Q290" s="418" t="n">
        <f aca="false">(INDEX(CdP,2,i_P+1)-INDEX(CdP,2,i_P+0))/(INDEX(CdP,1,i_P+1)-INDEX(CdP,1,i_P+0))*(t-pas/2-T_ini-INDEX(CdP,1,i_P+0))+INDEX(CdP,2,i_P+0)</f>
        <v>0</v>
      </c>
      <c r="R290" s="419" t="n">
        <f aca="false">Poussee/(g*ISP)</f>
        <v>0</v>
      </c>
      <c r="S290" s="420" t="n">
        <f aca="false">S289-Débit*pas</f>
        <v>1.4843</v>
      </c>
      <c r="T290" s="418" t="n">
        <f aca="false">m*g</f>
        <v>14.560983</v>
      </c>
      <c r="U290" s="422" t="n">
        <f aca="false">IF(pos_xz&lt;L_rampe,Poids*COS(Beta),0)</f>
        <v>0</v>
      </c>
      <c r="V290" s="419" t="n">
        <f aca="false">Rho_moyen*(20000-Alt_rampe-pos_z)/(20000+Alt_rampe+pos_z)</f>
        <v>1.19053315983008</v>
      </c>
      <c r="W290" s="418" t="n">
        <f aca="false">1/2*Rho*Sref*Cx*vit_xz^2</f>
        <v>0.781362766637642</v>
      </c>
      <c r="X290" s="402"/>
      <c r="Y290" s="423" t="str">
        <f aca="false">IF(AND(pos_z&lt;=0,K289&gt;0),"Impact balistique","") &amp; IF(AND(H291&lt;0,vit_z&gt;=0),"Apogée","") &amp; IF(AND(Poussee=0,Q289&gt;0),"Fin de propulsion","") &amp; IF(AND(L291&gt;L_rampe,pos_xz&lt;=L_rampe),"Sortie de rampe","")</f>
        <v/>
      </c>
      <c r="Z290" s="424" t="str">
        <f aca="false">IF(ABS(t-T_para)&lt;pas/2,"Para","")</f>
        <v/>
      </c>
      <c r="AA290" s="425" t="str">
        <f aca="false">IF(ABS(t-T_satellite)&lt;pas/2,"Satellite","")</f>
        <v/>
      </c>
      <c r="AB290" s="413"/>
      <c r="AC290" s="421" t="e">
        <f aca="false">IF(ABS(t-ROUND(t,0))&lt;0.001,t,NA())</f>
        <v>#N/A</v>
      </c>
      <c r="AD290" s="426" t="e">
        <f aca="false">IF(ABS(t-ROUND(t,0))&lt;0.001,pos_x,NA())</f>
        <v>#N/A</v>
      </c>
      <c r="AE290" s="427" t="n">
        <f aca="false">IF(t&lt;T_para, pos_z, NA())</f>
        <v>285.376667504276</v>
      </c>
      <c r="AF290" s="413"/>
      <c r="AG290" s="419" t="n">
        <f aca="false">IF(AND(L289&lt;L_rampe,Poussee&lt;Poids*SIN(M289)),0,(-W289+Poussee)/m-Poids*SIN(M289)/m)</f>
        <v>8.10087299197462</v>
      </c>
      <c r="AH290" s="418" t="n">
        <f aca="false">IF(AND(L289&lt;L_rampe,Poussee&lt;Poids*SIN(M289)), g*SIN(M289), (-W289+Poussee)/m)</f>
        <v>-0.495354854249305</v>
      </c>
    </row>
    <row r="291" customFormat="false" ht="12" hidden="false" customHeight="false" outlineLevel="0" collapsed="false">
      <c r="A291" s="417" t="n">
        <f aca="false">IF(B290+0.01&lt;=T_ini+ROUNDUP(Temps_fin_propu,0), 0.01, IF(K290&gt;0, 0.1, 0.0001))</f>
        <v>0.1</v>
      </c>
      <c r="B291" s="418" t="n">
        <f aca="false">B290+pas</f>
        <v>10.7</v>
      </c>
      <c r="C291" s="402"/>
      <c r="D291" s="419" t="n">
        <f aca="false">IF(AND(L290&lt;L_rampe,Poussee&lt;Poids*SIN(M290)),0,(-W290+Poussee)/m*COS(M290)-U290/m*SIN(M290))</f>
        <v>-0.245608659184535</v>
      </c>
      <c r="E291" s="420" t="n">
        <f aca="false">IF(AND(L290&lt;L_rampe,Poussee&lt;Poids*SIN(M290)),0,(-W290+Poussee)/m*SIN(M290)+U290/m*COS(M290)-Poids/m)</f>
        <v>-9.34438999940529</v>
      </c>
      <c r="F291" s="418" t="n">
        <f aca="false">SQRT(acc_x^2+acc_z^2)</f>
        <v>9.34761724047642</v>
      </c>
      <c r="G291" s="419" t="n">
        <f aca="false">G290+acc_x*pas</f>
        <v>12.7063326184253</v>
      </c>
      <c r="H291" s="420" t="n">
        <f aca="false">H290+acc_z*pas</f>
        <v>-25.0688947740054</v>
      </c>
      <c r="I291" s="418" t="n">
        <f aca="false">SQRT(vit_x^2+vit_z^2)</f>
        <v>28.105166318672</v>
      </c>
      <c r="J291" s="419" t="n">
        <f aca="false">J290+0.5*(vit_x+G290)*pas*(K290&gt;=0)</f>
        <v>144.296326723279</v>
      </c>
      <c r="K291" s="420" t="n">
        <f aca="false">K290+0.5*(vit_z+H290)*pas</f>
        <v>282.916499976872</v>
      </c>
      <c r="L291" s="418" t="n">
        <f aca="false">SQRT(pos_x^2+pos_z^2)</f>
        <v>317.589634379012</v>
      </c>
      <c r="M291" s="419" t="n">
        <f aca="false">IF(AND(L290&gt;L_rampe,G291&gt;0),ATAN2(G291,H291),$M$4)</f>
        <v>-1.10167856367062</v>
      </c>
      <c r="N291" s="418" t="n">
        <f aca="false">DEGREES(Beta)</f>
        <v>-63.1215320783611</v>
      </c>
      <c r="O291" s="402"/>
      <c r="P291" s="421" t="n">
        <f aca="false">MATCH(t-pas/2-T_ini,CdP_t)</f>
        <v>23</v>
      </c>
      <c r="Q291" s="418" t="n">
        <f aca="false">(INDEX(CdP,2,i_P+1)-INDEX(CdP,2,i_P+0))/(INDEX(CdP,1,i_P+1)-INDEX(CdP,1,i_P+0))*(t-pas/2-T_ini-INDEX(CdP,1,i_P+0))+INDEX(CdP,2,i_P+0)</f>
        <v>0</v>
      </c>
      <c r="R291" s="419" t="n">
        <f aca="false">Poussee/(g*ISP)</f>
        <v>0</v>
      </c>
      <c r="S291" s="420" t="n">
        <f aca="false">S290-Débit*pas</f>
        <v>1.4843</v>
      </c>
      <c r="T291" s="418" t="n">
        <f aca="false">m*g</f>
        <v>14.560983</v>
      </c>
      <c r="U291" s="422" t="n">
        <f aca="false">IF(pos_xz&lt;L_rampe,Poids*COS(Beta),0)</f>
        <v>0</v>
      </c>
      <c r="V291" s="419" t="n">
        <f aca="false">Rho_moyen*(20000-Alt_rampe-pos_z)/(20000+Alt_rampe+pos_z)</f>
        <v>1.1908261461095</v>
      </c>
      <c r="W291" s="418" t="n">
        <f aca="false">1/2*Rho*Sref*Cx*vit_xz^2</f>
        <v>0.829162068816002</v>
      </c>
      <c r="X291" s="402"/>
      <c r="Y291" s="423" t="str">
        <f aca="false">IF(AND(pos_z&lt;=0,K290&gt;0),"Impact balistique","") &amp; IF(AND(H292&lt;0,vit_z&gt;=0),"Apogée","") &amp; IF(AND(Poussee=0,Q290&gt;0),"Fin de propulsion","") &amp; IF(AND(L292&gt;L_rampe,pos_xz&lt;=L_rampe),"Sortie de rampe","")</f>
        <v/>
      </c>
      <c r="Z291" s="424" t="str">
        <f aca="false">IF(ABS(t-T_para)&lt;pas/2,"Para","")</f>
        <v/>
      </c>
      <c r="AA291" s="425" t="str">
        <f aca="false">IF(ABS(t-T_satellite)&lt;pas/2,"Satellite","")</f>
        <v/>
      </c>
      <c r="AB291" s="413"/>
      <c r="AC291" s="421" t="e">
        <f aca="false">IF(ABS(t-ROUND(t,0))&lt;0.001,t,NA())</f>
        <v>#N/A</v>
      </c>
      <c r="AD291" s="426" t="e">
        <f aca="false">IF(ABS(t-ROUND(t,0))&lt;0.001,pos_x,NA())</f>
        <v>#N/A</v>
      </c>
      <c r="AE291" s="427" t="n">
        <f aca="false">IF(t&lt;T_para, pos_z, NA())</f>
        <v>282.916499976872</v>
      </c>
      <c r="AF291" s="413"/>
      <c r="AG291" s="419" t="n">
        <f aca="false">IF(AND(L290&lt;L_rampe,Poussee&lt;Poids*SIN(M290)),0,(-W290+Poussee)/m-Poids*SIN(M290)/m)</f>
        <v>8.15039552909067</v>
      </c>
      <c r="AH291" s="418" t="n">
        <f aca="false">IF(AND(L290&lt;L_rampe,Poussee&lt;Poids*SIN(M290)), g*SIN(M290), (-W290+Poussee)/m)</f>
        <v>-0.526418356557059</v>
      </c>
    </row>
    <row r="292" customFormat="false" ht="12" hidden="false" customHeight="false" outlineLevel="0" collapsed="false">
      <c r="A292" s="417" t="n">
        <f aca="false">IF(B291+0.01&lt;=T_ini+ROUNDUP(Temps_fin_propu,0), 0.01, IF(K291&gt;0, 0.1, 0.0001))</f>
        <v>0.1</v>
      </c>
      <c r="B292" s="418" t="n">
        <f aca="false">B291+pas</f>
        <v>10.8</v>
      </c>
      <c r="C292" s="402"/>
      <c r="D292" s="419" t="n">
        <f aca="false">IF(AND(L291&lt;L_rampe,Poussee&lt;Poids*SIN(M291)),0,(-W291+Poussee)/m*COS(M291)-U291/m*SIN(M291))</f>
        <v>-0.252552574003702</v>
      </c>
      <c r="E292" s="420" t="n">
        <f aca="false">IF(AND(L291&lt;L_rampe,Poussee&lt;Poids*SIN(M291)),0,(-W291+Poussee)/m*SIN(M291)+U291/m*COS(M291)-Poids/m)</f>
        <v>-9.31172767448082</v>
      </c>
      <c r="F292" s="418" t="n">
        <f aca="false">SQRT(acc_x^2+acc_z^2)</f>
        <v>9.31515190892386</v>
      </c>
      <c r="G292" s="419" t="n">
        <f aca="false">G291+acc_x*pas</f>
        <v>12.6810773610249</v>
      </c>
      <c r="H292" s="420" t="n">
        <f aca="false">H291+acc_z*pas</f>
        <v>-26.0000675414535</v>
      </c>
      <c r="I292" s="418" t="n">
        <f aca="false">SQRT(vit_x^2+vit_z^2)</f>
        <v>28.9277243349082</v>
      </c>
      <c r="J292" s="419" t="n">
        <f aca="false">J291+0.5*(vit_x+G291)*pas*(K291&gt;=0)</f>
        <v>145.565697222252</v>
      </c>
      <c r="K292" s="420" t="n">
        <f aca="false">K291+0.5*(vit_z+H291)*pas</f>
        <v>280.363051861099</v>
      </c>
      <c r="L292" s="418" t="n">
        <f aca="false">SQRT(pos_x^2+pos_z^2)</f>
        <v>315.900004838034</v>
      </c>
      <c r="M292" s="419" t="n">
        <f aca="false">IF(AND(L291&gt;L_rampe,G292&gt;0),ATAN2(G292,H292),$M$4)</f>
        <v>-1.11701081087872</v>
      </c>
      <c r="N292" s="418" t="n">
        <f aca="false">DEGREES(Beta)</f>
        <v>-64.0000051338365</v>
      </c>
      <c r="O292" s="402"/>
      <c r="P292" s="421" t="n">
        <f aca="false">MATCH(t-pas/2-T_ini,CdP_t)</f>
        <v>23</v>
      </c>
      <c r="Q292" s="418" t="n">
        <f aca="false">(INDEX(CdP,2,i_P+1)-INDEX(CdP,2,i_P+0))/(INDEX(CdP,1,i_P+1)-INDEX(CdP,1,i_P+0))*(t-pas/2-T_ini-INDEX(CdP,1,i_P+0))+INDEX(CdP,2,i_P+0)</f>
        <v>0</v>
      </c>
      <c r="R292" s="419" t="n">
        <f aca="false">Poussee/(g*ISP)</f>
        <v>0</v>
      </c>
      <c r="S292" s="420" t="n">
        <f aca="false">S291-Débit*pas</f>
        <v>1.4843</v>
      </c>
      <c r="T292" s="418" t="n">
        <f aca="false">m*g</f>
        <v>14.560983</v>
      </c>
      <c r="U292" s="422" t="n">
        <f aca="false">IF(pos_xz&lt;L_rampe,Poids*COS(Beta),0)</f>
        <v>0</v>
      </c>
      <c r="V292" s="419" t="n">
        <f aca="false">Rho_moyen*(20000-Alt_rampe-pos_z)/(20000+Alt_rampe+pos_z)</f>
        <v>1.19113031653806</v>
      </c>
      <c r="W292" s="418" t="n">
        <f aca="false">1/2*Rho*Sref*Cx*vit_xz^2</f>
        <v>0.878631085724052</v>
      </c>
      <c r="X292" s="402"/>
      <c r="Y292" s="423" t="str">
        <f aca="false">IF(AND(pos_z&lt;=0,K291&gt;0),"Impact balistique","") &amp; IF(AND(H293&lt;0,vit_z&gt;=0),"Apogée","") &amp; IF(AND(Poussee=0,Q291&gt;0),"Fin de propulsion","") &amp; IF(AND(L293&gt;L_rampe,pos_xz&lt;=L_rampe),"Sortie de rampe","")</f>
        <v/>
      </c>
      <c r="Z292" s="424" t="str">
        <f aca="false">IF(ABS(t-T_para)&lt;pas/2,"Para","")</f>
        <v/>
      </c>
      <c r="AA292" s="425" t="str">
        <f aca="false">IF(ABS(t-T_satellite)&lt;pas/2,"Satellite","")</f>
        <v/>
      </c>
      <c r="AB292" s="413"/>
      <c r="AC292" s="421" t="e">
        <f aca="false">IF(ABS(t-ROUND(t,0))&lt;0.001,t,NA())</f>
        <v>#N/A</v>
      </c>
      <c r="AD292" s="426" t="e">
        <f aca="false">IF(ABS(t-ROUND(t,0))&lt;0.001,pos_x,NA())</f>
        <v>#N/A</v>
      </c>
      <c r="AE292" s="427" t="n">
        <f aca="false">IF(t&lt;T_para, pos_z, NA())</f>
        <v>280.363051861099</v>
      </c>
      <c r="AF292" s="413"/>
      <c r="AG292" s="419" t="n">
        <f aca="false">IF(AND(L291&lt;L_rampe,Poussee&lt;Poids*SIN(M291)),0,(-W291+Poussee)/m-Poids*SIN(M291)/m)</f>
        <v>8.19157949881514</v>
      </c>
      <c r="AH292" s="418" t="n">
        <f aca="false">IF(AND(L291&lt;L_rampe,Poussee&lt;Poids*SIN(M291)), g*SIN(M291), (-W291+Poussee)/m)</f>
        <v>-0.558621618820995</v>
      </c>
    </row>
    <row r="293" customFormat="false" ht="12" hidden="false" customHeight="false" outlineLevel="0" collapsed="false">
      <c r="A293" s="417" t="n">
        <f aca="false">IF(B292+0.01&lt;=T_ini+ROUNDUP(Temps_fin_propu,0), 0.01, IF(K292&gt;0, 0.1, 0.0001))</f>
        <v>0.1</v>
      </c>
      <c r="B293" s="418" t="n">
        <f aca="false">B292+pas</f>
        <v>10.9</v>
      </c>
      <c r="C293" s="402"/>
      <c r="D293" s="419" t="n">
        <f aca="false">IF(AND(L292&lt;L_rampe,Poussee&lt;Poids*SIN(M292)),0,(-W292+Poussee)/m*COS(M292)-U292/m*SIN(M292))</f>
        <v>-0.259493664281922</v>
      </c>
      <c r="E293" s="420" t="n">
        <f aca="false">IF(AND(L292&lt;L_rampe,Poussee&lt;Poids*SIN(M292)),0,(-W292+Poussee)/m*SIN(M292)+U292/m*COS(M292)-Poids/m)</f>
        <v>-9.27795902226371</v>
      </c>
      <c r="F293" s="418" t="n">
        <f aca="false">SQRT(acc_x^2+acc_z^2)</f>
        <v>9.28158718003592</v>
      </c>
      <c r="G293" s="419" t="n">
        <f aca="false">G292+acc_x*pas</f>
        <v>12.6551279945967</v>
      </c>
      <c r="H293" s="420" t="n">
        <f aca="false">H292+acc_z*pas</f>
        <v>-26.9278634436799</v>
      </c>
      <c r="I293" s="418" t="n">
        <f aca="false">SQRT(vit_x^2+vit_z^2)</f>
        <v>29.7533543352862</v>
      </c>
      <c r="J293" s="419" t="n">
        <f aca="false">J292+0.5*(vit_x+G292)*pas*(K292&gt;=0)</f>
        <v>146.832507490033</v>
      </c>
      <c r="K293" s="420" t="n">
        <f aca="false">K292+0.5*(vit_z+H292)*pas</f>
        <v>277.716655311842</v>
      </c>
      <c r="L293" s="418" t="n">
        <f aca="false">SQRT(pos_x^2+pos_z^2)</f>
        <v>314.143798113869</v>
      </c>
      <c r="M293" s="419" t="n">
        <f aca="false">IF(AND(L292&gt;L_rampe,G293&gt;0),ATAN2(G293,H293),$M$4)</f>
        <v>-1.13146487832882</v>
      </c>
      <c r="N293" s="418" t="n">
        <f aca="false">DEGREES(Beta)</f>
        <v>-64.8281621955245</v>
      </c>
      <c r="O293" s="402"/>
      <c r="P293" s="421" t="n">
        <f aca="false">MATCH(t-pas/2-T_ini,CdP_t)</f>
        <v>23</v>
      </c>
      <c r="Q293" s="418" t="n">
        <f aca="false">(INDEX(CdP,2,i_P+1)-INDEX(CdP,2,i_P+0))/(INDEX(CdP,1,i_P+1)-INDEX(CdP,1,i_P+0))*(t-pas/2-T_ini-INDEX(CdP,1,i_P+0))+INDEX(CdP,2,i_P+0)</f>
        <v>0</v>
      </c>
      <c r="R293" s="419" t="n">
        <f aca="false">Poussee/(g*ISP)</f>
        <v>0</v>
      </c>
      <c r="S293" s="420" t="n">
        <f aca="false">S292-Débit*pas</f>
        <v>1.4843</v>
      </c>
      <c r="T293" s="418" t="n">
        <f aca="false">m*g</f>
        <v>14.560983</v>
      </c>
      <c r="U293" s="422" t="n">
        <f aca="false">IF(pos_xz&lt;L_rampe,Poids*COS(Beta),0)</f>
        <v>0</v>
      </c>
      <c r="V293" s="419" t="n">
        <f aca="false">Rho_moyen*(20000-Alt_rampe-pos_z)/(20000+Alt_rampe+pos_z)</f>
        <v>1.19144563995642</v>
      </c>
      <c r="W293" s="418" t="n">
        <f aca="false">1/2*Rho*Sref*Cx*vit_xz^2</f>
        <v>0.929747130278022</v>
      </c>
      <c r="X293" s="402"/>
      <c r="Y293" s="423" t="str">
        <f aca="false">IF(AND(pos_z&lt;=0,K292&gt;0),"Impact balistique","") &amp; IF(AND(H294&lt;0,vit_z&gt;=0),"Apogée","") &amp; IF(AND(Poussee=0,Q292&gt;0),"Fin de propulsion","") &amp; IF(AND(L294&gt;L_rampe,pos_xz&lt;=L_rampe),"Sortie de rampe","")</f>
        <v/>
      </c>
      <c r="Z293" s="424" t="str">
        <f aca="false">IF(ABS(t-T_para)&lt;pas/2,"Para","")</f>
        <v/>
      </c>
      <c r="AA293" s="425" t="str">
        <f aca="false">IF(ABS(t-T_satellite)&lt;pas/2,"Satellite","")</f>
        <v/>
      </c>
      <c r="AB293" s="413"/>
      <c r="AC293" s="421" t="e">
        <f aca="false">IF(ABS(t-ROUND(t,0))&lt;0.001,t,NA())</f>
        <v>#N/A</v>
      </c>
      <c r="AD293" s="426" t="e">
        <f aca="false">IF(ABS(t-ROUND(t,0))&lt;0.001,pos_x,NA())</f>
        <v>#N/A</v>
      </c>
      <c r="AE293" s="427" t="n">
        <f aca="false">IF(t&lt;T_para, pos_z, NA())</f>
        <v>277.716655311842</v>
      </c>
      <c r="AF293" s="413"/>
      <c r="AG293" s="419" t="n">
        <f aca="false">IF(AND(L292&lt;L_rampe,Poussee&lt;Poids*SIN(M292)),0,(-W292+Poussee)/m-Poids*SIN(M292)/m)</f>
        <v>8.22522018115028</v>
      </c>
      <c r="AH293" s="418" t="n">
        <f aca="false">IF(AND(L292&lt;L_rampe,Poussee&lt;Poids*SIN(M292)), g*SIN(M292), (-W292+Poussee)/m)</f>
        <v>-0.591949798372332</v>
      </c>
    </row>
    <row r="294" customFormat="false" ht="12" hidden="false" customHeight="false" outlineLevel="0" collapsed="false">
      <c r="A294" s="417" t="n">
        <f aca="false">IF(B293+0.01&lt;=T_ini+ROUNDUP(Temps_fin_propu,0), 0.01, IF(K293&gt;0, 0.1, 0.0001))</f>
        <v>0.1</v>
      </c>
      <c r="B294" s="418" t="n">
        <f aca="false">B293+pas</f>
        <v>11</v>
      </c>
      <c r="C294" s="402"/>
      <c r="D294" s="419" t="n">
        <f aca="false">IF(AND(L293&lt;L_rampe,Poussee&lt;Poids*SIN(M293)),0,(-W293+Poussee)/m*COS(M293)-U293/m*SIN(M293))</f>
        <v>-0.266424259123475</v>
      </c>
      <c r="E294" s="420" t="n">
        <f aca="false">IF(AND(L293&lt;L_rampe,Poussee&lt;Poids*SIN(M293)),0,(-W293+Poussee)/m*SIN(M293)+U293/m*COS(M293)-Poids/m)</f>
        <v>-9.24309652254615</v>
      </c>
      <c r="F294" s="418" t="n">
        <f aca="false">SQRT(acc_x^2+acc_z^2)</f>
        <v>9.24693544970193</v>
      </c>
      <c r="G294" s="419" t="n">
        <f aca="false">G293+acc_x*pas</f>
        <v>12.6284855686844</v>
      </c>
      <c r="H294" s="420" t="n">
        <f aca="false">H293+acc_z*pas</f>
        <v>-27.8521730959345</v>
      </c>
      <c r="I294" s="418" t="n">
        <f aca="false">SQRT(vit_x^2+vit_z^2)</f>
        <v>30.5814027461849</v>
      </c>
      <c r="J294" s="419" t="n">
        <f aca="false">J293+0.5*(vit_x+G293)*pas*(K293&gt;=0)</f>
        <v>148.096688168197</v>
      </c>
      <c r="K294" s="420" t="n">
        <f aca="false">K293+0.5*(vit_z+H293)*pas</f>
        <v>274.977653484862</v>
      </c>
      <c r="L294" s="418" t="n">
        <f aca="false">SQRT(pos_x^2+pos_z^2)</f>
        <v>312.3224919253</v>
      </c>
      <c r="M294" s="419" t="n">
        <f aca="false">IF(AND(L293&gt;L_rampe,G294&gt;0),ATAN2(G294,H294),$M$4)</f>
        <v>-1.14510931746178</v>
      </c>
      <c r="N294" s="418" t="n">
        <f aca="false">DEGREES(Beta)</f>
        <v>-65.6099309716665</v>
      </c>
      <c r="O294" s="402"/>
      <c r="P294" s="421" t="n">
        <f aca="false">MATCH(t-pas/2-T_ini,CdP_t)</f>
        <v>23</v>
      </c>
      <c r="Q294" s="418" t="n">
        <f aca="false">(INDEX(CdP,2,i_P+1)-INDEX(CdP,2,i_P+0))/(INDEX(CdP,1,i_P+1)-INDEX(CdP,1,i_P+0))*(t-pas/2-T_ini-INDEX(CdP,1,i_P+0))+INDEX(CdP,2,i_P+0)</f>
        <v>0</v>
      </c>
      <c r="R294" s="419" t="n">
        <f aca="false">Poussee/(g*ISP)</f>
        <v>0</v>
      </c>
      <c r="S294" s="420" t="n">
        <f aca="false">S293-Débit*pas</f>
        <v>1.4843</v>
      </c>
      <c r="T294" s="418" t="n">
        <f aca="false">m*g</f>
        <v>14.560983</v>
      </c>
      <c r="U294" s="422" t="n">
        <f aca="false">IF(pos_xz&lt;L_rampe,Poids*COS(Beta),0)</f>
        <v>0</v>
      </c>
      <c r="V294" s="419" t="n">
        <f aca="false">Rho_moyen*(20000-Alt_rampe-pos_z)/(20000+Alt_rampe+pos_z)</f>
        <v>1.19177208416444</v>
      </c>
      <c r="W294" s="418" t="n">
        <f aca="false">1/2*Rho*Sref*Cx*vit_xz^2</f>
        <v>0.982486877625852</v>
      </c>
      <c r="X294" s="402"/>
      <c r="Y294" s="423" t="str">
        <f aca="false">IF(AND(pos_z&lt;=0,K293&gt;0),"Impact balistique","") &amp; IF(AND(H295&lt;0,vit_z&gt;=0),"Apogée","") &amp; IF(AND(Poussee=0,Q293&gt;0),"Fin de propulsion","") &amp; IF(AND(L295&gt;L_rampe,pos_xz&lt;=L_rampe),"Sortie de rampe","")</f>
        <v/>
      </c>
      <c r="Z294" s="424" t="str">
        <f aca="false">IF(ABS(t-T_para)&lt;pas/2,"Para","")</f>
        <v/>
      </c>
      <c r="AA294" s="425" t="str">
        <f aca="false">IF(ABS(t-T_satellite)&lt;pas/2,"Satellite","")</f>
        <v/>
      </c>
      <c r="AB294" s="413"/>
      <c r="AC294" s="421" t="n">
        <f aca="false">IF(ABS(t-ROUND(t,0))&lt;0.001,t,NA())</f>
        <v>11</v>
      </c>
      <c r="AD294" s="426" t="n">
        <f aca="false">IF(ABS(t-ROUND(t,0))&lt;0.001,pos_x,NA())</f>
        <v>148.096688168197</v>
      </c>
      <c r="AE294" s="427" t="n">
        <f aca="false">IF(t&lt;T_para, pos_z, NA())</f>
        <v>274.977653484862</v>
      </c>
      <c r="AF294" s="413"/>
      <c r="AG294" s="419" t="n">
        <f aca="false">IF(AND(L293&lt;L_rampe,Poussee&lt;Poids*SIN(M293)),0,(-W293+Poussee)/m-Poids*SIN(M293)/m)</f>
        <v>8.25201774189941</v>
      </c>
      <c r="AH294" s="418" t="n">
        <f aca="false">IF(AND(L293&lt;L_rampe,Poussee&lt;Poids*SIN(M293)), g*SIN(M293), (-W293+Poussee)/m)</f>
        <v>-0.626387610508673</v>
      </c>
    </row>
    <row r="295" customFormat="false" ht="12" hidden="false" customHeight="false" outlineLevel="0" collapsed="false">
      <c r="A295" s="417" t="n">
        <f aca="false">IF(B294+0.01&lt;=T_ini+ROUNDUP(Temps_fin_propu,0), 0.01, IF(K294&gt;0, 0.1, 0.0001))</f>
        <v>0.1</v>
      </c>
      <c r="B295" s="418" t="n">
        <f aca="false">B294+pas</f>
        <v>11.1</v>
      </c>
      <c r="C295" s="402"/>
      <c r="D295" s="419" t="n">
        <f aca="false">IF(AND(L294&lt;L_rampe,Poussee&lt;Poids*SIN(M294)),0,(-W294+Poussee)/m*COS(M294)-U294/m*SIN(M294))</f>
        <v>-0.273337325725479</v>
      </c>
      <c r="E295" s="420" t="n">
        <f aca="false">IF(AND(L294&lt;L_rampe,Poussee&lt;Poids*SIN(M294)),0,(-W294+Poussee)/m*SIN(M294)+U294/m*COS(M294)-Poids/m)</f>
        <v>-9.20715348540569</v>
      </c>
      <c r="F295" s="418" t="n">
        <f aca="false">SQRT(acc_x^2+acc_z^2)</f>
        <v>9.2112099421006</v>
      </c>
      <c r="G295" s="419" t="n">
        <f aca="false">G294+acc_x*pas</f>
        <v>12.6011518361118</v>
      </c>
      <c r="H295" s="420" t="n">
        <f aca="false">H294+acc_z*pas</f>
        <v>-28.772888444475</v>
      </c>
      <c r="I295" s="418" t="n">
        <f aca="false">SQRT(vit_x^2+vit_z^2)</f>
        <v>31.4112740434856</v>
      </c>
      <c r="J295" s="419" t="n">
        <f aca="false">J294+0.5*(vit_x+G294)*pas*(K294&gt;=0)</f>
        <v>149.358170038437</v>
      </c>
      <c r="K295" s="420" t="n">
        <f aca="false">K294+0.5*(vit_z+H294)*pas</f>
        <v>272.146400407841</v>
      </c>
      <c r="L295" s="418" t="n">
        <f aca="false">SQRT(pos_x^2+pos_z^2)</f>
        <v>310.437636590951</v>
      </c>
      <c r="M295" s="419" t="n">
        <f aca="false">IF(AND(L294&gt;L_rampe,G295&gt;0),ATAN2(G295,H295),$M$4)</f>
        <v>-1.15800633722228</v>
      </c>
      <c r="N295" s="418" t="n">
        <f aca="false">DEGREES(Beta)</f>
        <v>-66.3488757722396</v>
      </c>
      <c r="O295" s="402"/>
      <c r="P295" s="421" t="n">
        <f aca="false">MATCH(t-pas/2-T_ini,CdP_t)</f>
        <v>23</v>
      </c>
      <c r="Q295" s="418" t="n">
        <f aca="false">(INDEX(CdP,2,i_P+1)-INDEX(CdP,2,i_P+0))/(INDEX(CdP,1,i_P+1)-INDEX(CdP,1,i_P+0))*(t-pas/2-T_ini-INDEX(CdP,1,i_P+0))+INDEX(CdP,2,i_P+0)</f>
        <v>0</v>
      </c>
      <c r="R295" s="419" t="n">
        <f aca="false">Poussee/(g*ISP)</f>
        <v>0</v>
      </c>
      <c r="S295" s="420" t="n">
        <f aca="false">S294-Débit*pas</f>
        <v>1.4843</v>
      </c>
      <c r="T295" s="418" t="n">
        <f aca="false">m*g</f>
        <v>14.560983</v>
      </c>
      <c r="U295" s="422" t="n">
        <f aca="false">IF(pos_xz&lt;L_rampe,Poids*COS(Beta),0)</f>
        <v>0</v>
      </c>
      <c r="V295" s="419" t="n">
        <f aca="false">Rho_moyen*(20000-Alt_rampe-pos_z)/(20000+Alt_rampe+pos_z)</f>
        <v>1.19210961593165</v>
      </c>
      <c r="W295" s="418" t="n">
        <f aca="false">1/2*Rho*Sref*Cx*vit_xz^2</f>
        <v>1.03682638431189</v>
      </c>
      <c r="X295" s="402"/>
      <c r="Y295" s="423" t="str">
        <f aca="false">IF(AND(pos_z&lt;=0,K294&gt;0),"Impact balistique","") &amp; IF(AND(H296&lt;0,vit_z&gt;=0),"Apogée","") &amp; IF(AND(Poussee=0,Q294&gt;0),"Fin de propulsion","") &amp; IF(AND(L296&gt;L_rampe,pos_xz&lt;=L_rampe),"Sortie de rampe","")</f>
        <v/>
      </c>
      <c r="Z295" s="424" t="str">
        <f aca="false">IF(ABS(t-T_para)&lt;pas/2,"Para","")</f>
        <v/>
      </c>
      <c r="AA295" s="425" t="str">
        <f aca="false">IF(ABS(t-T_satellite)&lt;pas/2,"Satellite","")</f>
        <v/>
      </c>
      <c r="AB295" s="413"/>
      <c r="AC295" s="421" t="e">
        <f aca="false">IF(ABS(t-ROUND(t,0))&lt;0.001,t,NA())</f>
        <v>#N/A</v>
      </c>
      <c r="AD295" s="426" t="e">
        <f aca="false">IF(ABS(t-ROUND(t,0))&lt;0.001,pos_x,NA())</f>
        <v>#N/A</v>
      </c>
      <c r="AE295" s="427" t="n">
        <f aca="false">IF(t&lt;T_para, pos_z, NA())</f>
        <v>272.146400407841</v>
      </c>
      <c r="AF295" s="413"/>
      <c r="AG295" s="419" t="n">
        <f aca="false">IF(AND(L294&lt;L_rampe,Poussee&lt;Poids*SIN(M294)),0,(-W294+Poussee)/m-Poids*SIN(M294)/m)</f>
        <v>8.27258965923692</v>
      </c>
      <c r="AH295" s="418" t="n">
        <f aca="false">IF(AND(L294&lt;L_rampe,Poussee&lt;Poids*SIN(M294)), g*SIN(M294), (-W294+Poussee)/m)</f>
        <v>-0.661919340851481</v>
      </c>
    </row>
    <row r="296" customFormat="false" ht="12" hidden="false" customHeight="false" outlineLevel="0" collapsed="false">
      <c r="A296" s="417" t="n">
        <f aca="false">IF(B295+0.01&lt;=T_ini+ROUNDUP(Temps_fin_propu,0), 0.01, IF(K295&gt;0, 0.1, 0.0001))</f>
        <v>0.1</v>
      </c>
      <c r="B296" s="418" t="n">
        <f aca="false">B295+pas</f>
        <v>11.2</v>
      </c>
      <c r="C296" s="402"/>
      <c r="D296" s="419" t="n">
        <f aca="false">IF(AND(L295&lt;L_rampe,Poussee&lt;Poids*SIN(M295)),0,(-W295+Poussee)/m*COS(M295)-U295/m*SIN(M295))</f>
        <v>-0.280226398732671</v>
      </c>
      <c r="E296" s="420" t="n">
        <f aca="false">IF(AND(L295&lt;L_rampe,Poussee&lt;Poids*SIN(M295)),0,(-W295+Poussee)/m*SIN(M295)+U295/m*COS(M295)-Poids/m)</f>
        <v>-9.1701439761383</v>
      </c>
      <c r="F296" s="418" t="n">
        <f aca="false">SQRT(acc_x^2+acc_z^2)</f>
        <v>9.17442463469248</v>
      </c>
      <c r="G296" s="419" t="n">
        <f aca="false">G295+acc_x*pas</f>
        <v>12.5731291962386</v>
      </c>
      <c r="H296" s="420" t="n">
        <f aca="false">H295+acc_z*pas</f>
        <v>-29.6899028420889</v>
      </c>
      <c r="I296" s="418" t="n">
        <f aca="false">SQRT(vit_x^2+vit_z^2)</f>
        <v>32.242424049038</v>
      </c>
      <c r="J296" s="419" t="n">
        <f aca="false">J295+0.5*(vit_x+G295)*pas*(K295&gt;=0)</f>
        <v>150.616884090054</v>
      </c>
      <c r="K296" s="420" t="n">
        <f aca="false">K295+0.5*(vit_z+H295)*pas</f>
        <v>269.223260843513</v>
      </c>
      <c r="L296" s="418" t="n">
        <f aca="false">SQRT(pos_x^2+pos_z^2)</f>
        <v>308.490858782252</v>
      </c>
      <c r="M296" s="419" t="n">
        <f aca="false">IF(AND(L295&gt;L_rampe,G296&gt;0),ATAN2(G296,H296),$M$4)</f>
        <v>-1.17021243371713</v>
      </c>
      <c r="N296" s="418" t="n">
        <f aca="false">DEGREES(Beta)</f>
        <v>-67.0482335857239</v>
      </c>
      <c r="O296" s="402"/>
      <c r="P296" s="421" t="n">
        <f aca="false">MATCH(t-pas/2-T_ini,CdP_t)</f>
        <v>23</v>
      </c>
      <c r="Q296" s="418" t="n">
        <f aca="false">(INDEX(CdP,2,i_P+1)-INDEX(CdP,2,i_P+0))/(INDEX(CdP,1,i_P+1)-INDEX(CdP,1,i_P+0))*(t-pas/2-T_ini-INDEX(CdP,1,i_P+0))+INDEX(CdP,2,i_P+0)</f>
        <v>0</v>
      </c>
      <c r="R296" s="419" t="n">
        <f aca="false">Poussee/(g*ISP)</f>
        <v>0</v>
      </c>
      <c r="S296" s="420" t="n">
        <f aca="false">S295-Débit*pas</f>
        <v>1.4843</v>
      </c>
      <c r="T296" s="418" t="n">
        <f aca="false">m*g</f>
        <v>14.560983</v>
      </c>
      <c r="U296" s="422" t="n">
        <f aca="false">IF(pos_xz&lt;L_rampe,Poids*COS(Beta),0)</f>
        <v>0</v>
      </c>
      <c r="V296" s="419" t="n">
        <f aca="false">Rho_moyen*(20000-Alt_rampe-pos_z)/(20000+Alt_rampe+pos_z)</f>
        <v>1.19245820100858</v>
      </c>
      <c r="W296" s="418" t="n">
        <f aca="false">1/2*Rho*Sref*Cx*vit_xz^2</f>
        <v>1.09274110817808</v>
      </c>
      <c r="X296" s="402"/>
      <c r="Y296" s="423" t="str">
        <f aca="false">IF(AND(pos_z&lt;=0,K295&gt;0),"Impact balistique","") &amp; IF(AND(H297&lt;0,vit_z&gt;=0),"Apogée","") &amp; IF(AND(Poussee=0,Q295&gt;0),"Fin de propulsion","") &amp; IF(AND(L297&gt;L_rampe,pos_xz&lt;=L_rampe),"Sortie de rampe","")</f>
        <v/>
      </c>
      <c r="Z296" s="424" t="str">
        <f aca="false">IF(ABS(t-T_para)&lt;pas/2,"Para","")</f>
        <v/>
      </c>
      <c r="AA296" s="425" t="str">
        <f aca="false">IF(ABS(t-T_satellite)&lt;pas/2,"Satellite","")</f>
        <v/>
      </c>
      <c r="AB296" s="413"/>
      <c r="AC296" s="421" t="e">
        <f aca="false">IF(ABS(t-ROUND(t,0))&lt;0.001,t,NA())</f>
        <v>#N/A</v>
      </c>
      <c r="AD296" s="426" t="e">
        <f aca="false">IF(ABS(t-ROUND(t,0))&lt;0.001,pos_x,NA())</f>
        <v>#N/A</v>
      </c>
      <c r="AE296" s="427" t="n">
        <f aca="false">IF(t&lt;T_para, pos_z, NA())</f>
        <v>269.223260843513</v>
      </c>
      <c r="AF296" s="413"/>
      <c r="AG296" s="419" t="n">
        <f aca="false">IF(AND(L295&lt;L_rampe,Poussee&lt;Poids*SIN(M295)),0,(-W295+Poussee)/m-Poids*SIN(M295)/m)</f>
        <v>8.28748155474047</v>
      </c>
      <c r="AH296" s="418" t="n">
        <f aca="false">IF(AND(L295&lt;L_rampe,Poussee&lt;Poids*SIN(M295)), g*SIN(M295), (-W295+Poussee)/m)</f>
        <v>-0.698528858257689</v>
      </c>
    </row>
    <row r="297" customFormat="false" ht="12" hidden="false" customHeight="false" outlineLevel="0" collapsed="false">
      <c r="A297" s="417" t="n">
        <f aca="false">IF(B296+0.01&lt;=T_ini+ROUNDUP(Temps_fin_propu,0), 0.01, IF(K296&gt;0, 0.1, 0.0001))</f>
        <v>0.1</v>
      </c>
      <c r="B297" s="418" t="n">
        <f aca="false">B296+pas</f>
        <v>11.3</v>
      </c>
      <c r="C297" s="402"/>
      <c r="D297" s="419" t="n">
        <f aca="false">IF(AND(L296&lt;L_rampe,Poussee&lt;Poids*SIN(M296)),0,(-W296+Poussee)/m*COS(M296)-U296/m*SIN(M296))</f>
        <v>-0.287085518937691</v>
      </c>
      <c r="E297" s="420" t="n">
        <f aca="false">IF(AND(L296&lt;L_rampe,Poussee&lt;Poids*SIN(M296)),0,(-W296+Poussee)/m*SIN(M296)+U296/m*COS(M296)-Poids/m)</f>
        <v>-9.13208275031639</v>
      </c>
      <c r="F297" s="418" t="n">
        <f aca="false">SQRT(acc_x^2+acc_z^2)</f>
        <v>9.13659419334196</v>
      </c>
      <c r="G297" s="419" t="n">
        <f aca="false">G296+acc_x*pas</f>
        <v>12.5444206443448</v>
      </c>
      <c r="H297" s="420" t="n">
        <f aca="false">H296+acc_z*pas</f>
        <v>-30.6031111171205</v>
      </c>
      <c r="I297" s="418" t="n">
        <f aca="false">SQRT(vit_x^2+vit_z^2)</f>
        <v>33.074354103279</v>
      </c>
      <c r="J297" s="419" t="n">
        <f aca="false">J296+0.5*(vit_x+G296)*pas*(K296&gt;=0)</f>
        <v>151.872761582084</v>
      </c>
      <c r="K297" s="420" t="n">
        <f aca="false">K296+0.5*(vit_z+H296)*pas</f>
        <v>266.208610145553</v>
      </c>
      <c r="L297" s="418" t="n">
        <f aca="false">SQRT(pos_x^2+pos_z^2)</f>
        <v>306.483865523448</v>
      </c>
      <c r="M297" s="419" t="n">
        <f aca="false">IF(AND(L296&gt;L_rampe,G297&gt;0),ATAN2(G297,H297),$M$4)</f>
        <v>-1.18177896167778</v>
      </c>
      <c r="N297" s="418" t="n">
        <f aca="false">DEGREES(Beta)</f>
        <v>-67.7109468214893</v>
      </c>
      <c r="O297" s="402"/>
      <c r="P297" s="421" t="n">
        <f aca="false">MATCH(t-pas/2-T_ini,CdP_t)</f>
        <v>23</v>
      </c>
      <c r="Q297" s="418" t="n">
        <f aca="false">(INDEX(CdP,2,i_P+1)-INDEX(CdP,2,i_P+0))/(INDEX(CdP,1,i_P+1)-INDEX(CdP,1,i_P+0))*(t-pas/2-T_ini-INDEX(CdP,1,i_P+0))+INDEX(CdP,2,i_P+0)</f>
        <v>0</v>
      </c>
      <c r="R297" s="419" t="n">
        <f aca="false">Poussee/(g*ISP)</f>
        <v>0</v>
      </c>
      <c r="S297" s="420" t="n">
        <f aca="false">S296-Débit*pas</f>
        <v>1.4843</v>
      </c>
      <c r="T297" s="418" t="n">
        <f aca="false">m*g</f>
        <v>14.560983</v>
      </c>
      <c r="U297" s="422" t="n">
        <f aca="false">IF(pos_xz&lt;L_rampe,Poids*COS(Beta),0)</f>
        <v>0</v>
      </c>
      <c r="V297" s="419" t="n">
        <f aca="false">Rho_moyen*(20000-Alt_rampe-pos_z)/(20000+Alt_rampe+pos_z)</f>
        <v>1.19281780413875</v>
      </c>
      <c r="W297" s="418" t="n">
        <f aca="false">1/2*Rho*Sref*Cx*vit_xz^2</f>
        <v>1.1502059289246</v>
      </c>
      <c r="X297" s="402"/>
      <c r="Y297" s="423" t="str">
        <f aca="false">IF(AND(pos_z&lt;=0,K296&gt;0),"Impact balistique","") &amp; IF(AND(H298&lt;0,vit_z&gt;=0),"Apogée","") &amp; IF(AND(Poussee=0,Q296&gt;0),"Fin de propulsion","") &amp; IF(AND(L298&gt;L_rampe,pos_xz&lt;=L_rampe),"Sortie de rampe","")</f>
        <v/>
      </c>
      <c r="Z297" s="424" t="str">
        <f aca="false">IF(ABS(t-T_para)&lt;pas/2,"Para","")</f>
        <v/>
      </c>
      <c r="AA297" s="425" t="str">
        <f aca="false">IF(ABS(t-T_satellite)&lt;pas/2,"Satellite","")</f>
        <v/>
      </c>
      <c r="AB297" s="413"/>
      <c r="AC297" s="421" t="e">
        <f aca="false">IF(ABS(t-ROUND(t,0))&lt;0.001,t,NA())</f>
        <v>#N/A</v>
      </c>
      <c r="AD297" s="426" t="e">
        <f aca="false">IF(ABS(t-ROUND(t,0))&lt;0.001,pos_x,NA())</f>
        <v>#N/A</v>
      </c>
      <c r="AE297" s="427" t="n">
        <f aca="false">IF(t&lt;T_para, pos_z, NA())</f>
        <v>266.208610145553</v>
      </c>
      <c r="AF297" s="413"/>
      <c r="AG297" s="419" t="n">
        <f aca="false">IF(AND(L296&lt;L_rampe,Poussee&lt;Poids*SIN(M296)),0,(-W296+Poussee)/m-Poids*SIN(M296)/m)</f>
        <v>8.29717659801136</v>
      </c>
      <c r="AH297" s="418" t="n">
        <f aca="false">IF(AND(L296&lt;L_rampe,Poussee&lt;Poids*SIN(M296)), g*SIN(M296), (-W296+Poussee)/m)</f>
        <v>-0.7361996282275</v>
      </c>
    </row>
    <row r="298" customFormat="false" ht="12" hidden="false" customHeight="false" outlineLevel="0" collapsed="false">
      <c r="A298" s="417" t="n">
        <f aca="false">IF(B297+0.01&lt;=T_ini+ROUNDUP(Temps_fin_propu,0), 0.01, IF(K297&gt;0, 0.1, 0.0001))</f>
        <v>0.1</v>
      </c>
      <c r="B298" s="418" t="n">
        <f aca="false">B297+pas</f>
        <v>11.4</v>
      </c>
      <c r="C298" s="402"/>
      <c r="D298" s="419" t="n">
        <f aca="false">IF(AND(L297&lt;L_rampe,Poussee&lt;Poids*SIN(M297)),0,(-W297+Poussee)/m*COS(M297)-U297/m*SIN(M297))</f>
        <v>-0.293909180072746</v>
      </c>
      <c r="E298" s="420" t="n">
        <f aca="false">IF(AND(L297&lt;L_rampe,Poussee&lt;Poids*SIN(M297)),0,(-W297+Poussee)/m*SIN(M297)+U297/m*COS(M297)-Poids/m)</f>
        <v>-9.09298519707541</v>
      </c>
      <c r="F298" s="418" t="n">
        <f aca="false">SQRT(acc_x^2+acc_z^2)</f>
        <v>9.09773391567173</v>
      </c>
      <c r="G298" s="419" t="n">
        <f aca="false">G297+acc_x*pas</f>
        <v>12.5150297263375</v>
      </c>
      <c r="H298" s="420" t="n">
        <f aca="false">H297+acc_z*pas</f>
        <v>-31.512409636828</v>
      </c>
      <c r="I298" s="418" t="n">
        <f aca="false">SQRT(vit_x^2+vit_z^2)</f>
        <v>33.9066059960351</v>
      </c>
      <c r="J298" s="419" t="n">
        <f aca="false">J297+0.5*(vit_x+G297)*pas*(K297&gt;=0)</f>
        <v>153.125734100618</v>
      </c>
      <c r="K298" s="420" t="n">
        <f aca="false">K297+0.5*(vit_z+H297)*pas</f>
        <v>263.102834107855</v>
      </c>
      <c r="L298" s="418" t="n">
        <f aca="false">SQRT(pos_x^2+pos_z^2)</f>
        <v>304.418448454489</v>
      </c>
      <c r="M298" s="419" t="n">
        <f aca="false">IF(AND(L297&gt;L_rampe,G298&gt;0),ATAN2(G298,H298),$M$4)</f>
        <v>-1.19275265050087</v>
      </c>
      <c r="N298" s="418" t="n">
        <f aca="false">DEGREES(Beta)</f>
        <v>-68.3396928767425</v>
      </c>
      <c r="O298" s="402"/>
      <c r="P298" s="421" t="n">
        <f aca="false">MATCH(t-pas/2-T_ini,CdP_t)</f>
        <v>23</v>
      </c>
      <c r="Q298" s="418" t="n">
        <f aca="false">(INDEX(CdP,2,i_P+1)-INDEX(CdP,2,i_P+0))/(INDEX(CdP,1,i_P+1)-INDEX(CdP,1,i_P+0))*(t-pas/2-T_ini-INDEX(CdP,1,i_P+0))+INDEX(CdP,2,i_P+0)</f>
        <v>0</v>
      </c>
      <c r="R298" s="419" t="n">
        <f aca="false">Poussee/(g*ISP)</f>
        <v>0</v>
      </c>
      <c r="S298" s="420" t="n">
        <f aca="false">S297-Débit*pas</f>
        <v>1.4843</v>
      </c>
      <c r="T298" s="418" t="n">
        <f aca="false">m*g</f>
        <v>14.560983</v>
      </c>
      <c r="U298" s="422" t="n">
        <f aca="false">IF(pos_xz&lt;L_rampe,Poids*COS(Beta),0)</f>
        <v>0</v>
      </c>
      <c r="V298" s="419" t="n">
        <f aca="false">Rho_moyen*(20000-Alt_rampe-pos_z)/(20000+Alt_rampe+pos_z)</f>
        <v>1.19318838907143</v>
      </c>
      <c r="W298" s="418" t="n">
        <f aca="false">1/2*Rho*Sref*Cx*vit_xz^2</f>
        <v>1.20919516926</v>
      </c>
      <c r="X298" s="402"/>
      <c r="Y298" s="423" t="str">
        <f aca="false">IF(AND(pos_z&lt;=0,K297&gt;0),"Impact balistique","") &amp; IF(AND(H299&lt;0,vit_z&gt;=0),"Apogée","") &amp; IF(AND(Poussee=0,Q297&gt;0),"Fin de propulsion","") &amp; IF(AND(L299&gt;L_rampe,pos_xz&lt;=L_rampe),"Sortie de rampe","")</f>
        <v/>
      </c>
      <c r="Z298" s="424" t="str">
        <f aca="false">IF(ABS(t-T_para)&lt;pas/2,"Para","")</f>
        <v/>
      </c>
      <c r="AA298" s="425" t="str">
        <f aca="false">IF(ABS(t-T_satellite)&lt;pas/2,"Satellite","")</f>
        <v/>
      </c>
      <c r="AB298" s="413"/>
      <c r="AC298" s="421" t="e">
        <f aca="false">IF(ABS(t-ROUND(t,0))&lt;0.001,t,NA())</f>
        <v>#N/A</v>
      </c>
      <c r="AD298" s="426" t="e">
        <f aca="false">IF(ABS(t-ROUND(t,0))&lt;0.001,pos_x,NA())</f>
        <v>#N/A</v>
      </c>
      <c r="AE298" s="427" t="n">
        <f aca="false">IF(t&lt;T_para, pos_z, NA())</f>
        <v>263.102834107855</v>
      </c>
      <c r="AF298" s="413"/>
      <c r="AG298" s="419" t="n">
        <f aca="false">IF(AND(L297&lt;L_rampe,Poussee&lt;Poids*SIN(M297)),0,(-W297+Poussee)/m-Poids*SIN(M297)/m)</f>
        <v>8.30210365193922</v>
      </c>
      <c r="AH298" s="418" t="n">
        <f aca="false">IF(AND(L297&lt;L_rampe,Poussee&lt;Poids*SIN(M297)), g*SIN(M297), (-W297+Poussee)/m)</f>
        <v>-0.774914726756449</v>
      </c>
    </row>
    <row r="299" customFormat="false" ht="12" hidden="false" customHeight="false" outlineLevel="0" collapsed="false">
      <c r="A299" s="417" t="n">
        <f aca="false">IF(B298+0.01&lt;=T_ini+ROUNDUP(Temps_fin_propu,0), 0.01, IF(K298&gt;0, 0.1, 0.0001))</f>
        <v>0.1</v>
      </c>
      <c r="B299" s="418" t="n">
        <f aca="false">B298+pas</f>
        <v>11.5</v>
      </c>
      <c r="C299" s="402"/>
      <c r="D299" s="419" t="n">
        <f aca="false">IF(AND(L298&lt;L_rampe,Poussee&lt;Poids*SIN(M298)),0,(-W298+Poussee)/m*COS(M298)-U298/m*SIN(M298))</f>
        <v>-0.300692282591888</v>
      </c>
      <c r="E299" s="420" t="n">
        <f aca="false">IF(AND(L298&lt;L_rampe,Poussee&lt;Poids*SIN(M298)),0,(-W298+Poussee)/m*SIN(M298)+U298/m*COS(M298)-Poids/m)</f>
        <v>-9.0528672891022</v>
      </c>
      <c r="F299" s="418" t="n">
        <f aca="false">SQRT(acc_x^2+acc_z^2)</f>
        <v>9.05785968112263</v>
      </c>
      <c r="G299" s="419" t="n">
        <f aca="false">G298+acc_x*pas</f>
        <v>12.4849604980783</v>
      </c>
      <c r="H299" s="420" t="n">
        <f aca="false">H298+acc_z*pas</f>
        <v>-32.4176963657383</v>
      </c>
      <c r="I299" s="418" t="n">
        <f aca="false">SQRT(vit_x^2+vit_z^2)</f>
        <v>34.7387575526209</v>
      </c>
      <c r="J299" s="419" t="n">
        <f aca="false">J298+0.5*(vit_x+G298)*pas*(K298&gt;=0)</f>
        <v>154.375733611838</v>
      </c>
      <c r="K299" s="420" t="n">
        <f aca="false">K298+0.5*(vit_z+H298)*pas</f>
        <v>259.906328807727</v>
      </c>
      <c r="L299" s="418" t="n">
        <f aca="false">SQRT(pos_x^2+pos_z^2)</f>
        <v>302.296488372762</v>
      </c>
      <c r="M299" s="419" t="n">
        <f aca="false">IF(AND(L298&gt;L_rampe,G299&gt;0),ATAN2(G299,H299),$M$4)</f>
        <v>-1.20317606853837</v>
      </c>
      <c r="N299" s="418" t="n">
        <f aca="false">DEGREES(Beta)</f>
        <v>-68.9369107383914</v>
      </c>
      <c r="O299" s="402"/>
      <c r="P299" s="421" t="n">
        <f aca="false">MATCH(t-pas/2-T_ini,CdP_t)</f>
        <v>23</v>
      </c>
      <c r="Q299" s="418" t="n">
        <f aca="false">(INDEX(CdP,2,i_P+1)-INDEX(CdP,2,i_P+0))/(INDEX(CdP,1,i_P+1)-INDEX(CdP,1,i_P+0))*(t-pas/2-T_ini-INDEX(CdP,1,i_P+0))+INDEX(CdP,2,i_P+0)</f>
        <v>0</v>
      </c>
      <c r="R299" s="419" t="n">
        <f aca="false">Poussee/(g*ISP)</f>
        <v>0</v>
      </c>
      <c r="S299" s="420" t="n">
        <f aca="false">S298-Débit*pas</f>
        <v>1.4843</v>
      </c>
      <c r="T299" s="418" t="n">
        <f aca="false">m*g</f>
        <v>14.560983</v>
      </c>
      <c r="U299" s="422" t="n">
        <f aca="false">IF(pos_xz&lt;L_rampe,Poids*COS(Beta),0)</f>
        <v>0</v>
      </c>
      <c r="V299" s="419" t="n">
        <f aca="false">Rho_moyen*(20000-Alt_rampe-pos_z)/(20000+Alt_rampe+pos_z)</f>
        <v>1.19356991857492</v>
      </c>
      <c r="W299" s="418" t="n">
        <f aca="false">1/2*Rho*Sref*Cx*vit_xz^2</f>
        <v>1.26968261657702</v>
      </c>
      <c r="X299" s="402"/>
      <c r="Y299" s="423" t="str">
        <f aca="false">IF(AND(pos_z&lt;=0,K298&gt;0),"Impact balistique","") &amp; IF(AND(H300&lt;0,vit_z&gt;=0),"Apogée","") &amp; IF(AND(Poussee=0,Q298&gt;0),"Fin de propulsion","") &amp; IF(AND(L300&gt;L_rampe,pos_xz&lt;=L_rampe),"Sortie de rampe","")</f>
        <v/>
      </c>
      <c r="Z299" s="424" t="str">
        <f aca="false">IF(ABS(t-T_para)&lt;pas/2,"Para","")</f>
        <v/>
      </c>
      <c r="AA299" s="425" t="str">
        <f aca="false">IF(ABS(t-T_satellite)&lt;pas/2,"Satellite","")</f>
        <v/>
      </c>
      <c r="AB299" s="413"/>
      <c r="AC299" s="421" t="e">
        <f aca="false">IF(ABS(t-ROUND(t,0))&lt;0.001,t,NA())</f>
        <v>#N/A</v>
      </c>
      <c r="AD299" s="426" t="e">
        <f aca="false">IF(ABS(t-ROUND(t,0))&lt;0.001,pos_x,NA())</f>
        <v>#N/A</v>
      </c>
      <c r="AE299" s="427" t="n">
        <f aca="false">IF(t&lt;T_para, pos_z, NA())</f>
        <v>259.906328807727</v>
      </c>
      <c r="AF299" s="413"/>
      <c r="AG299" s="419" t="n">
        <f aca="false">IF(AND(L298&lt;L_rampe,Poussee&lt;Poids*SIN(M298)),0,(-W298+Poussee)/m-Poids*SIN(M298)/m)</f>
        <v>8.30264431597285</v>
      </c>
      <c r="AH299" s="418" t="n">
        <f aca="false">IF(AND(L298&lt;L_rampe,Poussee&lt;Poids*SIN(M298)), g*SIN(M298), (-W298+Poussee)/m)</f>
        <v>-0.814656854584656</v>
      </c>
    </row>
    <row r="300" customFormat="false" ht="12" hidden="false" customHeight="false" outlineLevel="0" collapsed="false">
      <c r="A300" s="417" t="n">
        <f aca="false">IF(B299+0.01&lt;=T_ini+ROUNDUP(Temps_fin_propu,0), 0.01, IF(K299&gt;0, 0.1, 0.0001))</f>
        <v>0.1</v>
      </c>
      <c r="B300" s="418" t="n">
        <f aca="false">B299+pas</f>
        <v>11.6</v>
      </c>
      <c r="C300" s="402"/>
      <c r="D300" s="419" t="n">
        <f aca="false">IF(AND(L299&lt;L_rampe,Poussee&lt;Poids*SIN(M299)),0,(-W299+Poussee)/m*COS(M299)-U299/m*SIN(M299))</f>
        <v>-0.307430093484903</v>
      </c>
      <c r="E300" s="420" t="n">
        <f aca="false">IF(AND(L299&lt;L_rampe,Poussee&lt;Poids*SIN(M299)),0,(-W299+Poussee)/m*SIN(M299)+U299/m*COS(M299)-Poids/m)</f>
        <v>-9.01174553809617</v>
      </c>
      <c r="F300" s="418" t="n">
        <f aca="false">SQRT(acc_x^2+acc_z^2)</f>
        <v>9.01698790648941</v>
      </c>
      <c r="G300" s="419" t="n">
        <f aca="false">G299+acc_x*pas</f>
        <v>12.4542174887298</v>
      </c>
      <c r="H300" s="420" t="n">
        <f aca="false">H299+acc_z*pas</f>
        <v>-33.3188709195479</v>
      </c>
      <c r="I300" s="418" t="n">
        <f aca="false">SQRT(vit_x^2+vit_z^2)</f>
        <v>35.5704187859811</v>
      </c>
      <c r="J300" s="419" t="n">
        <f aca="false">J299+0.5*(vit_x+G299)*pas*(K299&gt;=0)</f>
        <v>155.622692511179</v>
      </c>
      <c r="K300" s="420" t="n">
        <f aca="false">K299+0.5*(vit_z+H299)*pas</f>
        <v>256.619500443462</v>
      </c>
      <c r="L300" s="418" t="n">
        <f aca="false">SQRT(pos_x^2+pos_z^2)</f>
        <v>300.119960069771</v>
      </c>
      <c r="M300" s="419" t="n">
        <f aca="false">IF(AND(L299&gt;L_rampe,G300&gt;0),ATAN2(G300,H300),$M$4)</f>
        <v>-1.21308803973546</v>
      </c>
      <c r="N300" s="418" t="n">
        <f aca="false">DEGREES(Beta)</f>
        <v>-69.50482485464</v>
      </c>
      <c r="O300" s="402"/>
      <c r="P300" s="421" t="n">
        <f aca="false">MATCH(t-pas/2-T_ini,CdP_t)</f>
        <v>23</v>
      </c>
      <c r="Q300" s="418" t="n">
        <f aca="false">(INDEX(CdP,2,i_P+1)-INDEX(CdP,2,i_P+0))/(INDEX(CdP,1,i_P+1)-INDEX(CdP,1,i_P+0))*(t-pas/2-T_ini-INDEX(CdP,1,i_P+0))+INDEX(CdP,2,i_P+0)</f>
        <v>0</v>
      </c>
      <c r="R300" s="419" t="n">
        <f aca="false">Poussee/(g*ISP)</f>
        <v>0</v>
      </c>
      <c r="S300" s="420" t="n">
        <f aca="false">S299-Débit*pas</f>
        <v>1.4843</v>
      </c>
      <c r="T300" s="418" t="n">
        <f aca="false">m*g</f>
        <v>14.560983</v>
      </c>
      <c r="U300" s="422" t="n">
        <f aca="false">IF(pos_xz&lt;L_rampe,Poids*COS(Beta),0)</f>
        <v>0</v>
      </c>
      <c r="V300" s="419" t="n">
        <f aca="false">Rho_moyen*(20000-Alt_rampe-pos_z)/(20000+Alt_rampe+pos_z)</f>
        <v>1.19396235445047</v>
      </c>
      <c r="W300" s="418" t="n">
        <f aca="false">1/2*Rho*Sref*Cx*vit_xz^2</f>
        <v>1.33164154509482</v>
      </c>
      <c r="X300" s="402"/>
      <c r="Y300" s="423" t="str">
        <f aca="false">IF(AND(pos_z&lt;=0,K299&gt;0),"Impact balistique","") &amp; IF(AND(H301&lt;0,vit_z&gt;=0),"Apogée","") &amp; IF(AND(Poussee=0,Q299&gt;0),"Fin de propulsion","") &amp; IF(AND(L301&gt;L_rampe,pos_xz&lt;=L_rampe),"Sortie de rampe","")</f>
        <v/>
      </c>
      <c r="Z300" s="424" t="str">
        <f aca="false">IF(ABS(t-T_para)&lt;pas/2,"Para","")</f>
        <v/>
      </c>
      <c r="AA300" s="425" t="str">
        <f aca="false">IF(ABS(t-T_satellite)&lt;pas/2,"Satellite","")</f>
        <v/>
      </c>
      <c r="AB300" s="413"/>
      <c r="AC300" s="421" t="e">
        <f aca="false">IF(ABS(t-ROUND(t,0))&lt;0.001,t,NA())</f>
        <v>#N/A</v>
      </c>
      <c r="AD300" s="426" t="e">
        <f aca="false">IF(ABS(t-ROUND(t,0))&lt;0.001,pos_x,NA())</f>
        <v>#N/A</v>
      </c>
      <c r="AE300" s="427" t="n">
        <f aca="false">IF(t&lt;T_para, pos_z, NA())</f>
        <v>256.619500443462</v>
      </c>
      <c r="AF300" s="413"/>
      <c r="AG300" s="419" t="n">
        <f aca="false">IF(AND(L299&lt;L_rampe,Poussee&lt;Poids*SIN(M299)),0,(-W299+Poussee)/m-Poids*SIN(M299)/m)</f>
        <v>8.29913901121853</v>
      </c>
      <c r="AH300" s="418" t="n">
        <f aca="false">IF(AND(L299&lt;L_rampe,Poussee&lt;Poids*SIN(M299)), g*SIN(M299), (-W299+Poussee)/m)</f>
        <v>-0.855408351800188</v>
      </c>
    </row>
    <row r="301" customFormat="false" ht="12" hidden="false" customHeight="false" outlineLevel="0" collapsed="false">
      <c r="A301" s="417" t="n">
        <f aca="false">IF(B300+0.01&lt;=T_ini+ROUNDUP(Temps_fin_propu,0), 0.01, IF(K300&gt;0, 0.1, 0.0001))</f>
        <v>0.1</v>
      </c>
      <c r="B301" s="418" t="n">
        <f aca="false">B300+pas</f>
        <v>11.7</v>
      </c>
      <c r="C301" s="402"/>
      <c r="D301" s="419" t="n">
        <f aca="false">IF(AND(L300&lt;L_rampe,Poussee&lt;Poids*SIN(M300)),0,(-W300+Poussee)/m*COS(M300)-U300/m*SIN(M300))</f>
        <v>-0.314118211291729</v>
      </c>
      <c r="E301" s="420" t="n">
        <f aca="false">IF(AND(L300&lt;L_rampe,Poussee&lt;Poids*SIN(M300)),0,(-W300+Poussee)/m*SIN(M300)+U300/m*COS(M300)-Poids/m)</f>
        <v>-8.96963695471198</v>
      </c>
      <c r="F301" s="418" t="n">
        <f aca="false">SQRT(acc_x^2+acc_z^2)</f>
        <v>8.97513550594083</v>
      </c>
      <c r="G301" s="419" t="n">
        <f aca="false">G300+acc_x*pas</f>
        <v>12.4228056676007</v>
      </c>
      <c r="H301" s="420" t="n">
        <f aca="false">H300+acc_z*pas</f>
        <v>-34.2158346150191</v>
      </c>
      <c r="I301" s="418" t="n">
        <f aca="false">SQRT(vit_x^2+vit_z^2)</f>
        <v>36.4012285377473</v>
      </c>
      <c r="J301" s="419" t="n">
        <f aca="false">J300+0.5*(vit_x+G300)*pas*(K300&gt;=0)</f>
        <v>156.866543668995</v>
      </c>
      <c r="K301" s="420" t="n">
        <f aca="false">K300+0.5*(vit_z+H300)*pas</f>
        <v>253.242765166734</v>
      </c>
      <c r="L301" s="418" t="n">
        <f aca="false">SQRT(pos_x^2+pos_z^2)</f>
        <v>297.89093747872</v>
      </c>
      <c r="M301" s="419" t="n">
        <f aca="false">IF(AND(L300&gt;L_rampe,G301&gt;0),ATAN2(G301,H301),$M$4)</f>
        <v>-1.22252401683207</v>
      </c>
      <c r="N301" s="418" t="n">
        <f aca="false">DEGREES(Beta)</f>
        <v>-70.0454665178579</v>
      </c>
      <c r="O301" s="402"/>
      <c r="P301" s="421" t="n">
        <f aca="false">MATCH(t-pas/2-T_ini,CdP_t)</f>
        <v>23</v>
      </c>
      <c r="Q301" s="418" t="n">
        <f aca="false">(INDEX(CdP,2,i_P+1)-INDEX(CdP,2,i_P+0))/(INDEX(CdP,1,i_P+1)-INDEX(CdP,1,i_P+0))*(t-pas/2-T_ini-INDEX(CdP,1,i_P+0))+INDEX(CdP,2,i_P+0)</f>
        <v>0</v>
      </c>
      <c r="R301" s="419" t="n">
        <f aca="false">Poussee/(g*ISP)</f>
        <v>0</v>
      </c>
      <c r="S301" s="420" t="n">
        <f aca="false">S300-Débit*pas</f>
        <v>1.4843</v>
      </c>
      <c r="T301" s="418" t="n">
        <f aca="false">m*g</f>
        <v>14.560983</v>
      </c>
      <c r="U301" s="422" t="n">
        <f aca="false">IF(pos_xz&lt;L_rampe,Poids*COS(Beta),0)</f>
        <v>0</v>
      </c>
      <c r="V301" s="419" t="n">
        <f aca="false">Rho_moyen*(20000-Alt_rampe-pos_z)/(20000+Alt_rampe+pos_z)</f>
        <v>1.19436565754667</v>
      </c>
      <c r="W301" s="418" t="n">
        <f aca="false">1/2*Rho*Sref*Cx*vit_xz^2</f>
        <v>1.39504473841287</v>
      </c>
      <c r="X301" s="402"/>
      <c r="Y301" s="423" t="str">
        <f aca="false">IF(AND(pos_z&lt;=0,K300&gt;0),"Impact balistique","") &amp; IF(AND(H302&lt;0,vit_z&gt;=0),"Apogée","") &amp; IF(AND(Poussee=0,Q300&gt;0),"Fin de propulsion","") &amp; IF(AND(L302&gt;L_rampe,pos_xz&lt;=L_rampe),"Sortie de rampe","")</f>
        <v/>
      </c>
      <c r="Z301" s="424" t="str">
        <f aca="false">IF(ABS(t-T_para)&lt;pas/2,"Para","")</f>
        <v/>
      </c>
      <c r="AA301" s="425" t="str">
        <f aca="false">IF(ABS(t-T_satellite)&lt;pas/2,"Satellite","")</f>
        <v/>
      </c>
      <c r="AB301" s="413"/>
      <c r="AC301" s="421" t="e">
        <f aca="false">IF(ABS(t-ROUND(t,0))&lt;0.001,t,NA())</f>
        <v>#N/A</v>
      </c>
      <c r="AD301" s="426" t="e">
        <f aca="false">IF(ABS(t-ROUND(t,0))&lt;0.001,pos_x,NA())</f>
        <v>#N/A</v>
      </c>
      <c r="AE301" s="427" t="n">
        <f aca="false">IF(t&lt;T_para, pos_z, NA())</f>
        <v>253.242765166734</v>
      </c>
      <c r="AF301" s="413"/>
      <c r="AG301" s="419" t="n">
        <f aca="false">IF(AND(L300&lt;L_rampe,Poussee&lt;Poids*SIN(M300)),0,(-W300+Poussee)/m-Poids*SIN(M300)/m)</f>
        <v>8.29189223616619</v>
      </c>
      <c r="AH301" s="418" t="n">
        <f aca="false">IF(AND(L300&lt;L_rampe,Poussee&lt;Poids*SIN(M300)), g*SIN(M300), (-W300+Poussee)/m)</f>
        <v>-0.897151212756734</v>
      </c>
    </row>
    <row r="302" customFormat="false" ht="12" hidden="false" customHeight="false" outlineLevel="0" collapsed="false">
      <c r="A302" s="417" t="n">
        <f aca="false">IF(B301+0.01&lt;=T_ini+ROUNDUP(Temps_fin_propu,0), 0.01, IF(K301&gt;0, 0.1, 0.0001))</f>
        <v>0.1</v>
      </c>
      <c r="B302" s="418" t="n">
        <f aca="false">B301+pas</f>
        <v>11.8</v>
      </c>
      <c r="C302" s="402"/>
      <c r="D302" s="419" t="n">
        <f aca="false">IF(AND(L301&lt;L_rampe,Poussee&lt;Poids*SIN(M301)),0,(-W301+Poussee)/m*COS(M301)-U301/m*SIN(M301))</f>
        <v>-0.320752535599794</v>
      </c>
      <c r="E302" s="420" t="n">
        <f aca="false">IF(AND(L301&lt;L_rampe,Poussee&lt;Poids*SIN(M301)),0,(-W301+Poussee)/m*SIN(M301)+U301/m*COS(M301)-Poids/m)</f>
        <v>-8.92655901218406</v>
      </c>
      <c r="F302" s="418" t="n">
        <f aca="false">SQRT(acc_x^2+acc_z^2)</f>
        <v>8.93231985472409</v>
      </c>
      <c r="G302" s="419" t="n">
        <f aca="false">G301+acc_x*pas</f>
        <v>12.3907304140407</v>
      </c>
      <c r="H302" s="420" t="n">
        <f aca="false">H301+acc_z*pas</f>
        <v>-35.1084905162375</v>
      </c>
      <c r="I302" s="418" t="n">
        <f aca="false">SQRT(vit_x^2+vit_z^2)</f>
        <v>37.2308515417277</v>
      </c>
      <c r="J302" s="419" t="n">
        <f aca="false">J301+0.5*(vit_x+G301)*pas*(K301&gt;=0)</f>
        <v>158.107220473077</v>
      </c>
      <c r="K302" s="420" t="n">
        <f aca="false">K301+0.5*(vit_z+H301)*pas</f>
        <v>249.776548910171</v>
      </c>
      <c r="L302" s="418" t="n">
        <f aca="false">SQRT(pos_x^2+pos_z^2)</f>
        <v>295.611599148608</v>
      </c>
      <c r="M302" s="419" t="n">
        <f aca="false">IF(AND(L301&gt;L_rampe,G302&gt;0),ATAN2(G302,H302),$M$4)</f>
        <v>-1.23151641526398</v>
      </c>
      <c r="N302" s="418" t="n">
        <f aca="false">DEGREES(Beta)</f>
        <v>-70.5606929957067</v>
      </c>
      <c r="O302" s="402"/>
      <c r="P302" s="421" t="n">
        <f aca="false">MATCH(t-pas/2-T_ini,CdP_t)</f>
        <v>23</v>
      </c>
      <c r="Q302" s="418" t="n">
        <f aca="false">(INDEX(CdP,2,i_P+1)-INDEX(CdP,2,i_P+0))/(INDEX(CdP,1,i_P+1)-INDEX(CdP,1,i_P+0))*(t-pas/2-T_ini-INDEX(CdP,1,i_P+0))+INDEX(CdP,2,i_P+0)</f>
        <v>0</v>
      </c>
      <c r="R302" s="419" t="n">
        <f aca="false">Poussee/(g*ISP)</f>
        <v>0</v>
      </c>
      <c r="S302" s="420" t="n">
        <f aca="false">S301-Débit*pas</f>
        <v>1.4843</v>
      </c>
      <c r="T302" s="418" t="n">
        <f aca="false">m*g</f>
        <v>14.560983</v>
      </c>
      <c r="U302" s="422" t="n">
        <f aca="false">IF(pos_xz&lt;L_rampe,Poids*COS(Beta),0)</f>
        <v>0</v>
      </c>
      <c r="V302" s="419" t="n">
        <f aca="false">Rho_moyen*(20000-Alt_rampe-pos_z)/(20000+Alt_rampe+pos_z)</f>
        <v>1.19477978777436</v>
      </c>
      <c r="W302" s="418" t="n">
        <f aca="false">1/2*Rho*Sref*Cx*vit_xz^2</f>
        <v>1.45986451242457</v>
      </c>
      <c r="X302" s="402"/>
      <c r="Y302" s="423" t="str">
        <f aca="false">IF(AND(pos_z&lt;=0,K301&gt;0),"Impact balistique","") &amp; IF(AND(H303&lt;0,vit_z&gt;=0),"Apogée","") &amp; IF(AND(Poussee=0,Q301&gt;0),"Fin de propulsion","") &amp; IF(AND(L303&gt;L_rampe,pos_xz&lt;=L_rampe),"Sortie de rampe","")</f>
        <v/>
      </c>
      <c r="Z302" s="424" t="str">
        <f aca="false">IF(ABS(t-T_para)&lt;pas/2,"Para","")</f>
        <v/>
      </c>
      <c r="AA302" s="425" t="str">
        <f aca="false">IF(ABS(t-T_satellite)&lt;pas/2,"Satellite","")</f>
        <v/>
      </c>
      <c r="AB302" s="413"/>
      <c r="AC302" s="421" t="e">
        <f aca="false">IF(ABS(t-ROUND(t,0))&lt;0.001,t,NA())</f>
        <v>#N/A</v>
      </c>
      <c r="AD302" s="426" t="e">
        <f aca="false">IF(ABS(t-ROUND(t,0))&lt;0.001,pos_x,NA())</f>
        <v>#N/A</v>
      </c>
      <c r="AE302" s="427" t="n">
        <f aca="false">IF(t&lt;T_para, pos_z, NA())</f>
        <v>249.776548910171</v>
      </c>
      <c r="AF302" s="413"/>
      <c r="AG302" s="419" t="n">
        <f aca="false">IF(AND(L301&lt;L_rampe,Poussee&lt;Poids*SIN(M301)),0,(-W301+Poussee)/m-Poids*SIN(M301)/m)</f>
        <v>8.28117710676604</v>
      </c>
      <c r="AH302" s="418" t="n">
        <f aca="false">IF(AND(L301&lt;L_rampe,Poussee&lt;Poids*SIN(M301)), g*SIN(M301), (-W301+Poussee)/m)</f>
        <v>-0.939867101268524</v>
      </c>
    </row>
    <row r="303" customFormat="false" ht="12" hidden="false" customHeight="false" outlineLevel="0" collapsed="false">
      <c r="A303" s="417" t="n">
        <f aca="false">IF(B302+0.01&lt;=T_ini+ROUNDUP(Temps_fin_propu,0), 0.01, IF(K302&gt;0, 0.1, 0.0001))</f>
        <v>0.1</v>
      </c>
      <c r="B303" s="418" t="n">
        <f aca="false">B302+pas</f>
        <v>11.9</v>
      </c>
      <c r="C303" s="402"/>
      <c r="D303" s="419" t="n">
        <f aca="false">IF(AND(L302&lt;L_rampe,Poussee&lt;Poids*SIN(M302)),0,(-W302+Poussee)/m*COS(M302)-U302/m*SIN(M302))</f>
        <v>-0.327329240406274</v>
      </c>
      <c r="E303" s="420" t="n">
        <f aca="false">IF(AND(L302&lt;L_rampe,Poussee&lt;Poids*SIN(M302)),0,(-W302+Poussee)/m*SIN(M302)+U302/m*COS(M302)-Poids/m)</f>
        <v>-8.88252961298645</v>
      </c>
      <c r="F303" s="418" t="n">
        <f aca="false">SQRT(acc_x^2+acc_z^2)</f>
        <v>8.88855875590673</v>
      </c>
      <c r="G303" s="419" t="n">
        <f aca="false">G302+acc_x*pas</f>
        <v>12.3579974900001</v>
      </c>
      <c r="H303" s="420" t="n">
        <f aca="false">H302+acc_z*pas</f>
        <v>-35.9967434775361</v>
      </c>
      <c r="I303" s="418" t="n">
        <f aca="false">SQRT(vit_x^2+vit_z^2)</f>
        <v>38.058975852621</v>
      </c>
      <c r="J303" s="419" t="n">
        <f aca="false">J302+0.5*(vit_x+G302)*pas*(K302&gt;=0)</f>
        <v>159.34465686828</v>
      </c>
      <c r="K303" s="420" t="n">
        <f aca="false">K302+0.5*(vit_z+H302)*pas</f>
        <v>246.221287210483</v>
      </c>
      <c r="L303" s="418" t="n">
        <f aca="false">SQRT(pos_x^2+pos_z^2)</f>
        <v>293.284234059822</v>
      </c>
      <c r="M303" s="419" t="n">
        <f aca="false">IF(AND(L302&gt;L_rampe,G303&gt;0),ATAN2(G303,H303),$M$4)</f>
        <v>-1.24009491170071</v>
      </c>
      <c r="N303" s="418" t="n">
        <f aca="false">DEGREES(Beta)</f>
        <v>-71.0522046360989</v>
      </c>
      <c r="O303" s="402"/>
      <c r="P303" s="421" t="n">
        <f aca="false">MATCH(t-pas/2-T_ini,CdP_t)</f>
        <v>23</v>
      </c>
      <c r="Q303" s="418" t="n">
        <f aca="false">(INDEX(CdP,2,i_P+1)-INDEX(CdP,2,i_P+0))/(INDEX(CdP,1,i_P+1)-INDEX(CdP,1,i_P+0))*(t-pas/2-T_ini-INDEX(CdP,1,i_P+0))+INDEX(CdP,2,i_P+0)</f>
        <v>0</v>
      </c>
      <c r="R303" s="419" t="n">
        <f aca="false">Poussee/(g*ISP)</f>
        <v>0</v>
      </c>
      <c r="S303" s="420" t="n">
        <f aca="false">S302-Débit*pas</f>
        <v>1.4843</v>
      </c>
      <c r="T303" s="418" t="n">
        <f aca="false">m*g</f>
        <v>14.560983</v>
      </c>
      <c r="U303" s="422" t="n">
        <f aca="false">IF(pos_xz&lt;L_rampe,Poids*COS(Beta),0)</f>
        <v>0</v>
      </c>
      <c r="V303" s="419" t="n">
        <f aca="false">Rho_moyen*(20000-Alt_rampe-pos_z)/(20000+Alt_rampe+pos_z)</f>
        <v>1.19520470412191</v>
      </c>
      <c r="W303" s="418" t="n">
        <f aca="false">1/2*Rho*Sref*Cx*vit_xz^2</f>
        <v>1.52607273854201</v>
      </c>
      <c r="X303" s="402"/>
      <c r="Y303" s="423" t="str">
        <f aca="false">IF(AND(pos_z&lt;=0,K302&gt;0),"Impact balistique","") &amp; IF(AND(H304&lt;0,vit_z&gt;=0),"Apogée","") &amp; IF(AND(Poussee=0,Q302&gt;0),"Fin de propulsion","") &amp; IF(AND(L304&gt;L_rampe,pos_xz&lt;=L_rampe),"Sortie de rampe","")</f>
        <v/>
      </c>
      <c r="Z303" s="424" t="str">
        <f aca="false">IF(ABS(t-T_para)&lt;pas/2,"Para","")</f>
        <v/>
      </c>
      <c r="AA303" s="425" t="str">
        <f aca="false">IF(ABS(t-T_satellite)&lt;pas/2,"Satellite","")</f>
        <v/>
      </c>
      <c r="AB303" s="413"/>
      <c r="AC303" s="421" t="e">
        <f aca="false">IF(ABS(t-ROUND(t,0))&lt;0.001,t,NA())</f>
        <v>#N/A</v>
      </c>
      <c r="AD303" s="426" t="e">
        <f aca="false">IF(ABS(t-ROUND(t,0))&lt;0.001,pos_x,NA())</f>
        <v>#N/A</v>
      </c>
      <c r="AE303" s="427" t="n">
        <f aca="false">IF(t&lt;T_para, pos_z, NA())</f>
        <v>246.221287210483</v>
      </c>
      <c r="AF303" s="413"/>
      <c r="AG303" s="419" t="n">
        <f aca="false">IF(AND(L302&lt;L_rampe,Poussee&lt;Poids*SIN(M302)),0,(-W302+Poussee)/m-Poids*SIN(M302)/m)</f>
        <v>8.26723928025803</v>
      </c>
      <c r="AH303" s="418" t="n">
        <f aca="false">IF(AND(L302&lt;L_rampe,Poussee&lt;Poids*SIN(M302)), g*SIN(M302), (-W302+Poussee)/m)</f>
        <v>-0.983537366047682</v>
      </c>
    </row>
    <row r="304" customFormat="false" ht="12" hidden="false" customHeight="false" outlineLevel="0" collapsed="false">
      <c r="A304" s="417" t="n">
        <f aca="false">IF(B303+0.01&lt;=T_ini+ROUNDUP(Temps_fin_propu,0), 0.01, IF(K303&gt;0, 0.1, 0.0001))</f>
        <v>0.1</v>
      </c>
      <c r="B304" s="418" t="n">
        <f aca="false">B303+pas</f>
        <v>12</v>
      </c>
      <c r="C304" s="402"/>
      <c r="D304" s="419" t="n">
        <f aca="false">IF(AND(L303&lt;L_rampe,Poussee&lt;Poids*SIN(M303)),0,(-W303+Poussee)/m*COS(M303)-U303/m*SIN(M303))</f>
        <v>-0.333844750813848</v>
      </c>
      <c r="E304" s="420" t="n">
        <f aca="false">IF(AND(L303&lt;L_rampe,Poussee&lt;Poids*SIN(M303)),0,(-W303+Poussee)/m*SIN(M303)+U303/m*COS(M303)-Poids/m)</f>
        <v>-8.83756705800496</v>
      </c>
      <c r="F304" s="418" t="n">
        <f aca="false">SQRT(acc_x^2+acc_z^2)</f>
        <v>8.8438704096329</v>
      </c>
      <c r="G304" s="419" t="n">
        <f aca="false">G303+acc_x*pas</f>
        <v>12.3246130149187</v>
      </c>
      <c r="H304" s="420" t="n">
        <f aca="false">H303+acc_z*pas</f>
        <v>-36.8805001833366</v>
      </c>
      <c r="I304" s="418" t="n">
        <f aca="false">SQRT(vit_x^2+vit_z^2)</f>
        <v>38.8853105907693</v>
      </c>
      <c r="J304" s="419" t="n">
        <f aca="false">J303+0.5*(vit_x+G303)*pas*(K303&gt;=0)</f>
        <v>160.578787393525</v>
      </c>
      <c r="K304" s="420" t="n">
        <f aca="false">K303+0.5*(vit_z+H303)*pas</f>
        <v>242.577425027439</v>
      </c>
      <c r="L304" s="418" t="n">
        <f aca="false">SQRT(pos_x^2+pos_z^2)</f>
        <v>290.911247795127</v>
      </c>
      <c r="M304" s="419" t="n">
        <f aca="false">IF(AND(L303&gt;L_rampe,G304&gt;0),ATAN2(G304,H304),$M$4)</f>
        <v>-1.24828671089109</v>
      </c>
      <c r="N304" s="418" t="n">
        <f aca="false">DEGREES(Beta)</f>
        <v>-71.5215601563266</v>
      </c>
      <c r="O304" s="402"/>
      <c r="P304" s="421" t="n">
        <f aca="false">MATCH(t-pas/2-T_ini,CdP_t)</f>
        <v>23</v>
      </c>
      <c r="Q304" s="418" t="n">
        <f aca="false">(INDEX(CdP,2,i_P+1)-INDEX(CdP,2,i_P+0))/(INDEX(CdP,1,i_P+1)-INDEX(CdP,1,i_P+0))*(t-pas/2-T_ini-INDEX(CdP,1,i_P+0))+INDEX(CdP,2,i_P+0)</f>
        <v>0</v>
      </c>
      <c r="R304" s="419" t="n">
        <f aca="false">Poussee/(g*ISP)</f>
        <v>0</v>
      </c>
      <c r="S304" s="420" t="n">
        <f aca="false">S303-Débit*pas</f>
        <v>1.4843</v>
      </c>
      <c r="T304" s="418" t="n">
        <f aca="false">m*g</f>
        <v>14.560983</v>
      </c>
      <c r="U304" s="422" t="n">
        <f aca="false">IF(pos_xz&lt;L_rampe,Poids*COS(Beta),0)</f>
        <v>0</v>
      </c>
      <c r="V304" s="419" t="n">
        <f aca="false">Rho_moyen*(20000-Alt_rampe-pos_z)/(20000+Alt_rampe+pos_z)</f>
        <v>1.19564036467103</v>
      </c>
      <c r="W304" s="418" t="n">
        <f aca="false">1/2*Rho*Sref*Cx*vit_xz^2</f>
        <v>1.59364086718534</v>
      </c>
      <c r="X304" s="402"/>
      <c r="Y304" s="423" t="str">
        <f aca="false">IF(AND(pos_z&lt;=0,K303&gt;0),"Impact balistique","") &amp; IF(AND(H305&lt;0,vit_z&gt;=0),"Apogée","") &amp; IF(AND(Poussee=0,Q303&gt;0),"Fin de propulsion","") &amp; IF(AND(L305&gt;L_rampe,pos_xz&lt;=L_rampe),"Sortie de rampe","")</f>
        <v/>
      </c>
      <c r="Z304" s="424" t="str">
        <f aca="false">IF(ABS(t-T_para)&lt;pas/2,"Para","")</f>
        <v>Para</v>
      </c>
      <c r="AA304" s="425" t="str">
        <f aca="false">IF(ABS(t-T_satellite)&lt;pas/2,"Satellite","")</f>
        <v/>
      </c>
      <c r="AB304" s="413"/>
      <c r="AC304" s="421" t="n">
        <f aca="false">IF(ABS(t-ROUND(t,0))&lt;0.001,t,NA())</f>
        <v>12</v>
      </c>
      <c r="AD304" s="426" t="n">
        <f aca="false">IF(ABS(t-ROUND(t,0))&lt;0.001,pos_x,NA())</f>
        <v>160.578787393525</v>
      </c>
      <c r="AE304" s="427" t="e">
        <f aca="false">IF(t&lt;T_para, pos_z, NA())</f>
        <v>#N/A</v>
      </c>
      <c r="AF304" s="413"/>
      <c r="AG304" s="419" t="n">
        <f aca="false">IF(AND(L303&lt;L_rampe,Poussee&lt;Poids*SIN(M303)),0,(-W303+Poussee)/m-Poids*SIN(M303)/m)</f>
        <v>8.25030034901207</v>
      </c>
      <c r="AH304" s="418" t="n">
        <f aca="false">IF(AND(L303&lt;L_rampe,Poussee&lt;Poids*SIN(M303)), g*SIN(M303), (-W303+Poussee)/m)</f>
        <v>-1.02814305635115</v>
      </c>
    </row>
    <row r="305" customFormat="false" ht="12" hidden="false" customHeight="false" outlineLevel="0" collapsed="false">
      <c r="A305" s="417" t="n">
        <f aca="false">IF(B304+0.01&lt;=T_ini+ROUNDUP(Temps_fin_propu,0), 0.01, IF(K304&gt;0, 0.1, 0.0001))</f>
        <v>0.1</v>
      </c>
      <c r="B305" s="418" t="n">
        <f aca="false">B304+pas</f>
        <v>12.1</v>
      </c>
      <c r="C305" s="402"/>
      <c r="D305" s="419" t="n">
        <f aca="false">IF(AND(L304&lt;L_rampe,Poussee&lt;Poids*SIN(M304)),0,(-W304+Poussee)/m*COS(M304)-U304/m*SIN(M304))</f>
        <v>-0.340295722603434</v>
      </c>
      <c r="E305" s="420" t="n">
        <f aca="false">IF(AND(L304&lt;L_rampe,Poussee&lt;Poids*SIN(M304)),0,(-W304+Poussee)/m*SIN(M304)+U304/m*COS(M304)-Poids/m)</f>
        <v>-8.79169001779831</v>
      </c>
      <c r="F305" s="418" t="n">
        <f aca="false">SQRT(acc_x^2+acc_z^2)</f>
        <v>8.79827338447019</v>
      </c>
      <c r="G305" s="419" t="n">
        <f aca="false">G304+acc_x*pas</f>
        <v>12.2905834426583</v>
      </c>
      <c r="H305" s="420" t="n">
        <f aca="false">H304+acc_z*pas</f>
        <v>-37.7596691851165</v>
      </c>
      <c r="I305" s="418" t="n">
        <f aca="false">SQRT(vit_x^2+vit_z^2)</f>
        <v>39.7095839606811</v>
      </c>
      <c r="J305" s="419" t="n">
        <f aca="false">J304+0.5*(vit_x+G304)*pas*(K304&gt;=0)</f>
        <v>161.809547216404</v>
      </c>
      <c r="K305" s="420" t="n">
        <f aca="false">K304+0.5*(vit_z+H304)*pas</f>
        <v>238.845416559016</v>
      </c>
      <c r="L305" s="418" t="n">
        <f aca="false">SQRT(pos_x^2+pos_z^2)</f>
        <v>288.495169078492</v>
      </c>
      <c r="M305" s="419" t="n">
        <f aca="false">IF(AND(L304&gt;L_rampe,G305&gt;0),ATAN2(G305,H305),$M$4)</f>
        <v>-1.25611678419038</v>
      </c>
      <c r="N305" s="418" t="n">
        <f aca="false">DEGREES(Beta)</f>
        <v>-71.9701903096539</v>
      </c>
      <c r="O305" s="402"/>
      <c r="P305" s="421" t="n">
        <f aca="false">MATCH(t-pas/2-T_ini,CdP_t)</f>
        <v>23</v>
      </c>
      <c r="Q305" s="418" t="n">
        <f aca="false">(INDEX(CdP,2,i_P+1)-INDEX(CdP,2,i_P+0))/(INDEX(CdP,1,i_P+1)-INDEX(CdP,1,i_P+0))*(t-pas/2-T_ini-INDEX(CdP,1,i_P+0))+INDEX(CdP,2,i_P+0)</f>
        <v>0</v>
      </c>
      <c r="R305" s="419" t="n">
        <f aca="false">Poussee/(g*ISP)</f>
        <v>0</v>
      </c>
      <c r="S305" s="420" t="n">
        <f aca="false">S304-Débit*pas</f>
        <v>1.4843</v>
      </c>
      <c r="T305" s="418" t="n">
        <f aca="false">m*g</f>
        <v>14.560983</v>
      </c>
      <c r="U305" s="422" t="n">
        <f aca="false">IF(pos_xz&lt;L_rampe,Poids*COS(Beta),0)</f>
        <v>0</v>
      </c>
      <c r="V305" s="419" t="n">
        <f aca="false">Rho_moyen*(20000-Alt_rampe-pos_z)/(20000+Alt_rampe+pos_z)</f>
        <v>1.19608672661283</v>
      </c>
      <c r="W305" s="418" t="n">
        <f aca="false">1/2*Rho*Sref*Cx*vit_xz^2</f>
        <v>1.66253995149264</v>
      </c>
      <c r="X305" s="402"/>
      <c r="Y305" s="423" t="str">
        <f aca="false">IF(AND(pos_z&lt;=0,K304&gt;0),"Impact balistique","") &amp; IF(AND(H306&lt;0,vit_z&gt;=0),"Apogée","") &amp; IF(AND(Poussee=0,Q304&gt;0),"Fin de propulsion","") &amp; IF(AND(L306&gt;L_rampe,pos_xz&lt;=L_rampe),"Sortie de rampe","")</f>
        <v/>
      </c>
      <c r="Z305" s="424" t="str">
        <f aca="false">IF(ABS(t-T_para)&lt;pas/2,"Para","")</f>
        <v/>
      </c>
      <c r="AA305" s="425" t="str">
        <f aca="false">IF(ABS(t-T_satellite)&lt;pas/2,"Satellite","")</f>
        <v/>
      </c>
      <c r="AB305" s="413"/>
      <c r="AC305" s="421" t="e">
        <f aca="false">IF(ABS(t-ROUND(t,0))&lt;0.001,t,NA())</f>
        <v>#N/A</v>
      </c>
      <c r="AD305" s="426" t="e">
        <f aca="false">IF(ABS(t-ROUND(t,0))&lt;0.001,pos_x,NA())</f>
        <v>#N/A</v>
      </c>
      <c r="AE305" s="427" t="e">
        <f aca="false">IF(t&lt;T_para, pos_z, NA())</f>
        <v>#N/A</v>
      </c>
      <c r="AF305" s="413"/>
      <c r="AG305" s="419" t="n">
        <f aca="false">IF(AND(L304&lt;L_rampe,Poussee&lt;Poids*SIN(M304)),0,(-W304+Poussee)/m-Poids*SIN(M304)/m)</f>
        <v>8.2305607788434</v>
      </c>
      <c r="AH305" s="418" t="n">
        <f aca="false">IF(AND(L304&lt;L_rampe,Poussee&lt;Poids*SIN(M304)), g*SIN(M304), (-W304+Poussee)/m)</f>
        <v>-1.07366493780593</v>
      </c>
    </row>
    <row r="306" customFormat="false" ht="12" hidden="false" customHeight="false" outlineLevel="0" collapsed="false">
      <c r="A306" s="417" t="n">
        <f aca="false">IF(B305+0.01&lt;=T_ini+ROUNDUP(Temps_fin_propu,0), 0.01, IF(K305&gt;0, 0.1, 0.0001))</f>
        <v>0.1</v>
      </c>
      <c r="B306" s="418" t="n">
        <f aca="false">B305+pas</f>
        <v>12.2</v>
      </c>
      <c r="C306" s="402"/>
      <c r="D306" s="419" t="n">
        <f aca="false">IF(AND(L305&lt;L_rampe,Poussee&lt;Poids*SIN(M305)),0,(-W305+Poussee)/m*COS(M305)-U305/m*SIN(M305))</f>
        <v>-0.346679024291864</v>
      </c>
      <c r="E306" s="420" t="n">
        <f aca="false">IF(AND(L305&lt;L_rampe,Poussee&lt;Poids*SIN(M305)),0,(-W305+Poussee)/m*SIN(M305)+U305/m*COS(M305)-Poids/m)</f>
        <v>-8.74491750560473</v>
      </c>
      <c r="F306" s="418" t="n">
        <f aca="false">SQRT(acc_x^2+acc_z^2)</f>
        <v>8.75178659050345</v>
      </c>
      <c r="G306" s="419" t="n">
        <f aca="false">G305+acc_x*pas</f>
        <v>12.2559155402292</v>
      </c>
      <c r="H306" s="420" t="n">
        <f aca="false">H305+acc_z*pas</f>
        <v>-38.6341609356769</v>
      </c>
      <c r="I306" s="418" t="n">
        <f aca="false">SQRT(vit_x^2+vit_z^2)</f>
        <v>40.531541506992</v>
      </c>
      <c r="J306" s="419" t="n">
        <f aca="false">J305+0.5*(vit_x+G305)*pas*(K305&gt;=0)</f>
        <v>163.036872165549</v>
      </c>
      <c r="K306" s="420" t="n">
        <f aca="false">K305+0.5*(vit_z+H305)*pas</f>
        <v>235.025725052977</v>
      </c>
      <c r="L306" s="418" t="n">
        <f aca="false">SQRT(pos_x^2+pos_z^2)</f>
        <v>286.038656692068</v>
      </c>
      <c r="M306" s="419" t="n">
        <f aca="false">IF(AND(L305&gt;L_rampe,G306&gt;0),ATAN2(G306,H306),$M$4)</f>
        <v>-1.26360808283623</v>
      </c>
      <c r="N306" s="418" t="n">
        <f aca="false">DEGREES(Beta)</f>
        <v>-72.3994101051335</v>
      </c>
      <c r="O306" s="402"/>
      <c r="P306" s="421" t="n">
        <f aca="false">MATCH(t-pas/2-T_ini,CdP_t)</f>
        <v>23</v>
      </c>
      <c r="Q306" s="418" t="n">
        <f aca="false">(INDEX(CdP,2,i_P+1)-INDEX(CdP,2,i_P+0))/(INDEX(CdP,1,i_P+1)-INDEX(CdP,1,i_P+0))*(t-pas/2-T_ini-INDEX(CdP,1,i_P+0))+INDEX(CdP,2,i_P+0)</f>
        <v>0</v>
      </c>
      <c r="R306" s="419" t="n">
        <f aca="false">Poussee/(g*ISP)</f>
        <v>0</v>
      </c>
      <c r="S306" s="420" t="n">
        <f aca="false">S305-Débit*pas</f>
        <v>1.4843</v>
      </c>
      <c r="T306" s="418" t="n">
        <f aca="false">m*g</f>
        <v>14.560983</v>
      </c>
      <c r="U306" s="422" t="n">
        <f aca="false">IF(pos_xz&lt;L_rampe,Poids*COS(Beta),0)</f>
        <v>0</v>
      </c>
      <c r="V306" s="419" t="n">
        <f aca="false">Rho_moyen*(20000-Alt_rampe-pos_z)/(20000+Alt_rampe+pos_z)</f>
        <v>1.19654374626434</v>
      </c>
      <c r="W306" s="418" t="n">
        <f aca="false">1/2*Rho*Sref*Cx*vit_xz^2</f>
        <v>1.73274067120779</v>
      </c>
      <c r="X306" s="402"/>
      <c r="Y306" s="423" t="str">
        <f aca="false">IF(AND(pos_z&lt;=0,K305&gt;0),"Impact balistique","") &amp; IF(AND(H307&lt;0,vit_z&gt;=0),"Apogée","") &amp; IF(AND(Poussee=0,Q305&gt;0),"Fin de propulsion","") &amp; IF(AND(L307&gt;L_rampe,pos_xz&lt;=L_rampe),"Sortie de rampe","")</f>
        <v/>
      </c>
      <c r="Z306" s="424" t="str">
        <f aca="false">IF(ABS(t-T_para)&lt;pas/2,"Para","")</f>
        <v/>
      </c>
      <c r="AA306" s="425" t="str">
        <f aca="false">IF(ABS(t-T_satellite)&lt;pas/2,"Satellite","")</f>
        <v/>
      </c>
      <c r="AB306" s="413"/>
      <c r="AC306" s="421" t="e">
        <f aca="false">IF(ABS(t-ROUND(t,0))&lt;0.001,t,NA())</f>
        <v>#N/A</v>
      </c>
      <c r="AD306" s="426" t="e">
        <f aca="false">IF(ABS(t-ROUND(t,0))&lt;0.001,pos_x,NA())</f>
        <v>#N/A</v>
      </c>
      <c r="AE306" s="427" t="e">
        <f aca="false">IF(t&lt;T_para, pos_z, NA())</f>
        <v>#N/A</v>
      </c>
      <c r="AF306" s="413"/>
      <c r="AG306" s="419" t="n">
        <f aca="false">IF(AND(L305&lt;L_rampe,Poussee&lt;Poids*SIN(M305)),0,(-W305+Poussee)/m-Poids*SIN(M305)/m)</f>
        <v>8.20820245585115</v>
      </c>
      <c r="AH306" s="418" t="n">
        <f aca="false">IF(AND(L305&lt;L_rampe,Poussee&lt;Poids*SIN(M305)), g*SIN(M305), (-W305+Poussee)/m)</f>
        <v>-1.12008350838284</v>
      </c>
    </row>
    <row r="307" customFormat="false" ht="12" hidden="false" customHeight="false" outlineLevel="0" collapsed="false">
      <c r="A307" s="417" t="n">
        <f aca="false">IF(B306+0.01&lt;=T_ini+ROUNDUP(Temps_fin_propu,0), 0.01, IF(K306&gt;0, 0.1, 0.0001))</f>
        <v>0.1</v>
      </c>
      <c r="B307" s="418" t="n">
        <f aca="false">B306+pas</f>
        <v>12.3</v>
      </c>
      <c r="C307" s="402"/>
      <c r="D307" s="419" t="n">
        <f aca="false">IF(AND(L306&lt;L_rampe,Poussee&lt;Poids*SIN(M306)),0,(-W306+Poussee)/m*COS(M306)-U306/m*SIN(M306))</f>
        <v>-0.352991721337803</v>
      </c>
      <c r="E307" s="420" t="n">
        <f aca="false">IF(AND(L306&lt;L_rampe,Poussee&lt;Poids*SIN(M306)),0,(-W306+Poussee)/m*SIN(M306)+U306/m*COS(M306)-Poids/m)</f>
        <v>-8.69726885181592</v>
      </c>
      <c r="F307" s="418" t="n">
        <f aca="false">SQRT(acc_x^2+acc_z^2)</f>
        <v>8.70442925389715</v>
      </c>
      <c r="G307" s="419" t="n">
        <f aca="false">G306+acc_x*pas</f>
        <v>12.2206163680954</v>
      </c>
      <c r="H307" s="420" t="n">
        <f aca="false">H306+acc_z*pas</f>
        <v>-39.5038878208585</v>
      </c>
      <c r="I307" s="418" t="n">
        <f aca="false">SQRT(vit_x^2+vit_z^2)</f>
        <v>41.3509445766253</v>
      </c>
      <c r="J307" s="419" t="n">
        <f aca="false">J306+0.5*(vit_x+G306)*pas*(K306&gt;=0)</f>
        <v>164.260698760965</v>
      </c>
      <c r="K307" s="420" t="n">
        <f aca="false">K306+0.5*(vit_z+H306)*pas</f>
        <v>231.11882261515</v>
      </c>
      <c r="L307" s="418" t="n">
        <f aca="false">SQRT(pos_x^2+pos_z^2)</f>
        <v>283.544506778836</v>
      </c>
      <c r="M307" s="419" t="n">
        <f aca="false">IF(AND(L306&gt;L_rampe,G307&gt;0),ATAN2(G307,H307),$M$4)</f>
        <v>-1.27078172874141</v>
      </c>
      <c r="N307" s="418" t="n">
        <f aca="false">DEGREES(Beta)</f>
        <v>-72.8104297392214</v>
      </c>
      <c r="O307" s="402"/>
      <c r="P307" s="421" t="n">
        <f aca="false">MATCH(t-pas/2-T_ini,CdP_t)</f>
        <v>23</v>
      </c>
      <c r="Q307" s="418" t="n">
        <f aca="false">(INDEX(CdP,2,i_P+1)-INDEX(CdP,2,i_P+0))/(INDEX(CdP,1,i_P+1)-INDEX(CdP,1,i_P+0))*(t-pas/2-T_ini-INDEX(CdP,1,i_P+0))+INDEX(CdP,2,i_P+0)</f>
        <v>0</v>
      </c>
      <c r="R307" s="419" t="n">
        <f aca="false">Poussee/(g*ISP)</f>
        <v>0</v>
      </c>
      <c r="S307" s="420" t="n">
        <f aca="false">S306-Débit*pas</f>
        <v>1.4843</v>
      </c>
      <c r="T307" s="418" t="n">
        <f aca="false">m*g</f>
        <v>14.560983</v>
      </c>
      <c r="U307" s="422" t="n">
        <f aca="false">IF(pos_xz&lt;L_rampe,Poids*COS(Beta),0)</f>
        <v>0</v>
      </c>
      <c r="V307" s="419" t="n">
        <f aca="false">Rho_moyen*(20000-Alt_rampe-pos_z)/(20000+Alt_rampe+pos_z)</f>
        <v>1.19701137908527</v>
      </c>
      <c r="W307" s="418" t="n">
        <f aca="false">1/2*Rho*Sref*Cx*vit_xz^2</f>
        <v>1.80421335670549</v>
      </c>
      <c r="X307" s="402"/>
      <c r="Y307" s="423" t="str">
        <f aca="false">IF(AND(pos_z&lt;=0,K306&gt;0),"Impact balistique","") &amp; IF(AND(H308&lt;0,vit_z&gt;=0),"Apogée","") &amp; IF(AND(Poussee=0,Q306&gt;0),"Fin de propulsion","") &amp; IF(AND(L308&gt;L_rampe,pos_xz&lt;=L_rampe),"Sortie de rampe","")</f>
        <v/>
      </c>
      <c r="Z307" s="424" t="str">
        <f aca="false">IF(ABS(t-T_para)&lt;pas/2,"Para","")</f>
        <v/>
      </c>
      <c r="AA307" s="425" t="str">
        <f aca="false">IF(ABS(t-T_satellite)&lt;pas/2,"Satellite","")</f>
        <v/>
      </c>
      <c r="AB307" s="413"/>
      <c r="AC307" s="421" t="e">
        <f aca="false">IF(ABS(t-ROUND(t,0))&lt;0.001,t,NA())</f>
        <v>#N/A</v>
      </c>
      <c r="AD307" s="426" t="e">
        <f aca="false">IF(ABS(t-ROUND(t,0))&lt;0.001,pos_x,NA())</f>
        <v>#N/A</v>
      </c>
      <c r="AE307" s="427" t="e">
        <f aca="false">IF(t&lt;T_para, pos_z, NA())</f>
        <v>#N/A</v>
      </c>
      <c r="AF307" s="413"/>
      <c r="AG307" s="419" t="n">
        <f aca="false">IF(AND(L306&lt;L_rampe,Poussee&lt;Poids*SIN(M306)),0,(-W306+Poussee)/m-Poids*SIN(M306)/m)</f>
        <v>8.18339089673093</v>
      </c>
      <c r="AH307" s="418" t="n">
        <f aca="false">IF(AND(L306&lt;L_rampe,Poussee&lt;Poids*SIN(M306)), g*SIN(M306), (-W306+Poussee)/m)</f>
        <v>-1.16737901449019</v>
      </c>
    </row>
    <row r="308" customFormat="false" ht="12" hidden="false" customHeight="false" outlineLevel="0" collapsed="false">
      <c r="A308" s="417" t="n">
        <f aca="false">IF(B307+0.01&lt;=T_ini+ROUNDUP(Temps_fin_propu,0), 0.01, IF(K307&gt;0, 0.1, 0.0001))</f>
        <v>0.1</v>
      </c>
      <c r="B308" s="418" t="n">
        <f aca="false">B307+pas</f>
        <v>12.4</v>
      </c>
      <c r="C308" s="402"/>
      <c r="D308" s="419" t="n">
        <f aca="false">IF(AND(L307&lt;L_rampe,Poussee&lt;Poids*SIN(M307)),0,(-W307+Poussee)/m*COS(M307)-U307/m*SIN(M307))</f>
        <v>-0.359231062206657</v>
      </c>
      <c r="E308" s="420" t="n">
        <f aca="false">IF(AND(L307&lt;L_rampe,Poussee&lt;Poids*SIN(M307)),0,(-W307+Poussee)/m*SIN(M307)+U307/m*COS(M307)-Poids/m)</f>
        <v>-8.64876367969226</v>
      </c>
      <c r="F308" s="418" t="n">
        <f aca="false">SQRT(acc_x^2+acc_z^2)</f>
        <v>8.65622089270012</v>
      </c>
      <c r="G308" s="419" t="n">
        <f aca="false">G307+acc_x*pas</f>
        <v>12.1846932618747</v>
      </c>
      <c r="H308" s="420" t="n">
        <f aca="false">H307+acc_z*pas</f>
        <v>-40.3687641888278</v>
      </c>
      <c r="I308" s="418" t="n">
        <f aca="false">SQRT(vit_x^2+vit_z^2)</f>
        <v>42.1675689602704</v>
      </c>
      <c r="J308" s="419" t="n">
        <f aca="false">J307+0.5*(vit_x+G307)*pas*(K307&gt;=0)</f>
        <v>165.480964242463</v>
      </c>
      <c r="K308" s="420" t="n">
        <f aca="false">K307+0.5*(vit_z+H307)*pas</f>
        <v>227.125190014666</v>
      </c>
      <c r="L308" s="418" t="n">
        <f aca="false">SQRT(pos_x^2+pos_z^2)</f>
        <v>281.015660534806</v>
      </c>
      <c r="M308" s="419" t="n">
        <f aca="false">IF(AND(L307&gt;L_rampe,G308&gt;0),ATAN2(G308,H308),$M$4)</f>
        <v>-1.27765718528571</v>
      </c>
      <c r="N308" s="418" t="n">
        <f aca="false">DEGREES(Beta)</f>
        <v>-73.2043643814354</v>
      </c>
      <c r="O308" s="402"/>
      <c r="P308" s="421" t="n">
        <f aca="false">MATCH(t-pas/2-T_ini,CdP_t)</f>
        <v>23</v>
      </c>
      <c r="Q308" s="418" t="n">
        <f aca="false">(INDEX(CdP,2,i_P+1)-INDEX(CdP,2,i_P+0))/(INDEX(CdP,1,i_P+1)-INDEX(CdP,1,i_P+0))*(t-pas/2-T_ini-INDEX(CdP,1,i_P+0))+INDEX(CdP,2,i_P+0)</f>
        <v>0</v>
      </c>
      <c r="R308" s="419" t="n">
        <f aca="false">Poussee/(g*ISP)</f>
        <v>0</v>
      </c>
      <c r="S308" s="420" t="n">
        <f aca="false">S307-Débit*pas</f>
        <v>1.4843</v>
      </c>
      <c r="T308" s="418" t="n">
        <f aca="false">m*g</f>
        <v>14.560983</v>
      </c>
      <c r="U308" s="422" t="n">
        <f aca="false">IF(pos_xz&lt;L_rampe,Poids*COS(Beta),0)</f>
        <v>0</v>
      </c>
      <c r="V308" s="419" t="n">
        <f aca="false">Rho_moyen*(20000-Alt_rampe-pos_z)/(20000+Alt_rampe+pos_z)</f>
        <v>1.19748957969516</v>
      </c>
      <c r="W308" s="418" t="n">
        <f aca="false">1/2*Rho*Sref*Cx*vit_xz^2</f>
        <v>1.87692801311441</v>
      </c>
      <c r="X308" s="402"/>
      <c r="Y308" s="423" t="str">
        <f aca="false">IF(AND(pos_z&lt;=0,K307&gt;0),"Impact balistique","") &amp; IF(AND(H309&lt;0,vit_z&gt;=0),"Apogée","") &amp; IF(AND(Poussee=0,Q307&gt;0),"Fin de propulsion","") &amp; IF(AND(L309&gt;L_rampe,pos_xz&lt;=L_rampe),"Sortie de rampe","")</f>
        <v/>
      </c>
      <c r="Z308" s="424" t="str">
        <f aca="false">IF(ABS(t-T_para)&lt;pas/2,"Para","")</f>
        <v/>
      </c>
      <c r="AA308" s="425" t="str">
        <f aca="false">IF(ABS(t-T_satellite)&lt;pas/2,"Satellite","")</f>
        <v/>
      </c>
      <c r="AB308" s="413"/>
      <c r="AC308" s="421" t="e">
        <f aca="false">IF(ABS(t-ROUND(t,0))&lt;0.001,t,NA())</f>
        <v>#N/A</v>
      </c>
      <c r="AD308" s="426" t="e">
        <f aca="false">IF(ABS(t-ROUND(t,0))&lt;0.001,pos_x,NA())</f>
        <v>#N/A</v>
      </c>
      <c r="AE308" s="427" t="e">
        <f aca="false">IF(t&lt;T_para, pos_z, NA())</f>
        <v>#N/A</v>
      </c>
      <c r="AF308" s="413"/>
      <c r="AG308" s="419" t="n">
        <f aca="false">IF(AND(L307&lt;L_rampe,Poussee&lt;Poids*SIN(M307)),0,(-W307+Poussee)/m-Poids*SIN(M307)/m)</f>
        <v>8.1562771696296</v>
      </c>
      <c r="AH308" s="418" t="n">
        <f aca="false">IF(AND(L307&lt;L_rampe,Poussee&lt;Poids*SIN(M307)), g*SIN(M307), (-W307+Poussee)/m)</f>
        <v>-1.21553146715994</v>
      </c>
    </row>
    <row r="309" customFormat="false" ht="12" hidden="false" customHeight="false" outlineLevel="0" collapsed="false">
      <c r="A309" s="417" t="n">
        <f aca="false">IF(B308+0.01&lt;=T_ini+ROUNDUP(Temps_fin_propu,0), 0.01, IF(K308&gt;0, 0.1, 0.0001))</f>
        <v>0.1</v>
      </c>
      <c r="B309" s="418" t="n">
        <f aca="false">B308+pas</f>
        <v>12.5</v>
      </c>
      <c r="C309" s="402"/>
      <c r="D309" s="419" t="n">
        <f aca="false">IF(AND(L308&lt;L_rampe,Poussee&lt;Poids*SIN(M308)),0,(-W308+Poussee)/m*COS(M308)-U308/m*SIN(M308))</f>
        <v>-0.365394466045792</v>
      </c>
      <c r="E309" s="420" t="n">
        <f aca="false">IF(AND(L308&lt;L_rampe,Poussee&lt;Poids*SIN(M308)),0,(-W308+Poussee)/m*SIN(M308)+U308/m*COS(M308)-Poids/m)</f>
        <v>-8.59942188213643</v>
      </c>
      <c r="F309" s="418" t="n">
        <f aca="false">SQRT(acc_x^2+acc_z^2)</f>
        <v>8.60718129370956</v>
      </c>
      <c r="G309" s="419" t="n">
        <f aca="false">G308+acc_x*pas</f>
        <v>12.1481538152701</v>
      </c>
      <c r="H309" s="420" t="n">
        <f aca="false">H308+acc_z*pas</f>
        <v>-41.2287063770414</v>
      </c>
      <c r="I309" s="418" t="n">
        <f aca="false">SQRT(vit_x^2+vit_z^2)</f>
        <v>42.9812036900289</v>
      </c>
      <c r="J309" s="419" t="n">
        <f aca="false">J308+0.5*(vit_x+G308)*pas*(K308&gt;=0)</f>
        <v>166.697606596321</v>
      </c>
      <c r="K309" s="420" t="n">
        <f aca="false">K308+0.5*(vit_z+H308)*pas</f>
        <v>223.045316486372</v>
      </c>
      <c r="L309" s="418" t="n">
        <f aca="false">SQRT(pos_x^2+pos_z^2)</f>
        <v>278.455212289962</v>
      </c>
      <c r="M309" s="419" t="n">
        <f aca="false">IF(AND(L308&gt;L_rampe,G309&gt;0),ATAN2(G309,H309),$M$4)</f>
        <v>-1.28425241032459</v>
      </c>
      <c r="N309" s="418" t="n">
        <f aca="false">DEGREES(Beta)</f>
        <v>-73.5822429411022</v>
      </c>
      <c r="O309" s="402"/>
      <c r="P309" s="421" t="n">
        <f aca="false">MATCH(t-pas/2-T_ini,CdP_t)</f>
        <v>23</v>
      </c>
      <c r="Q309" s="418" t="n">
        <f aca="false">(INDEX(CdP,2,i_P+1)-INDEX(CdP,2,i_P+0))/(INDEX(CdP,1,i_P+1)-INDEX(CdP,1,i_P+0))*(t-pas/2-T_ini-INDEX(CdP,1,i_P+0))+INDEX(CdP,2,i_P+0)</f>
        <v>0</v>
      </c>
      <c r="R309" s="419" t="n">
        <f aca="false">Poussee/(g*ISP)</f>
        <v>0</v>
      </c>
      <c r="S309" s="420" t="n">
        <f aca="false">S308-Débit*pas</f>
        <v>1.4843</v>
      </c>
      <c r="T309" s="418" t="n">
        <f aca="false">m*g</f>
        <v>14.560983</v>
      </c>
      <c r="U309" s="422" t="n">
        <f aca="false">IF(pos_xz&lt;L_rampe,Poids*COS(Beta),0)</f>
        <v>0</v>
      </c>
      <c r="V309" s="419" t="n">
        <f aca="false">Rho_moyen*(20000-Alt_rampe-pos_z)/(20000+Alt_rampe+pos_z)</f>
        <v>1.19797830189076</v>
      </c>
      <c r="W309" s="418" t="n">
        <f aca="false">1/2*Rho*Sref*Cx*vit_xz^2</f>
        <v>1.95085434450018</v>
      </c>
      <c r="X309" s="402"/>
      <c r="Y309" s="423" t="str">
        <f aca="false">IF(AND(pos_z&lt;=0,K308&gt;0),"Impact balistique","") &amp; IF(AND(H310&lt;0,vit_z&gt;=0),"Apogée","") &amp; IF(AND(Poussee=0,Q308&gt;0),"Fin de propulsion","") &amp; IF(AND(L310&gt;L_rampe,pos_xz&lt;=L_rampe),"Sortie de rampe","")</f>
        <v/>
      </c>
      <c r="Z309" s="424" t="str">
        <f aca="false">IF(ABS(t-T_para)&lt;pas/2,"Para","")</f>
        <v/>
      </c>
      <c r="AA309" s="425" t="str">
        <f aca="false">IF(ABS(t-T_satellite)&lt;pas/2,"Satellite","")</f>
        <v/>
      </c>
      <c r="AB309" s="413"/>
      <c r="AC309" s="421" t="e">
        <f aca="false">IF(ABS(t-ROUND(t,0))&lt;0.001,t,NA())</f>
        <v>#N/A</v>
      </c>
      <c r="AD309" s="426" t="e">
        <f aca="false">IF(ABS(t-ROUND(t,0))&lt;0.001,pos_x,NA())</f>
        <v>#N/A</v>
      </c>
      <c r="AE309" s="427" t="e">
        <f aca="false">IF(t&lt;T_para, pos_z, NA())</f>
        <v>#N/A</v>
      </c>
      <c r="AF309" s="413"/>
      <c r="AG309" s="419" t="n">
        <f aca="false">IF(AND(L308&lt;L_rampe,Poussee&lt;Poids*SIN(M308)),0,(-W308+Poussee)/m-Poids*SIN(M308)/m)</f>
        <v>8.12699956582129</v>
      </c>
      <c r="AH309" s="418" t="n">
        <f aca="false">IF(AND(L308&lt;L_rampe,Poussee&lt;Poids*SIN(M308)), g*SIN(M308), (-W308+Poussee)/m)</f>
        <v>-1.26452065829981</v>
      </c>
    </row>
    <row r="310" customFormat="false" ht="12" hidden="false" customHeight="false" outlineLevel="0" collapsed="false">
      <c r="A310" s="417" t="n">
        <f aca="false">IF(B309+0.01&lt;=T_ini+ROUNDUP(Temps_fin_propu,0), 0.01, IF(K309&gt;0, 0.1, 0.0001))</f>
        <v>0.1</v>
      </c>
      <c r="B310" s="418" t="n">
        <f aca="false">B309+pas</f>
        <v>12.6</v>
      </c>
      <c r="C310" s="402"/>
      <c r="D310" s="419" t="n">
        <f aca="false">IF(AND(L309&lt;L_rampe,Poussee&lt;Poids*SIN(M309)),0,(-W309+Poussee)/m*COS(M309)-U309/m*SIN(M309))</f>
        <v>-0.371479511756085</v>
      </c>
      <c r="E310" s="420" t="n">
        <f aca="false">IF(AND(L309&lt;L_rampe,Poussee&lt;Poids*SIN(M309)),0,(-W309+Poussee)/m*SIN(M309)+U309/m*COS(M309)-Poids/m)</f>
        <v>-8.54926359937699</v>
      </c>
      <c r="F310" s="418" t="n">
        <f aca="false">SQRT(acc_x^2+acc_z^2)</f>
        <v>8.5573304902456</v>
      </c>
      <c r="G310" s="419" t="n">
        <f aca="false">G309+acc_x*pas</f>
        <v>12.1110058640945</v>
      </c>
      <c r="H310" s="420" t="n">
        <f aca="false">H309+acc_z*pas</f>
        <v>-42.0836327369791</v>
      </c>
      <c r="I310" s="418" t="n">
        <f aca="false">SQRT(vit_x^2+vit_z^2)</f>
        <v>43.7916499732662</v>
      </c>
      <c r="J310" s="419" t="n">
        <f aca="false">J309+0.5*(vit_x+G309)*pas*(K309&gt;=0)</f>
        <v>167.910564580289</v>
      </c>
      <c r="K310" s="420" t="n">
        <f aca="false">K309+0.5*(vit_z+H309)*pas</f>
        <v>218.879699530671</v>
      </c>
      <c r="L310" s="418" t="n">
        <f aca="false">SQRT(pos_x^2+pos_z^2)</f>
        <v>275.866417971286</v>
      </c>
      <c r="M310" s="419" t="n">
        <f aca="false">IF(AND(L309&gt;L_rampe,G310&gt;0),ATAN2(G310,H310),$M$4)</f>
        <v>-1.29058399338852</v>
      </c>
      <c r="N310" s="418" t="n">
        <f aca="false">DEGREES(Beta)</f>
        <v>-73.9450159283019</v>
      </c>
      <c r="O310" s="402"/>
      <c r="P310" s="421" t="n">
        <f aca="false">MATCH(t-pas/2-T_ini,CdP_t)</f>
        <v>23</v>
      </c>
      <c r="Q310" s="418" t="n">
        <f aca="false">(INDEX(CdP,2,i_P+1)-INDEX(CdP,2,i_P+0))/(INDEX(CdP,1,i_P+1)-INDEX(CdP,1,i_P+0))*(t-pas/2-T_ini-INDEX(CdP,1,i_P+0))+INDEX(CdP,2,i_P+0)</f>
        <v>0</v>
      </c>
      <c r="R310" s="419" t="n">
        <f aca="false">Poussee/(g*ISP)</f>
        <v>0</v>
      </c>
      <c r="S310" s="420" t="n">
        <f aca="false">S309-Débit*pas</f>
        <v>1.4843</v>
      </c>
      <c r="T310" s="418" t="n">
        <f aca="false">m*g</f>
        <v>14.560983</v>
      </c>
      <c r="U310" s="422" t="n">
        <f aca="false">IF(pos_xz&lt;L_rampe,Poids*COS(Beta),0)</f>
        <v>0</v>
      </c>
      <c r="V310" s="419" t="n">
        <f aca="false">Rho_moyen*(20000-Alt_rampe-pos_z)/(20000+Alt_rampe+pos_z)</f>
        <v>1.19847749866366</v>
      </c>
      <c r="W310" s="418" t="n">
        <f aca="false">1/2*Rho*Sref*Cx*vit_xz^2</f>
        <v>2.02596177807192</v>
      </c>
      <c r="X310" s="402"/>
      <c r="Y310" s="423" t="str">
        <f aca="false">IF(AND(pos_z&lt;=0,K309&gt;0),"Impact balistique","") &amp; IF(AND(H311&lt;0,vit_z&gt;=0),"Apogée","") &amp; IF(AND(Poussee=0,Q309&gt;0),"Fin de propulsion","") &amp; IF(AND(L311&gt;L_rampe,pos_xz&lt;=L_rampe),"Sortie de rampe","")</f>
        <v/>
      </c>
      <c r="Z310" s="424" t="str">
        <f aca="false">IF(ABS(t-T_para)&lt;pas/2,"Para","")</f>
        <v/>
      </c>
      <c r="AA310" s="425" t="str">
        <f aca="false">IF(ABS(t-T_satellite)&lt;pas/2,"Satellite","")</f>
        <v/>
      </c>
      <c r="AB310" s="413"/>
      <c r="AC310" s="421" t="e">
        <f aca="false">IF(ABS(t-ROUND(t,0))&lt;0.001,t,NA())</f>
        <v>#N/A</v>
      </c>
      <c r="AD310" s="426" t="e">
        <f aca="false">IF(ABS(t-ROUND(t,0))&lt;0.001,pos_x,NA())</f>
        <v>#N/A</v>
      </c>
      <c r="AE310" s="427" t="e">
        <f aca="false">IF(t&lt;T_para, pos_z, NA())</f>
        <v>#N/A</v>
      </c>
      <c r="AF310" s="413"/>
      <c r="AG310" s="419" t="n">
        <f aca="false">IF(AND(L309&lt;L_rampe,Poussee&lt;Poids*SIN(M309)),0,(-W309+Poussee)/m-Poids*SIN(M309)/m)</f>
        <v>8.09568505665956</v>
      </c>
      <c r="AH310" s="418" t="n">
        <f aca="false">IF(AND(L309&lt;L_rampe,Poussee&lt;Poids*SIN(M309)), g*SIN(M309), (-W309+Poussee)/m)</f>
        <v>-1.31432617698591</v>
      </c>
    </row>
    <row r="311" customFormat="false" ht="12" hidden="false" customHeight="false" outlineLevel="0" collapsed="false">
      <c r="A311" s="417" t="n">
        <f aca="false">IF(B310+0.01&lt;=T_ini+ROUNDUP(Temps_fin_propu,0), 0.01, IF(K310&gt;0, 0.1, 0.0001))</f>
        <v>0.1</v>
      </c>
      <c r="B311" s="418" t="n">
        <f aca="false">B310+pas</f>
        <v>12.7</v>
      </c>
      <c r="C311" s="402"/>
      <c r="D311" s="419" t="n">
        <f aca="false">IF(AND(L310&lt;L_rampe,Poussee&lt;Poids*SIN(M310)),0,(-W310+Poussee)/m*COS(M310)-U310/m*SIN(M310))</f>
        <v>-0.377483928275546</v>
      </c>
      <c r="E311" s="420" t="n">
        <f aca="false">IF(AND(L310&lt;L_rampe,Poussee&lt;Poids*SIN(M310)),0,(-W310+Poussee)/m*SIN(M310)+U310/m*COS(M310)-Poids/m)</f>
        <v>-8.49830919744188</v>
      </c>
      <c r="F311" s="418" t="n">
        <f aca="false">SQRT(acc_x^2+acc_z^2)</f>
        <v>8.50668874071643</v>
      </c>
      <c r="G311" s="419" t="n">
        <f aca="false">G310+acc_x*pas</f>
        <v>12.073257471267</v>
      </c>
      <c r="H311" s="420" t="n">
        <f aca="false">H310+acc_z*pas</f>
        <v>-42.9334636567233</v>
      </c>
      <c r="I311" s="418" t="n">
        <f aca="false">SQRT(vit_x^2+vit_z^2)</f>
        <v>44.5987202454362</v>
      </c>
      <c r="J311" s="419" t="n">
        <f aca="false">J310+0.5*(vit_x+G310)*pas*(K310&gt;=0)</f>
        <v>169.119777747057</v>
      </c>
      <c r="K311" s="420" t="n">
        <f aca="false">K310+0.5*(vit_z+H310)*pas</f>
        <v>214.628844710986</v>
      </c>
      <c r="L311" s="418" t="n">
        <f aca="false">SQRT(pos_x^2+pos_z^2)</f>
        <v>273.252703933898</v>
      </c>
      <c r="M311" s="419" t="n">
        <f aca="false">IF(AND(L310&gt;L_rampe,G311&gt;0),ATAN2(G311,H311),$M$4)</f>
        <v>-1.29666727882662</v>
      </c>
      <c r="N311" s="418" t="n">
        <f aca="false">DEGREES(Beta)</f>
        <v>-74.2935625094783</v>
      </c>
      <c r="O311" s="402"/>
      <c r="P311" s="421" t="n">
        <f aca="false">MATCH(t-pas/2-T_ini,CdP_t)</f>
        <v>23</v>
      </c>
      <c r="Q311" s="418" t="n">
        <f aca="false">(INDEX(CdP,2,i_P+1)-INDEX(CdP,2,i_P+0))/(INDEX(CdP,1,i_P+1)-INDEX(CdP,1,i_P+0))*(t-pas/2-T_ini-INDEX(CdP,1,i_P+0))+INDEX(CdP,2,i_P+0)</f>
        <v>0</v>
      </c>
      <c r="R311" s="419" t="n">
        <f aca="false">Poussee/(g*ISP)</f>
        <v>0</v>
      </c>
      <c r="S311" s="420" t="n">
        <f aca="false">S310-Débit*pas</f>
        <v>1.4843</v>
      </c>
      <c r="T311" s="418" t="n">
        <f aca="false">m*g</f>
        <v>14.560983</v>
      </c>
      <c r="U311" s="422" t="n">
        <f aca="false">IF(pos_xz&lt;L_rampe,Poids*COS(Beta),0)</f>
        <v>0</v>
      </c>
      <c r="V311" s="419" t="n">
        <f aca="false">Rho_moyen*(20000-Alt_rampe-pos_z)/(20000+Alt_rampe+pos_z)</f>
        <v>1.1989871222182</v>
      </c>
      <c r="W311" s="418" t="n">
        <f aca="false">1/2*Rho*Sref*Cx*vit_xz^2</f>
        <v>2.10221948837661</v>
      </c>
      <c r="X311" s="402"/>
      <c r="Y311" s="423" t="str">
        <f aca="false">IF(AND(pos_z&lt;=0,K310&gt;0),"Impact balistique","") &amp; IF(AND(H312&lt;0,vit_z&gt;=0),"Apogée","") &amp; IF(AND(Poussee=0,Q310&gt;0),"Fin de propulsion","") &amp; IF(AND(L312&gt;L_rampe,pos_xz&lt;=L_rampe),"Sortie de rampe","")</f>
        <v/>
      </c>
      <c r="Z311" s="424" t="str">
        <f aca="false">IF(ABS(t-T_para)&lt;pas/2,"Para","")</f>
        <v/>
      </c>
      <c r="AA311" s="425" t="str">
        <f aca="false">IF(ABS(t-T_satellite)&lt;pas/2,"Satellite","")</f>
        <v/>
      </c>
      <c r="AB311" s="413"/>
      <c r="AC311" s="421" t="e">
        <f aca="false">IF(ABS(t-ROUND(t,0))&lt;0.001,t,NA())</f>
        <v>#N/A</v>
      </c>
      <c r="AD311" s="426" t="e">
        <f aca="false">IF(ABS(t-ROUND(t,0))&lt;0.001,pos_x,NA())</f>
        <v>#N/A</v>
      </c>
      <c r="AE311" s="427" t="e">
        <f aca="false">IF(t&lt;T_para, pos_z, NA())</f>
        <v>#N/A</v>
      </c>
      <c r="AF311" s="413"/>
      <c r="AG311" s="419" t="n">
        <f aca="false">IF(AND(L310&lt;L_rampe,Poussee&lt;Poids*SIN(M310)),0,(-W310+Poussee)/m-Poids*SIN(M310)/m)</f>
        <v>8.06245056527965</v>
      </c>
      <c r="AH311" s="418" t="n">
        <f aca="false">IF(AND(L310&lt;L_rampe,Poussee&lt;Poids*SIN(M310)), g*SIN(M310), (-W310+Poussee)/m)</f>
        <v>-1.36492742577102</v>
      </c>
    </row>
    <row r="312" customFormat="false" ht="12" hidden="false" customHeight="false" outlineLevel="0" collapsed="false">
      <c r="A312" s="417" t="n">
        <f aca="false">IF(B311+0.01&lt;=T_ini+ROUNDUP(Temps_fin_propu,0), 0.01, IF(K311&gt;0, 0.1, 0.0001))</f>
        <v>0.1</v>
      </c>
      <c r="B312" s="418" t="n">
        <f aca="false">B311+pas</f>
        <v>12.8</v>
      </c>
      <c r="C312" s="402"/>
      <c r="D312" s="419" t="n">
        <f aca="false">IF(AND(L311&lt;L_rampe,Poussee&lt;Poids*SIN(M311)),0,(-W311+Poussee)/m*COS(M311)-U311/m*SIN(M311))</f>
        <v>-0.383405585916105</v>
      </c>
      <c r="E312" s="420" t="n">
        <f aca="false">IF(AND(L311&lt;L_rampe,Poussee&lt;Poids*SIN(M311)),0,(-W311+Poussee)/m*SIN(M311)+U311/m*COS(M311)-Poids/m)</f>
        <v>-8.44657924732501</v>
      </c>
      <c r="F312" s="418" t="n">
        <f aca="false">SQRT(acc_x^2+acc_z^2)</f>
        <v>8.45527650787679</v>
      </c>
      <c r="G312" s="419" t="n">
        <f aca="false">G311+acc_x*pas</f>
        <v>12.0349169126754</v>
      </c>
      <c r="H312" s="420" t="n">
        <f aca="false">H311+acc_z*pas</f>
        <v>-43.7781215814558</v>
      </c>
      <c r="I312" s="418" t="n">
        <f aca="false">SQRT(vit_x^2+vit_z^2)</f>
        <v>45.4022373269834</v>
      </c>
      <c r="J312" s="419" t="n">
        <f aca="false">J311+0.5*(vit_x+G311)*pas*(K311&gt;=0)</f>
        <v>170.325186466254</v>
      </c>
      <c r="K312" s="420" t="n">
        <f aca="false">K311+0.5*(vit_z+H311)*pas</f>
        <v>210.293265449077</v>
      </c>
      <c r="L312" s="418" t="n">
        <f aca="false">SQRT(pos_x^2+pos_z^2)</f>
        <v>270.617676137388</v>
      </c>
      <c r="M312" s="419" t="n">
        <f aca="false">IF(AND(L311&gt;L_rampe,G312&gt;0),ATAN2(G312,H312),$M$4)</f>
        <v>-1.3025164764495</v>
      </c>
      <c r="N312" s="418" t="n">
        <f aca="false">DEGREES(Beta)</f>
        <v>-74.6286968468077</v>
      </c>
      <c r="O312" s="402"/>
      <c r="P312" s="421" t="n">
        <f aca="false">MATCH(t-pas/2-T_ini,CdP_t)</f>
        <v>23</v>
      </c>
      <c r="Q312" s="418" t="n">
        <f aca="false">(INDEX(CdP,2,i_P+1)-INDEX(CdP,2,i_P+0))/(INDEX(CdP,1,i_P+1)-INDEX(CdP,1,i_P+0))*(t-pas/2-T_ini-INDEX(CdP,1,i_P+0))+INDEX(CdP,2,i_P+0)</f>
        <v>0</v>
      </c>
      <c r="R312" s="419" t="n">
        <f aca="false">Poussee/(g*ISP)</f>
        <v>0</v>
      </c>
      <c r="S312" s="420" t="n">
        <f aca="false">S311-Débit*pas</f>
        <v>1.4843</v>
      </c>
      <c r="T312" s="418" t="n">
        <f aca="false">m*g</f>
        <v>14.560983</v>
      </c>
      <c r="U312" s="422" t="n">
        <f aca="false">IF(pos_xz&lt;L_rampe,Poids*COS(Beta),0)</f>
        <v>0</v>
      </c>
      <c r="V312" s="419" t="n">
        <f aca="false">Rho_moyen*(20000-Alt_rampe-pos_z)/(20000+Alt_rampe+pos_z)</f>
        <v>1.19950712398958</v>
      </c>
      <c r="W312" s="418" t="n">
        <f aca="false">1/2*Rho*Sref*Cx*vit_xz^2</f>
        <v>2.17959642144719</v>
      </c>
      <c r="X312" s="402"/>
      <c r="Y312" s="423" t="str">
        <f aca="false">IF(AND(pos_z&lt;=0,K311&gt;0),"Impact balistique","") &amp; IF(AND(H313&lt;0,vit_z&gt;=0),"Apogée","") &amp; IF(AND(Poussee=0,Q311&gt;0),"Fin de propulsion","") &amp; IF(AND(L313&gt;L_rampe,pos_xz&lt;=L_rampe),"Sortie de rampe","")</f>
        <v/>
      </c>
      <c r="Z312" s="424" t="str">
        <f aca="false">IF(ABS(t-T_para)&lt;pas/2,"Para","")</f>
        <v/>
      </c>
      <c r="AA312" s="425" t="str">
        <f aca="false">IF(ABS(t-T_satellite)&lt;pas/2,"Satellite","")</f>
        <v/>
      </c>
      <c r="AB312" s="413"/>
      <c r="AC312" s="421" t="e">
        <f aca="false">IF(ABS(t-ROUND(t,0))&lt;0.001,t,NA())</f>
        <v>#N/A</v>
      </c>
      <c r="AD312" s="426" t="e">
        <f aca="false">IF(ABS(t-ROUND(t,0))&lt;0.001,pos_x,NA())</f>
        <v>#N/A</v>
      </c>
      <c r="AE312" s="427" t="e">
        <f aca="false">IF(t&lt;T_para, pos_z, NA())</f>
        <v>#N/A</v>
      </c>
      <c r="AF312" s="413"/>
      <c r="AG312" s="419" t="n">
        <f aca="false">IF(AND(L311&lt;L_rampe,Poussee&lt;Poids*SIN(M311)),0,(-W311+Poussee)/m-Poids*SIN(M311)/m)</f>
        <v>8.02740407827307</v>
      </c>
      <c r="AH312" s="418" t="n">
        <f aca="false">IF(AND(L311&lt;L_rampe,Poussee&lt;Poids*SIN(M311)), g*SIN(M311), (-W311+Poussee)/m)</f>
        <v>-1.41630363698485</v>
      </c>
    </row>
    <row r="313" customFormat="false" ht="12" hidden="false" customHeight="false" outlineLevel="0" collapsed="false">
      <c r="A313" s="417" t="n">
        <f aca="false">IF(B312+0.01&lt;=T_ini+ROUNDUP(Temps_fin_propu,0), 0.01, IF(K312&gt;0, 0.1, 0.0001))</f>
        <v>0.1</v>
      </c>
      <c r="B313" s="418" t="n">
        <f aca="false">B312+pas</f>
        <v>12.9</v>
      </c>
      <c r="C313" s="402"/>
      <c r="D313" s="419" t="n">
        <f aca="false">IF(AND(L312&lt;L_rampe,Poussee&lt;Poids*SIN(M312)),0,(-W312+Poussee)/m*COS(M312)-U312/m*SIN(M312))</f>
        <v>-0.389242488616417</v>
      </c>
      <c r="E313" s="420" t="n">
        <f aca="false">IF(AND(L312&lt;L_rampe,Poussee&lt;Poids*SIN(M312)),0,(-W312+Poussee)/m*SIN(M312)+U312/m*COS(M312)-Poids/m)</f>
        <v>-8.39409450476797</v>
      </c>
      <c r="F313" s="418" t="n">
        <f aca="false">SQRT(acc_x^2+acc_z^2)</f>
        <v>8.40311443870189</v>
      </c>
      <c r="G313" s="419" t="n">
        <f aca="false">G312+acc_x*pas</f>
        <v>11.9959926638137</v>
      </c>
      <c r="H313" s="420" t="n">
        <f aca="false">H312+acc_z*pas</f>
        <v>-44.6175310319326</v>
      </c>
      <c r="I313" s="418" t="n">
        <f aca="false">SQRT(vit_x^2+vit_z^2)</f>
        <v>46.2020336714277</v>
      </c>
      <c r="J313" s="419" t="n">
        <f aca="false">J312+0.5*(vit_x+G312)*pas*(K312&gt;=0)</f>
        <v>171.526731945079</v>
      </c>
      <c r="K313" s="420" t="n">
        <f aca="false">K312+0.5*(vit_z+H312)*pas</f>
        <v>205.873482818408</v>
      </c>
      <c r="L313" s="418" t="n">
        <f aca="false">SQRT(pos_x^2+pos_z^2)</f>
        <v>267.965129633578</v>
      </c>
      <c r="M313" s="419" t="n">
        <f aca="false">IF(AND(L312&gt;L_rampe,G313&gt;0),ATAN2(G313,H313),$M$4)</f>
        <v>-1.30814476104877</v>
      </c>
      <c r="N313" s="418" t="n">
        <f aca="false">DEGREES(Beta)</f>
        <v>-74.951173800244</v>
      </c>
      <c r="O313" s="402"/>
      <c r="P313" s="421" t="n">
        <f aca="false">MATCH(t-pas/2-T_ini,CdP_t)</f>
        <v>23</v>
      </c>
      <c r="Q313" s="418" t="n">
        <f aca="false">(INDEX(CdP,2,i_P+1)-INDEX(CdP,2,i_P+0))/(INDEX(CdP,1,i_P+1)-INDEX(CdP,1,i_P+0))*(t-pas/2-T_ini-INDEX(CdP,1,i_P+0))+INDEX(CdP,2,i_P+0)</f>
        <v>0</v>
      </c>
      <c r="R313" s="419" t="n">
        <f aca="false">Poussee/(g*ISP)</f>
        <v>0</v>
      </c>
      <c r="S313" s="420" t="n">
        <f aca="false">S312-Débit*pas</f>
        <v>1.4843</v>
      </c>
      <c r="T313" s="418" t="n">
        <f aca="false">m*g</f>
        <v>14.560983</v>
      </c>
      <c r="U313" s="422" t="n">
        <f aca="false">IF(pos_xz&lt;L_rampe,Poids*COS(Beta),0)</f>
        <v>0</v>
      </c>
      <c r="V313" s="419" t="n">
        <f aca="false">Rho_moyen*(20000-Alt_rampe-pos_z)/(20000+Alt_rampe+pos_z)</f>
        <v>1.20003745466218</v>
      </c>
      <c r="W313" s="418" t="n">
        <f aca="false">1/2*Rho*Sref*Cx*vit_xz^2</f>
        <v>2.2580613188711</v>
      </c>
      <c r="X313" s="402"/>
      <c r="Y313" s="423" t="str">
        <f aca="false">IF(AND(pos_z&lt;=0,K312&gt;0),"Impact balistique","") &amp; IF(AND(H314&lt;0,vit_z&gt;=0),"Apogée","") &amp; IF(AND(Poussee=0,Q312&gt;0),"Fin de propulsion","") &amp; IF(AND(L314&gt;L_rampe,pos_xz&lt;=L_rampe),"Sortie de rampe","")</f>
        <v/>
      </c>
      <c r="Z313" s="424" t="str">
        <f aca="false">IF(ABS(t-T_para)&lt;pas/2,"Para","")</f>
        <v/>
      </c>
      <c r="AA313" s="425" t="str">
        <f aca="false">IF(ABS(t-T_satellite)&lt;pas/2,"Satellite","")</f>
        <v/>
      </c>
      <c r="AB313" s="413"/>
      <c r="AC313" s="421" t="e">
        <f aca="false">IF(ABS(t-ROUND(t,0))&lt;0.001,t,NA())</f>
        <v>#N/A</v>
      </c>
      <c r="AD313" s="426" t="e">
        <f aca="false">IF(ABS(t-ROUND(t,0))&lt;0.001,pos_x,NA())</f>
        <v>#N/A</v>
      </c>
      <c r="AE313" s="427" t="e">
        <f aca="false">IF(t&lt;T_para, pos_z, NA())</f>
        <v>#N/A</v>
      </c>
      <c r="AF313" s="413"/>
      <c r="AG313" s="419" t="n">
        <f aca="false">IF(AND(L312&lt;L_rampe,Poussee&lt;Poids*SIN(M312)),0,(-W312+Poussee)/m-Poids*SIN(M312)/m)</f>
        <v>7.99064561893222</v>
      </c>
      <c r="AH313" s="418" t="n">
        <f aca="false">IF(AND(L312&lt;L_rampe,Poussee&lt;Poids*SIN(M312)), g*SIN(M312), (-W312+Poussee)/m)</f>
        <v>-1.46843388900303</v>
      </c>
    </row>
    <row r="314" customFormat="false" ht="12" hidden="false" customHeight="false" outlineLevel="0" collapsed="false">
      <c r="A314" s="417" t="n">
        <f aca="false">IF(B313+0.01&lt;=T_ini+ROUNDUP(Temps_fin_propu,0), 0.01, IF(K313&gt;0, 0.1, 0.0001))</f>
        <v>0.1</v>
      </c>
      <c r="B314" s="418" t="n">
        <f aca="false">B313+pas</f>
        <v>13</v>
      </c>
      <c r="C314" s="402"/>
      <c r="D314" s="419" t="n">
        <f aca="false">IF(AND(L313&lt;L_rampe,Poussee&lt;Poids*SIN(M313)),0,(-W313+Poussee)/m*COS(M313)-U313/m*SIN(M313))</f>
        <v>-0.394992766992138</v>
      </c>
      <c r="E314" s="420" t="n">
        <f aca="false">IF(AND(L313&lt;L_rampe,Poussee&lt;Poids*SIN(M313)),0,(-W313+Poussee)/m*SIN(M313)+U313/m*COS(M313)-Poids/m)</f>
        <v>-8.34087589059447</v>
      </c>
      <c r="F314" s="418" t="n">
        <f aca="false">SQRT(acc_x^2+acc_z^2)</f>
        <v>8.35022334481397</v>
      </c>
      <c r="G314" s="419" t="n">
        <f aca="false">G313+acc_x*pas</f>
        <v>11.9564933871145</v>
      </c>
      <c r="H314" s="420" t="n">
        <f aca="false">H313+acc_z*pas</f>
        <v>-45.451618620992</v>
      </c>
      <c r="I314" s="418" t="n">
        <f aca="false">SQRT(vit_x^2+vit_z^2)</f>
        <v>46.9979506934528</v>
      </c>
      <c r="J314" s="419" t="n">
        <f aca="false">J313+0.5*(vit_x+G313)*pas*(K313&gt;=0)</f>
        <v>172.724356247625</v>
      </c>
      <c r="K314" s="420" t="n">
        <f aca="false">K313+0.5*(vit_z+H313)*pas</f>
        <v>201.370025335761</v>
      </c>
      <c r="L314" s="418" t="n">
        <f aca="false">SQRT(pos_x^2+pos_z^2)</f>
        <v>265.299058318875</v>
      </c>
      <c r="M314" s="419" t="n">
        <f aca="false">IF(AND(L313&gt;L_rampe,G314&gt;0),ATAN2(G314,H314),$M$4)</f>
        <v>-1.3135643620123</v>
      </c>
      <c r="N314" s="418" t="n">
        <f aca="false">DEGREES(Beta)</f>
        <v>-75.2616940620993</v>
      </c>
      <c r="O314" s="402"/>
      <c r="P314" s="421" t="n">
        <f aca="false">MATCH(t-pas/2-T_ini,CdP_t)</f>
        <v>23</v>
      </c>
      <c r="Q314" s="418" t="n">
        <f aca="false">(INDEX(CdP,2,i_P+1)-INDEX(CdP,2,i_P+0))/(INDEX(CdP,1,i_P+1)-INDEX(CdP,1,i_P+0))*(t-pas/2-T_ini-INDEX(CdP,1,i_P+0))+INDEX(CdP,2,i_P+0)</f>
        <v>0</v>
      </c>
      <c r="R314" s="419" t="n">
        <f aca="false">Poussee/(g*ISP)</f>
        <v>0</v>
      </c>
      <c r="S314" s="420" t="n">
        <f aca="false">S313-Débit*pas</f>
        <v>1.4843</v>
      </c>
      <c r="T314" s="418" t="n">
        <f aca="false">m*g</f>
        <v>14.560983</v>
      </c>
      <c r="U314" s="422" t="n">
        <f aca="false">IF(pos_xz&lt;L_rampe,Poids*COS(Beta),0)</f>
        <v>0</v>
      </c>
      <c r="V314" s="419" t="n">
        <f aca="false">Rho_moyen*(20000-Alt_rampe-pos_z)/(20000+Alt_rampe+pos_z)</f>
        <v>1.20057806418803</v>
      </c>
      <c r="W314" s="418" t="n">
        <f aca="false">1/2*Rho*Sref*Cx*vit_xz^2</f>
        <v>2.33758274174722</v>
      </c>
      <c r="X314" s="402"/>
      <c r="Y314" s="423" t="str">
        <f aca="false">IF(AND(pos_z&lt;=0,K313&gt;0),"Impact balistique","") &amp; IF(AND(H315&lt;0,vit_z&gt;=0),"Apogée","") &amp; IF(AND(Poussee=0,Q313&gt;0),"Fin de propulsion","") &amp; IF(AND(L315&gt;L_rampe,pos_xz&lt;=L_rampe),"Sortie de rampe","")</f>
        <v/>
      </c>
      <c r="Z314" s="424" t="str">
        <f aca="false">IF(ABS(t-T_para)&lt;pas/2,"Para","")</f>
        <v/>
      </c>
      <c r="AA314" s="425" t="str">
        <f aca="false">IF(ABS(t-T_satellite)&lt;pas/2,"Satellite","")</f>
        <v/>
      </c>
      <c r="AB314" s="413"/>
      <c r="AC314" s="421" t="n">
        <f aca="false">IF(ABS(t-ROUND(t,0))&lt;0.001,t,NA())</f>
        <v>13</v>
      </c>
      <c r="AD314" s="426" t="n">
        <f aca="false">IF(ABS(t-ROUND(t,0))&lt;0.001,pos_x,NA())</f>
        <v>172.724356247625</v>
      </c>
      <c r="AE314" s="427" t="e">
        <f aca="false">IF(t&lt;T_para, pos_z, NA())</f>
        <v>#N/A</v>
      </c>
      <c r="AF314" s="413"/>
      <c r="AG314" s="419" t="n">
        <f aca="false">IF(AND(L313&lt;L_rampe,Poussee&lt;Poids*SIN(M313)),0,(-W313+Poussee)/m-Poids*SIN(M313)/m)</f>
        <v>7.95226810057529</v>
      </c>
      <c r="AH314" s="418" t="n">
        <f aca="false">IF(AND(L313&lt;L_rampe,Poussee&lt;Poids*SIN(M313)), g*SIN(M313), (-W313+Poussee)/m)</f>
        <v>-1.52129712246251</v>
      </c>
    </row>
    <row r="315" customFormat="false" ht="12" hidden="false" customHeight="false" outlineLevel="0" collapsed="false">
      <c r="A315" s="417" t="n">
        <f aca="false">IF(B314+0.01&lt;=T_ini+ROUNDUP(Temps_fin_propu,0), 0.01, IF(K314&gt;0, 0.1, 0.0001))</f>
        <v>0.1</v>
      </c>
      <c r="B315" s="418" t="n">
        <f aca="false">B314+pas</f>
        <v>13.1</v>
      </c>
      <c r="C315" s="402"/>
      <c r="D315" s="419" t="n">
        <f aca="false">IF(AND(L314&lt;L_rampe,Poussee&lt;Poids*SIN(M314)),0,(-W314+Poussee)/m*COS(M314)-U314/m*SIN(M314))</f>
        <v>-0.400654672081101</v>
      </c>
      <c r="E315" s="420" t="n">
        <f aca="false">IF(AND(L314&lt;L_rampe,Poussee&lt;Poids*SIN(M314)),0,(-W314+Poussee)/m*SIN(M314)+U314/m*COS(M314)-Poids/m)</f>
        <v>-8.28694447154764</v>
      </c>
      <c r="F315" s="418" t="n">
        <f aca="false">SQRT(acc_x^2+acc_z^2)</f>
        <v>8.29662418341185</v>
      </c>
      <c r="G315" s="419" t="n">
        <f aca="false">G314+acc_x*pas</f>
        <v>11.9164279199064</v>
      </c>
      <c r="H315" s="420" t="n">
        <f aca="false">H314+acc_z*pas</f>
        <v>-46.2803130681468</v>
      </c>
      <c r="I315" s="418" t="n">
        <f aca="false">SQRT(vit_x^2+vit_z^2)</f>
        <v>47.7898381672925</v>
      </c>
      <c r="J315" s="419" t="n">
        <f aca="false">J314+0.5*(vit_x+G314)*pas*(K314&gt;=0)</f>
        <v>173.918002312976</v>
      </c>
      <c r="K315" s="420" t="n">
        <f aca="false">K314+0.5*(vit_z+H314)*pas</f>
        <v>196.783428751304</v>
      </c>
      <c r="L315" s="418" t="n">
        <f aca="false">SQRT(pos_x^2+pos_z^2)</f>
        <v>262.62366488886</v>
      </c>
      <c r="M315" s="419" t="n">
        <f aca="false">IF(AND(L314&gt;L_rampe,G315&gt;0),ATAN2(G315,H315),$M$4)</f>
        <v>-1.31878664411441</v>
      </c>
      <c r="N315" s="418" t="n">
        <f aca="false">DEGREES(Beta)</f>
        <v>-75.5609087859768</v>
      </c>
      <c r="O315" s="402"/>
      <c r="P315" s="421" t="n">
        <f aca="false">MATCH(t-pas/2-T_ini,CdP_t)</f>
        <v>23</v>
      </c>
      <c r="Q315" s="418" t="n">
        <f aca="false">(INDEX(CdP,2,i_P+1)-INDEX(CdP,2,i_P+0))/(INDEX(CdP,1,i_P+1)-INDEX(CdP,1,i_P+0))*(t-pas/2-T_ini-INDEX(CdP,1,i_P+0))+INDEX(CdP,2,i_P+0)</f>
        <v>0</v>
      </c>
      <c r="R315" s="419" t="n">
        <f aca="false">Poussee/(g*ISP)</f>
        <v>0</v>
      </c>
      <c r="S315" s="420" t="n">
        <f aca="false">S314-Débit*pas</f>
        <v>1.4843</v>
      </c>
      <c r="T315" s="418" t="n">
        <f aca="false">m*g</f>
        <v>14.560983</v>
      </c>
      <c r="U315" s="422" t="n">
        <f aca="false">IF(pos_xz&lt;L_rampe,Poids*COS(Beta),0)</f>
        <v>0</v>
      </c>
      <c r="V315" s="419" t="n">
        <f aca="false">Rho_moyen*(20000-Alt_rampe-pos_z)/(20000+Alt_rampe+pos_z)</f>
        <v>1.2011289018055</v>
      </c>
      <c r="W315" s="418" t="n">
        <f aca="false">1/2*Rho*Sref*Cx*vit_xz^2</f>
        <v>2.41812909450029</v>
      </c>
      <c r="X315" s="402"/>
      <c r="Y315" s="423" t="str">
        <f aca="false">IF(AND(pos_z&lt;=0,K314&gt;0),"Impact balistique","") &amp; IF(AND(H316&lt;0,vit_z&gt;=0),"Apogée","") &amp; IF(AND(Poussee=0,Q314&gt;0),"Fin de propulsion","") &amp; IF(AND(L316&gt;L_rampe,pos_xz&lt;=L_rampe),"Sortie de rampe","")</f>
        <v/>
      </c>
      <c r="Z315" s="424" t="str">
        <f aca="false">IF(ABS(t-T_para)&lt;pas/2,"Para","")</f>
        <v/>
      </c>
      <c r="AA315" s="425" t="str">
        <f aca="false">IF(ABS(t-T_satellite)&lt;pas/2,"Satellite","")</f>
        <v/>
      </c>
      <c r="AB315" s="413"/>
      <c r="AC315" s="421" t="e">
        <f aca="false">IF(ABS(t-ROUND(t,0))&lt;0.001,t,NA())</f>
        <v>#N/A</v>
      </c>
      <c r="AD315" s="426" t="e">
        <f aca="false">IF(ABS(t-ROUND(t,0))&lt;0.001,pos_x,NA())</f>
        <v>#N/A</v>
      </c>
      <c r="AE315" s="427" t="e">
        <f aca="false">IF(t&lt;T_para, pos_z, NA())</f>
        <v>#N/A</v>
      </c>
      <c r="AF315" s="413"/>
      <c r="AG315" s="419" t="n">
        <f aca="false">IF(AND(L314&lt;L_rampe,Poussee&lt;Poids*SIN(M314)),0,(-W314+Poussee)/m-Poids*SIN(M314)/m)</f>
        <v>7.9123580758314</v>
      </c>
      <c r="AH315" s="418" t="n">
        <f aca="false">IF(AND(L314&lt;L_rampe,Poussee&lt;Poids*SIN(M314)), g*SIN(M314), (-W314+Poussee)/m)</f>
        <v>-1.57487215640182</v>
      </c>
    </row>
    <row r="316" customFormat="false" ht="12" hidden="false" customHeight="false" outlineLevel="0" collapsed="false">
      <c r="A316" s="417" t="n">
        <f aca="false">IF(B315+0.01&lt;=T_ini+ROUNDUP(Temps_fin_propu,0), 0.01, IF(K315&gt;0, 0.1, 0.0001))</f>
        <v>0.1</v>
      </c>
      <c r="B316" s="418" t="n">
        <f aca="false">B315+pas</f>
        <v>13.2</v>
      </c>
      <c r="C316" s="402"/>
      <c r="D316" s="419" t="n">
        <f aca="false">IF(AND(L315&lt;L_rampe,Poussee&lt;Poids*SIN(M315)),0,(-W315+Poussee)/m*COS(M315)-U315/m*SIN(M315))</f>
        <v>-0.406226569694517</v>
      </c>
      <c r="E316" s="420" t="n">
        <f aca="false">IF(AND(L315&lt;L_rampe,Poussee&lt;Poids*SIN(M315)),0,(-W315+Poussee)/m*SIN(M315)+U315/m*COS(M315)-Poids/m)</f>
        <v>-8.23232144159109</v>
      </c>
      <c r="F316" s="418" t="n">
        <f aca="false">SQRT(acc_x^2+acc_z^2)</f>
        <v>8.24233803866392</v>
      </c>
      <c r="G316" s="419" t="n">
        <f aca="false">G315+acc_x*pas</f>
        <v>11.8758052629369</v>
      </c>
      <c r="H316" s="420" t="n">
        <f aca="false">H315+acc_z*pas</f>
        <v>-47.1035452123059</v>
      </c>
      <c r="I316" s="418" t="n">
        <f aca="false">SQRT(vit_x^2+vit_z^2)</f>
        <v>48.5775536869751</v>
      </c>
      <c r="J316" s="419" t="n">
        <f aca="false">J315+0.5*(vit_x+G315)*pas*(K315&gt;=0)</f>
        <v>175.107613972118</v>
      </c>
      <c r="K316" s="420" t="n">
        <f aca="false">K315+0.5*(vit_z+H315)*pas</f>
        <v>192.114235837282</v>
      </c>
      <c r="L316" s="418" t="n">
        <f aca="false">SQRT(pos_x^2+pos_z^2)</f>
        <v>259.943370914419</v>
      </c>
      <c r="M316" s="419" t="n">
        <f aca="false">IF(AND(L315&gt;L_rampe,G316&gt;0),ATAN2(G316,H316),$M$4)</f>
        <v>-1.32382218043543</v>
      </c>
      <c r="N316" s="418" t="n">
        <f aca="false">DEGREES(Beta)</f>
        <v>-75.8494237647563</v>
      </c>
      <c r="O316" s="402"/>
      <c r="P316" s="421" t="n">
        <f aca="false">MATCH(t-pas/2-T_ini,CdP_t)</f>
        <v>23</v>
      </c>
      <c r="Q316" s="418" t="n">
        <f aca="false">(INDEX(CdP,2,i_P+1)-INDEX(CdP,2,i_P+0))/(INDEX(CdP,1,i_P+1)-INDEX(CdP,1,i_P+0))*(t-pas/2-T_ini-INDEX(CdP,1,i_P+0))+INDEX(CdP,2,i_P+0)</f>
        <v>0</v>
      </c>
      <c r="R316" s="419" t="n">
        <f aca="false">Poussee/(g*ISP)</f>
        <v>0</v>
      </c>
      <c r="S316" s="420" t="n">
        <f aca="false">S315-Débit*pas</f>
        <v>1.4843</v>
      </c>
      <c r="T316" s="418" t="n">
        <f aca="false">m*g</f>
        <v>14.560983</v>
      </c>
      <c r="U316" s="422" t="n">
        <f aca="false">IF(pos_xz&lt;L_rampe,Poids*COS(Beta),0)</f>
        <v>0</v>
      </c>
      <c r="V316" s="419" t="n">
        <f aca="false">Rho_moyen*(20000-Alt_rampe-pos_z)/(20000+Alt_rampe+pos_z)</f>
        <v>1.20168991605812</v>
      </c>
      <c r="W316" s="418" t="n">
        <f aca="false">1/2*Rho*Sref*Cx*vit_xz^2</f>
        <v>2.49966864852274</v>
      </c>
      <c r="X316" s="402"/>
      <c r="Y316" s="423" t="str">
        <f aca="false">IF(AND(pos_z&lt;=0,K315&gt;0),"Impact balistique","") &amp; IF(AND(H317&lt;0,vit_z&gt;=0),"Apogée","") &amp; IF(AND(Poussee=0,Q315&gt;0),"Fin de propulsion","") &amp; IF(AND(L317&gt;L_rampe,pos_xz&lt;=L_rampe),"Sortie de rampe","")</f>
        <v/>
      </c>
      <c r="Z316" s="424" t="str">
        <f aca="false">IF(ABS(t-T_para)&lt;pas/2,"Para","")</f>
        <v/>
      </c>
      <c r="AA316" s="425" t="str">
        <f aca="false">IF(ABS(t-T_satellite)&lt;pas/2,"Satellite","")</f>
        <v/>
      </c>
      <c r="AB316" s="413"/>
      <c r="AC316" s="421" t="e">
        <f aca="false">IF(ABS(t-ROUND(t,0))&lt;0.001,t,NA())</f>
        <v>#N/A</v>
      </c>
      <c r="AD316" s="426" t="e">
        <f aca="false">IF(ABS(t-ROUND(t,0))&lt;0.001,pos_x,NA())</f>
        <v>#N/A</v>
      </c>
      <c r="AE316" s="427" t="e">
        <f aca="false">IF(t&lt;T_para, pos_z, NA())</f>
        <v>#N/A</v>
      </c>
      <c r="AF316" s="413"/>
      <c r="AG316" s="419" t="n">
        <f aca="false">IF(AND(L315&lt;L_rampe,Poussee&lt;Poids*SIN(M315)),0,(-W315+Poussee)/m-Poids*SIN(M315)/m)</f>
        <v>7.87099639552616</v>
      </c>
      <c r="AH316" s="418" t="n">
        <f aca="false">IF(AND(L315&lt;L_rampe,Poussee&lt;Poids*SIN(M315)), g*SIN(M315), (-W315+Poussee)/m)</f>
        <v>-1.62913770430525</v>
      </c>
    </row>
    <row r="317" customFormat="false" ht="12" hidden="false" customHeight="false" outlineLevel="0" collapsed="false">
      <c r="A317" s="417" t="n">
        <f aca="false">IF(B316+0.01&lt;=T_ini+ROUNDUP(Temps_fin_propu,0), 0.01, IF(K316&gt;0, 0.1, 0.0001))</f>
        <v>0.1</v>
      </c>
      <c r="B317" s="418" t="n">
        <f aca="false">B316+pas</f>
        <v>13.3</v>
      </c>
      <c r="C317" s="402"/>
      <c r="D317" s="419" t="n">
        <f aca="false">IF(AND(L316&lt;L_rampe,Poussee&lt;Poids*SIN(M316)),0,(-W316+Poussee)/m*COS(M316)-U316/m*SIN(M316))</f>
        <v>-0.411706935297098</v>
      </c>
      <c r="E317" s="420" t="n">
        <f aca="false">IF(AND(L316&lt;L_rampe,Poussee&lt;Poids*SIN(M316)),0,(-W316+Poussee)/m*SIN(M316)+U316/m*COS(M316)-Poids/m)</f>
        <v>-8.17702810364282</v>
      </c>
      <c r="F317" s="418" t="n">
        <f aca="false">SQRT(acc_x^2+acc_z^2)</f>
        <v>8.18738610353367</v>
      </c>
      <c r="G317" s="419" t="n">
        <f aca="false">G316+acc_x*pas</f>
        <v>11.8346345694072</v>
      </c>
      <c r="H317" s="420" t="n">
        <f aca="false">H316+acc_z*pas</f>
        <v>-47.9212480226702</v>
      </c>
      <c r="I317" s="418" t="n">
        <f aca="false">SQRT(vit_x^2+vit_z^2)</f>
        <v>49.3609621810766</v>
      </c>
      <c r="J317" s="419" t="n">
        <f aca="false">J316+0.5*(vit_x+G316)*pas*(K316&gt;=0)</f>
        <v>176.293135963735</v>
      </c>
      <c r="K317" s="420" t="n">
        <f aca="false">K316+0.5*(vit_z+H316)*pas</f>
        <v>187.362996175533</v>
      </c>
      <c r="L317" s="418" t="n">
        <f aca="false">SQRT(pos_x^2+pos_z^2)</f>
        <v>257.262826937358</v>
      </c>
      <c r="M317" s="419" t="n">
        <f aca="false">IF(AND(L316&gt;L_rampe,G317&gt;0),ATAN2(G317,H317),$M$4)</f>
        <v>-1.32868081825572</v>
      </c>
      <c r="N317" s="418" t="n">
        <f aca="false">DEGREES(Beta)</f>
        <v>-76.1278032060415</v>
      </c>
      <c r="O317" s="402"/>
      <c r="P317" s="421" t="n">
        <f aca="false">MATCH(t-pas/2-T_ini,CdP_t)</f>
        <v>23</v>
      </c>
      <c r="Q317" s="418" t="n">
        <f aca="false">(INDEX(CdP,2,i_P+1)-INDEX(CdP,2,i_P+0))/(INDEX(CdP,1,i_P+1)-INDEX(CdP,1,i_P+0))*(t-pas/2-T_ini-INDEX(CdP,1,i_P+0))+INDEX(CdP,2,i_P+0)</f>
        <v>0</v>
      </c>
      <c r="R317" s="419" t="n">
        <f aca="false">Poussee/(g*ISP)</f>
        <v>0</v>
      </c>
      <c r="S317" s="420" t="n">
        <f aca="false">S316-Débit*pas</f>
        <v>1.4843</v>
      </c>
      <c r="T317" s="418" t="n">
        <f aca="false">m*g</f>
        <v>14.560983</v>
      </c>
      <c r="U317" s="422" t="n">
        <f aca="false">IF(pos_xz&lt;L_rampe,Poids*COS(Beta),0)</f>
        <v>0</v>
      </c>
      <c r="V317" s="419" t="n">
        <f aca="false">Rho_moyen*(20000-Alt_rampe-pos_z)/(20000+Alt_rampe+pos_z)</f>
        <v>1.2022610548135</v>
      </c>
      <c r="W317" s="418" t="n">
        <f aca="false">1/2*Rho*Sref*Cx*vit_xz^2</f>
        <v>2.58216956561522</v>
      </c>
      <c r="X317" s="402"/>
      <c r="Y317" s="423" t="str">
        <f aca="false">IF(AND(pos_z&lt;=0,K316&gt;0),"Impact balistique","") &amp; IF(AND(H318&lt;0,vit_z&gt;=0),"Apogée","") &amp; IF(AND(Poussee=0,Q316&gt;0),"Fin de propulsion","") &amp; IF(AND(L318&gt;L_rampe,pos_xz&lt;=L_rampe),"Sortie de rampe","")</f>
        <v/>
      </c>
      <c r="Z317" s="424" t="str">
        <f aca="false">IF(ABS(t-T_para)&lt;pas/2,"Para","")</f>
        <v/>
      </c>
      <c r="AA317" s="425" t="str">
        <f aca="false">IF(ABS(t-T_satellite)&lt;pas/2,"Satellite","")</f>
        <v/>
      </c>
      <c r="AB317" s="413"/>
      <c r="AC317" s="421" t="e">
        <f aca="false">IF(ABS(t-ROUND(t,0))&lt;0.001,t,NA())</f>
        <v>#N/A</v>
      </c>
      <c r="AD317" s="426" t="e">
        <f aca="false">IF(ABS(t-ROUND(t,0))&lt;0.001,pos_x,NA())</f>
        <v>#N/A</v>
      </c>
      <c r="AE317" s="427" t="e">
        <f aca="false">IF(t&lt;T_para, pos_z, NA())</f>
        <v>#N/A</v>
      </c>
      <c r="AF317" s="413"/>
      <c r="AG317" s="419" t="n">
        <f aca="false">IF(AND(L316&lt;L_rampe,Poussee&lt;Poids*SIN(M316)),0,(-W316+Poussee)/m-Poids*SIN(M316)/m)</f>
        <v>7.8282587888984</v>
      </c>
      <c r="AH317" s="418" t="n">
        <f aca="false">IF(AND(L316&lt;L_rampe,Poussee&lt;Poids*SIN(M316)), g*SIN(M316), (-W316+Poussee)/m)</f>
        <v>-1.68407239003082</v>
      </c>
    </row>
    <row r="318" customFormat="false" ht="12" hidden="false" customHeight="false" outlineLevel="0" collapsed="false">
      <c r="A318" s="417" t="n">
        <f aca="false">IF(B317+0.01&lt;=T_ini+ROUNDUP(Temps_fin_propu,0), 0.01, IF(K317&gt;0, 0.1, 0.0001))</f>
        <v>0.1</v>
      </c>
      <c r="B318" s="418" t="n">
        <f aca="false">B317+pas</f>
        <v>13.4</v>
      </c>
      <c r="C318" s="402"/>
      <c r="D318" s="419" t="n">
        <f aca="false">IF(AND(L317&lt;L_rampe,Poussee&lt;Poids*SIN(M317)),0,(-W317+Poussee)/m*COS(M317)-U317/m*SIN(M317))</f>
        <v>-0.417094349349153</v>
      </c>
      <c r="E318" s="420" t="n">
        <f aca="false">IF(AND(L317&lt;L_rampe,Poussee&lt;Poids*SIN(M317)),0,(-W317+Poussee)/m*SIN(M317)+U317/m*COS(M317)-Poids/m)</f>
        <v>-8.12108585171835</v>
      </c>
      <c r="F318" s="418" t="n">
        <f aca="false">SQRT(acc_x^2+acc_z^2)</f>
        <v>8.13178966201407</v>
      </c>
      <c r="G318" s="419" t="n">
        <f aca="false">G317+acc_x*pas</f>
        <v>11.7929251344723</v>
      </c>
      <c r="H318" s="420" t="n">
        <f aca="false">H317+acc_z*pas</f>
        <v>-48.733356607842</v>
      </c>
      <c r="I318" s="418" t="n">
        <f aca="false">SQRT(vit_x^2+vit_z^2)</f>
        <v>50.1399354755705</v>
      </c>
      <c r="J318" s="419" t="n">
        <f aca="false">J317+0.5*(vit_x+G317)*pas*(K317&gt;=0)</f>
        <v>177.474513948929</v>
      </c>
      <c r="K318" s="420" t="n">
        <f aca="false">K317+0.5*(vit_z+H317)*pas</f>
        <v>182.530265944007</v>
      </c>
      <c r="L318" s="418" t="n">
        <f aca="false">SQRT(pos_x^2+pos_z^2)</f>
        <v>254.586922458713</v>
      </c>
      <c r="M318" s="419" t="n">
        <f aca="false">IF(AND(L317&gt;L_rampe,G318&gt;0),ATAN2(G318,H318),$M$4)</f>
        <v>-1.33337173867204</v>
      </c>
      <c r="N318" s="418" t="n">
        <f aca="false">DEGREES(Beta)</f>
        <v>-76.3965731479285</v>
      </c>
      <c r="O318" s="402"/>
      <c r="P318" s="421" t="n">
        <f aca="false">MATCH(t-pas/2-T_ini,CdP_t)</f>
        <v>23</v>
      </c>
      <c r="Q318" s="418" t="n">
        <f aca="false">(INDEX(CdP,2,i_P+1)-INDEX(CdP,2,i_P+0))/(INDEX(CdP,1,i_P+1)-INDEX(CdP,1,i_P+0))*(t-pas/2-T_ini-INDEX(CdP,1,i_P+0))+INDEX(CdP,2,i_P+0)</f>
        <v>0</v>
      </c>
      <c r="R318" s="419" t="n">
        <f aca="false">Poussee/(g*ISP)</f>
        <v>0</v>
      </c>
      <c r="S318" s="420" t="n">
        <f aca="false">S317-Débit*pas</f>
        <v>1.4843</v>
      </c>
      <c r="T318" s="418" t="n">
        <f aca="false">m*g</f>
        <v>14.560983</v>
      </c>
      <c r="U318" s="422" t="n">
        <f aca="false">IF(pos_xz&lt;L_rampe,Poids*COS(Beta),0)</f>
        <v>0</v>
      </c>
      <c r="V318" s="419" t="n">
        <f aca="false">Rho_moyen*(20000-Alt_rampe-pos_z)/(20000+Alt_rampe+pos_z)</f>
        <v>1.2028422652824</v>
      </c>
      <c r="W318" s="418" t="n">
        <f aca="false">1/2*Rho*Sref*Cx*vit_xz^2</f>
        <v>2.66559992119795</v>
      </c>
      <c r="X318" s="402"/>
      <c r="Y318" s="423" t="str">
        <f aca="false">IF(AND(pos_z&lt;=0,K317&gt;0),"Impact balistique","") &amp; IF(AND(H319&lt;0,vit_z&gt;=0),"Apogée","") &amp; IF(AND(Poussee=0,Q317&gt;0),"Fin de propulsion","") &amp; IF(AND(L319&gt;L_rampe,pos_xz&lt;=L_rampe),"Sortie de rampe","")</f>
        <v/>
      </c>
      <c r="Z318" s="424" t="str">
        <f aca="false">IF(ABS(t-T_para)&lt;pas/2,"Para","")</f>
        <v/>
      </c>
      <c r="AA318" s="425" t="str">
        <f aca="false">IF(ABS(t-T_satellite)&lt;pas/2,"Satellite","")</f>
        <v/>
      </c>
      <c r="AB318" s="413"/>
      <c r="AC318" s="421" t="e">
        <f aca="false">IF(ABS(t-ROUND(t,0))&lt;0.001,t,NA())</f>
        <v>#N/A</v>
      </c>
      <c r="AD318" s="426" t="e">
        <f aca="false">IF(ABS(t-ROUND(t,0))&lt;0.001,pos_x,NA())</f>
        <v>#N/A</v>
      </c>
      <c r="AE318" s="427" t="e">
        <f aca="false">IF(t&lt;T_para, pos_z, NA())</f>
        <v>#N/A</v>
      </c>
      <c r="AF318" s="413"/>
      <c r="AG318" s="419" t="n">
        <f aca="false">IF(AND(L317&lt;L_rampe,Poussee&lt;Poids*SIN(M317)),0,(-W317+Poussee)/m-Poids*SIN(M317)/m)</f>
        <v>7.78421637525097</v>
      </c>
      <c r="AH318" s="418" t="n">
        <f aca="false">IF(AND(L317&lt;L_rampe,Poussee&lt;Poids*SIN(M317)), g*SIN(M317), (-W317+Poussee)/m)</f>
        <v>-1.73965476360252</v>
      </c>
    </row>
    <row r="319" customFormat="false" ht="12" hidden="false" customHeight="false" outlineLevel="0" collapsed="false">
      <c r="A319" s="417" t="n">
        <f aca="false">IF(B318+0.01&lt;=T_ini+ROUNDUP(Temps_fin_propu,0), 0.01, IF(K318&gt;0, 0.1, 0.0001))</f>
        <v>0.1</v>
      </c>
      <c r="B319" s="418" t="n">
        <f aca="false">B318+pas</f>
        <v>13.5</v>
      </c>
      <c r="C319" s="402"/>
      <c r="D319" s="419" t="n">
        <f aca="false">IF(AND(L318&lt;L_rampe,Poussee&lt;Poids*SIN(M318)),0,(-W318+Poussee)/m*COS(M318)-U318/m*SIN(M318))</f>
        <v>-0.42238749305244</v>
      </c>
      <c r="E319" s="420" t="n">
        <f aca="false">IF(AND(L318&lt;L_rampe,Poussee&lt;Poids*SIN(M318)),0,(-W318+Poussee)/m*SIN(M318)+U318/m*COS(M318)-Poids/m)</f>
        <v>-8.06451615346509</v>
      </c>
      <c r="F319" s="418" t="n">
        <f aca="false">SQRT(acc_x^2+acc_z^2)</f>
        <v>8.07557007175261</v>
      </c>
      <c r="G319" s="419" t="n">
        <f aca="false">G318+acc_x*pas</f>
        <v>11.7506863851671</v>
      </c>
      <c r="H319" s="420" t="n">
        <f aca="false">H318+acc_z*pas</f>
        <v>-49.5398082231885</v>
      </c>
      <c r="I319" s="418" t="n">
        <f aca="false">SQRT(vit_x^2+vit_z^2)</f>
        <v>50.9143518991733</v>
      </c>
      <c r="J319" s="419" t="n">
        <f aca="false">J318+0.5*(vit_x+G318)*pas*(K318&gt;=0)</f>
        <v>178.651694524911</v>
      </c>
      <c r="K319" s="420" t="n">
        <f aca="false">K318+0.5*(vit_z+H318)*pas</f>
        <v>177.616607702456</v>
      </c>
      <c r="L319" s="418" t="n">
        <f aca="false">SQRT(pos_x^2+pos_z^2)</f>
        <v>251.920795664729</v>
      </c>
      <c r="M319" s="419" t="n">
        <f aca="false">IF(AND(L318&gt;L_rampe,G319&gt;0),ATAN2(G319,H319),$M$4)</f>
        <v>-1.337903510599</v>
      </c>
      <c r="N319" s="418" t="n">
        <f aca="false">DEGREES(Beta)</f>
        <v>-76.6562245530589</v>
      </c>
      <c r="O319" s="402"/>
      <c r="P319" s="421" t="n">
        <f aca="false">MATCH(t-pas/2-T_ini,CdP_t)</f>
        <v>23</v>
      </c>
      <c r="Q319" s="418" t="n">
        <f aca="false">(INDEX(CdP,2,i_P+1)-INDEX(CdP,2,i_P+0))/(INDEX(CdP,1,i_P+1)-INDEX(CdP,1,i_P+0))*(t-pas/2-T_ini-INDEX(CdP,1,i_P+0))+INDEX(CdP,2,i_P+0)</f>
        <v>0</v>
      </c>
      <c r="R319" s="419" t="n">
        <f aca="false">Poussee/(g*ISP)</f>
        <v>0</v>
      </c>
      <c r="S319" s="420" t="n">
        <f aca="false">S318-Débit*pas</f>
        <v>1.4843</v>
      </c>
      <c r="T319" s="418" t="n">
        <f aca="false">m*g</f>
        <v>14.560983</v>
      </c>
      <c r="U319" s="422" t="n">
        <f aca="false">IF(pos_xz&lt;L_rampe,Poids*COS(Beta),0)</f>
        <v>0</v>
      </c>
      <c r="V319" s="419" t="n">
        <f aca="false">Rho_moyen*(20000-Alt_rampe-pos_z)/(20000+Alt_rampe+pos_z)</f>
        <v>1.2034334940379</v>
      </c>
      <c r="W319" s="418" t="n">
        <f aca="false">1/2*Rho*Sref*Cx*vit_xz^2</f>
        <v>2.74992772726624</v>
      </c>
      <c r="X319" s="402"/>
      <c r="Y319" s="423" t="str">
        <f aca="false">IF(AND(pos_z&lt;=0,K318&gt;0),"Impact balistique","") &amp; IF(AND(H320&lt;0,vit_z&gt;=0),"Apogée","") &amp; IF(AND(Poussee=0,Q318&gt;0),"Fin de propulsion","") &amp; IF(AND(L320&gt;L_rampe,pos_xz&lt;=L_rampe),"Sortie de rampe","")</f>
        <v/>
      </c>
      <c r="Z319" s="424" t="str">
        <f aca="false">IF(ABS(t-T_para)&lt;pas/2,"Para","")</f>
        <v/>
      </c>
      <c r="AA319" s="425" t="str">
        <f aca="false">IF(ABS(t-T_satellite)&lt;pas/2,"Satellite","")</f>
        <v/>
      </c>
      <c r="AB319" s="413"/>
      <c r="AC319" s="421" t="e">
        <f aca="false">IF(ABS(t-ROUND(t,0))&lt;0.001,t,NA())</f>
        <v>#N/A</v>
      </c>
      <c r="AD319" s="426" t="e">
        <f aca="false">IF(ABS(t-ROUND(t,0))&lt;0.001,pos_x,NA())</f>
        <v>#N/A</v>
      </c>
      <c r="AE319" s="427" t="e">
        <f aca="false">IF(t&lt;T_para, pos_z, NA())</f>
        <v>#N/A</v>
      </c>
      <c r="AF319" s="413"/>
      <c r="AG319" s="419" t="n">
        <f aca="false">IF(AND(L318&lt;L_rampe,Poussee&lt;Poids*SIN(M318)),0,(-W318+Poussee)/m-Poids*SIN(M318)/m)</f>
        <v>7.7389361157489</v>
      </c>
      <c r="AH319" s="418" t="n">
        <f aca="false">IF(AND(L318&lt;L_rampe,Poussee&lt;Poids*SIN(M318)), g*SIN(M318), (-W318+Poussee)/m)</f>
        <v>-1.79586331684831</v>
      </c>
    </row>
    <row r="320" customFormat="false" ht="12" hidden="false" customHeight="false" outlineLevel="0" collapsed="false">
      <c r="A320" s="417" t="n">
        <f aca="false">IF(B319+0.01&lt;=T_ini+ROUNDUP(Temps_fin_propu,0), 0.01, IF(K319&gt;0, 0.1, 0.0001))</f>
        <v>0.1</v>
      </c>
      <c r="B320" s="418" t="n">
        <f aca="false">B319+pas</f>
        <v>13.6</v>
      </c>
      <c r="C320" s="402"/>
      <c r="D320" s="419" t="n">
        <f aca="false">IF(AND(L319&lt;L_rampe,Poussee&lt;Poids*SIN(M319)),0,(-W319+Poussee)/m*COS(M319)-U319/m*SIN(M319))</f>
        <v>-0.427585144449079</v>
      </c>
      <c r="E320" s="420" t="n">
        <f aca="false">IF(AND(L319&lt;L_rampe,Poussee&lt;Poids*SIN(M319)),0,(-W319+Poussee)/m*SIN(M319)+U319/m*COS(M319)-Poids/m)</f>
        <v>-8.00734053307469</v>
      </c>
      <c r="F320" s="418" t="n">
        <f aca="false">SQRT(acc_x^2+acc_z^2)</f>
        <v>8.01874874705365</v>
      </c>
      <c r="G320" s="419" t="n">
        <f aca="false">G319+acc_x*pas</f>
        <v>11.7079278707222</v>
      </c>
      <c r="H320" s="420" t="n">
        <f aca="false">H319+acc_z*pas</f>
        <v>-50.340542276496</v>
      </c>
      <c r="I320" s="418" t="n">
        <f aca="false">SQRT(vit_x^2+vit_z^2)</f>
        <v>51.6840959262877</v>
      </c>
      <c r="J320" s="419" t="n">
        <f aca="false">J319+0.5*(vit_x+G319)*pas*(K319&gt;=0)</f>
        <v>179.824625237706</v>
      </c>
      <c r="K320" s="420" t="n">
        <f aca="false">K319+0.5*(vit_z+H319)*pas</f>
        <v>172.622590177472</v>
      </c>
      <c r="L320" s="418" t="n">
        <f aca="false">SQRT(pos_x^2+pos_z^2)</f>
        <v>249.269842703566</v>
      </c>
      <c r="M320" s="419" t="n">
        <f aca="false">IF(AND(L319&gt;L_rampe,G320&gt;0),ATAN2(G320,H320),$M$4)</f>
        <v>-1.3422841397427</v>
      </c>
      <c r="N320" s="418" t="n">
        <f aca="false">DEGREES(Beta)</f>
        <v>-76.9072161146049</v>
      </c>
      <c r="O320" s="402"/>
      <c r="P320" s="421" t="n">
        <f aca="false">MATCH(t-pas/2-T_ini,CdP_t)</f>
        <v>23</v>
      </c>
      <c r="Q320" s="418" t="n">
        <f aca="false">(INDEX(CdP,2,i_P+1)-INDEX(CdP,2,i_P+0))/(INDEX(CdP,1,i_P+1)-INDEX(CdP,1,i_P+0))*(t-pas/2-T_ini-INDEX(CdP,1,i_P+0))+INDEX(CdP,2,i_P+0)</f>
        <v>0</v>
      </c>
      <c r="R320" s="419" t="n">
        <f aca="false">Poussee/(g*ISP)</f>
        <v>0</v>
      </c>
      <c r="S320" s="420" t="n">
        <f aca="false">S319-Débit*pas</f>
        <v>1.4843</v>
      </c>
      <c r="T320" s="418" t="n">
        <f aca="false">m*g</f>
        <v>14.560983</v>
      </c>
      <c r="U320" s="422" t="n">
        <f aca="false">IF(pos_xz&lt;L_rampe,Poids*COS(Beta),0)</f>
        <v>0</v>
      </c>
      <c r="V320" s="419" t="n">
        <f aca="false">Rho_moyen*(20000-Alt_rampe-pos_z)/(20000+Alt_rampe+pos_z)</f>
        <v>1.20403468703466</v>
      </c>
      <c r="W320" s="418" t="n">
        <f aca="false">1/2*Rho*Sref*Cx*vit_xz^2</f>
        <v>2.83512095506449</v>
      </c>
      <c r="X320" s="402"/>
      <c r="Y320" s="423" t="str">
        <f aca="false">IF(AND(pos_z&lt;=0,K319&gt;0),"Impact balistique","") &amp; IF(AND(H321&lt;0,vit_z&gt;=0),"Apogée","") &amp; IF(AND(Poussee=0,Q319&gt;0),"Fin de propulsion","") &amp; IF(AND(L321&gt;L_rampe,pos_xz&lt;=L_rampe),"Sortie de rampe","")</f>
        <v/>
      </c>
      <c r="Z320" s="424" t="str">
        <f aca="false">IF(ABS(t-T_para)&lt;pas/2,"Para","")</f>
        <v/>
      </c>
      <c r="AA320" s="425" t="str">
        <f aca="false">IF(ABS(t-T_satellite)&lt;pas/2,"Satellite","")</f>
        <v/>
      </c>
      <c r="AB320" s="413"/>
      <c r="AC320" s="421" t="e">
        <f aca="false">IF(ABS(t-ROUND(t,0))&lt;0.001,t,NA())</f>
        <v>#N/A</v>
      </c>
      <c r="AD320" s="426" t="e">
        <f aca="false">IF(ABS(t-ROUND(t,0))&lt;0.001,pos_x,NA())</f>
        <v>#N/A</v>
      </c>
      <c r="AE320" s="427" t="e">
        <f aca="false">IF(t&lt;T_para, pos_z, NA())</f>
        <v>#N/A</v>
      </c>
      <c r="AF320" s="413"/>
      <c r="AG320" s="419" t="n">
        <f aca="false">IF(AND(L319&lt;L_rampe,Poussee&lt;Poids*SIN(M319)),0,(-W319+Poussee)/m-Poids*SIN(M319)/m)</f>
        <v>7.69248121289091</v>
      </c>
      <c r="AH320" s="418" t="n">
        <f aca="false">IF(AND(L319&lt;L_rampe,Poussee&lt;Poids*SIN(M319)), g*SIN(M319), (-W319+Poussee)/m)</f>
        <v>-1.85267649886562</v>
      </c>
    </row>
    <row r="321" customFormat="false" ht="12" hidden="false" customHeight="false" outlineLevel="0" collapsed="false">
      <c r="A321" s="417" t="n">
        <f aca="false">IF(B320+0.01&lt;=T_ini+ROUNDUP(Temps_fin_propu,0), 0.01, IF(K320&gt;0, 0.1, 0.0001))</f>
        <v>0.1</v>
      </c>
      <c r="B321" s="418" t="n">
        <f aca="false">B320+pas</f>
        <v>13.7</v>
      </c>
      <c r="C321" s="402"/>
      <c r="D321" s="419" t="n">
        <f aca="false">IF(AND(L320&lt;L_rampe,Poussee&lt;Poids*SIN(M320)),0,(-W320+Poussee)/m*COS(M320)-U320/m*SIN(M320))</f>
        <v>-0.432686174829402</v>
      </c>
      <c r="E321" s="420" t="n">
        <f aca="false">IF(AND(L320&lt;L_rampe,Poussee&lt;Poids*SIN(M320)),0,(-W320+Poussee)/m*SIN(M320)+U320/m*COS(M320)-Poids/m)</f>
        <v>-7.94958055456389</v>
      </c>
      <c r="F321" s="418" t="n">
        <f aca="false">SQRT(acc_x^2+acc_z^2)</f>
        <v>7.96134714224853</v>
      </c>
      <c r="G321" s="419" t="n">
        <f aca="false">G320+acc_x*pas</f>
        <v>11.6646592532392</v>
      </c>
      <c r="H321" s="420" t="n">
        <f aca="false">H320+acc_z*pas</f>
        <v>-51.1355003319524</v>
      </c>
      <c r="I321" s="418" t="n">
        <f aca="false">SQRT(vit_x^2+vit_z^2)</f>
        <v>52.4490578532473</v>
      </c>
      <c r="J321" s="419" t="n">
        <f aca="false">J320+0.5*(vit_x+G320)*pas*(K320&gt;=0)</f>
        <v>180.993254593904</v>
      </c>
      <c r="K321" s="420" t="n">
        <f aca="false">K320+0.5*(vit_z+H320)*pas</f>
        <v>167.548788047049</v>
      </c>
      <c r="L321" s="418" t="n">
        <f aca="false">SQRT(pos_x^2+pos_z^2)</f>
        <v>246.639726290249</v>
      </c>
      <c r="M321" s="419" t="n">
        <f aca="false">IF(AND(L320&gt;L_rampe,G321&gt;0),ATAN2(G321,H321),$M$4)</f>
        <v>-1.34652111306767</v>
      </c>
      <c r="N321" s="418" t="n">
        <f aca="false">DEGREES(Beta)</f>
        <v>-77.1499768040355</v>
      </c>
      <c r="O321" s="402"/>
      <c r="P321" s="421" t="n">
        <f aca="false">MATCH(t-pas/2-T_ini,CdP_t)</f>
        <v>23</v>
      </c>
      <c r="Q321" s="418" t="n">
        <f aca="false">(INDEX(CdP,2,i_P+1)-INDEX(CdP,2,i_P+0))/(INDEX(CdP,1,i_P+1)-INDEX(CdP,1,i_P+0))*(t-pas/2-T_ini-INDEX(CdP,1,i_P+0))+INDEX(CdP,2,i_P+0)</f>
        <v>0</v>
      </c>
      <c r="R321" s="419" t="n">
        <f aca="false">Poussee/(g*ISP)</f>
        <v>0</v>
      </c>
      <c r="S321" s="420" t="n">
        <f aca="false">S320-Débit*pas</f>
        <v>1.4843</v>
      </c>
      <c r="T321" s="418" t="n">
        <f aca="false">m*g</f>
        <v>14.560983</v>
      </c>
      <c r="U321" s="422" t="n">
        <f aca="false">IF(pos_xz&lt;L_rampe,Poids*COS(Beta),0)</f>
        <v>0</v>
      </c>
      <c r="V321" s="419" t="n">
        <f aca="false">Rho_moyen*(20000-Alt_rampe-pos_z)/(20000+Alt_rampe+pos_z)</f>
        <v>1.20464578962821</v>
      </c>
      <c r="W321" s="418" t="n">
        <f aca="false">1/2*Rho*Sref*Cx*vit_xz^2</f>
        <v>2.92114755745421</v>
      </c>
      <c r="X321" s="402"/>
      <c r="Y321" s="423" t="str">
        <f aca="false">IF(AND(pos_z&lt;=0,K320&gt;0),"Impact balistique","") &amp; IF(AND(H322&lt;0,vit_z&gt;=0),"Apogée","") &amp; IF(AND(Poussee=0,Q320&gt;0),"Fin de propulsion","") &amp; IF(AND(L322&gt;L_rampe,pos_xz&lt;=L_rampe),"Sortie de rampe","")</f>
        <v/>
      </c>
      <c r="Z321" s="424" t="str">
        <f aca="false">IF(ABS(t-T_para)&lt;pas/2,"Para","")</f>
        <v/>
      </c>
      <c r="AA321" s="425" t="str">
        <f aca="false">IF(ABS(t-T_satellite)&lt;pas/2,"Satellite","")</f>
        <v/>
      </c>
      <c r="AB321" s="413"/>
      <c r="AC321" s="421" t="e">
        <f aca="false">IF(ABS(t-ROUND(t,0))&lt;0.001,t,NA())</f>
        <v>#N/A</v>
      </c>
      <c r="AD321" s="426" t="e">
        <f aca="false">IF(ABS(t-ROUND(t,0))&lt;0.001,pos_x,NA())</f>
        <v>#N/A</v>
      </c>
      <c r="AE321" s="427" t="e">
        <f aca="false">IF(t&lt;T_para, pos_z, NA())</f>
        <v>#N/A</v>
      </c>
      <c r="AF321" s="413"/>
      <c r="AG321" s="419" t="n">
        <f aca="false">IF(AND(L320&lt;L_rampe,Poussee&lt;Poids*SIN(M320)),0,(-W320+Poussee)/m-Poids*SIN(M320)/m)</f>
        <v>7.64491146416485</v>
      </c>
      <c r="AH321" s="418" t="n">
        <f aca="false">IF(AND(L320&lt;L_rampe,Poussee&lt;Poids*SIN(M320)), g*SIN(M320), (-W320+Poussee)/m)</f>
        <v>-1.91007273129724</v>
      </c>
    </row>
    <row r="322" customFormat="false" ht="12" hidden="false" customHeight="false" outlineLevel="0" collapsed="false">
      <c r="A322" s="417" t="n">
        <f aca="false">IF(B321+0.01&lt;=T_ini+ROUNDUP(Temps_fin_propu,0), 0.01, IF(K321&gt;0, 0.1, 0.0001))</f>
        <v>0.1</v>
      </c>
      <c r="B322" s="418" t="n">
        <f aca="false">B321+pas</f>
        <v>13.8</v>
      </c>
      <c r="C322" s="402"/>
      <c r="D322" s="419" t="n">
        <f aca="false">IF(AND(L321&lt;L_rampe,Poussee&lt;Poids*SIN(M321)),0,(-W321+Poussee)/m*COS(M321)-U321/m*SIN(M321))</f>
        <v>-0.43768954541021</v>
      </c>
      <c r="E322" s="420" t="n">
        <f aca="false">IF(AND(L321&lt;L_rampe,Poussee&lt;Poids*SIN(M321)),0,(-W321+Poussee)/m*SIN(M321)+U321/m*COS(M321)-Poids/m)</f>
        <v>-7.89125780541762</v>
      </c>
      <c r="F322" s="418" t="n">
        <f aca="false">SQRT(acc_x^2+acc_z^2)</f>
        <v>7.90338673542716</v>
      </c>
      <c r="G322" s="419" t="n">
        <f aca="false">G321+acc_x*pas</f>
        <v>11.6208902986982</v>
      </c>
      <c r="H322" s="420" t="n">
        <f aca="false">H321+acc_z*pas</f>
        <v>-51.9246261124941</v>
      </c>
      <c r="I322" s="418" t="n">
        <f aca="false">SQRT(vit_x^2+vit_z^2)</f>
        <v>53.2091335040958</v>
      </c>
      <c r="J322" s="419" t="n">
        <f aca="false">J321+0.5*(vit_x+G321)*pas*(K321&gt;=0)</f>
        <v>182.157532071501</v>
      </c>
      <c r="K322" s="420" t="n">
        <f aca="false">K321+0.5*(vit_z+H321)*pas</f>
        <v>162.395781724827</v>
      </c>
      <c r="L322" s="418" t="n">
        <f aca="false">SQRT(pos_x^2+pos_z^2)</f>
        <v>244.036383378375</v>
      </c>
      <c r="M322" s="419" t="n">
        <f aca="false">IF(AND(L321&gt;L_rampe,G322&gt;0),ATAN2(G322,H322),$M$4)</f>
        <v>-1.35062143921939</v>
      </c>
      <c r="N322" s="418" t="n">
        <f aca="false">DEGREES(Beta)</f>
        <v>-77.3849081871563</v>
      </c>
      <c r="O322" s="402"/>
      <c r="P322" s="421" t="n">
        <f aca="false">MATCH(t-pas/2-T_ini,CdP_t)</f>
        <v>23</v>
      </c>
      <c r="Q322" s="418" t="n">
        <f aca="false">(INDEX(CdP,2,i_P+1)-INDEX(CdP,2,i_P+0))/(INDEX(CdP,1,i_P+1)-INDEX(CdP,1,i_P+0))*(t-pas/2-T_ini-INDEX(CdP,1,i_P+0))+INDEX(CdP,2,i_P+0)</f>
        <v>0</v>
      </c>
      <c r="R322" s="419" t="n">
        <f aca="false">Poussee/(g*ISP)</f>
        <v>0</v>
      </c>
      <c r="S322" s="420" t="n">
        <f aca="false">S321-Débit*pas</f>
        <v>1.4843</v>
      </c>
      <c r="T322" s="418" t="n">
        <f aca="false">m*g</f>
        <v>14.560983</v>
      </c>
      <c r="U322" s="422" t="n">
        <f aca="false">IF(pos_xz&lt;L_rampe,Poids*COS(Beta),0)</f>
        <v>0</v>
      </c>
      <c r="V322" s="419" t="n">
        <f aca="false">Rho_moyen*(20000-Alt_rampe-pos_z)/(20000+Alt_rampe+pos_z)</f>
        <v>1.20526674659435</v>
      </c>
      <c r="W322" s="418" t="n">
        <f aca="false">1/2*Rho*Sref*Cx*vit_xz^2</f>
        <v>3.00797549095254</v>
      </c>
      <c r="X322" s="402"/>
      <c r="Y322" s="423" t="str">
        <f aca="false">IF(AND(pos_z&lt;=0,K321&gt;0),"Impact balistique","") &amp; IF(AND(H323&lt;0,vit_z&gt;=0),"Apogée","") &amp; IF(AND(Poussee=0,Q321&gt;0),"Fin de propulsion","") &amp; IF(AND(L323&gt;L_rampe,pos_xz&lt;=L_rampe),"Sortie de rampe","")</f>
        <v/>
      </c>
      <c r="Z322" s="424" t="str">
        <f aca="false">IF(ABS(t-T_para)&lt;pas/2,"Para","")</f>
        <v/>
      </c>
      <c r="AA322" s="425" t="str">
        <f aca="false">IF(ABS(t-T_satellite)&lt;pas/2,"Satellite","")</f>
        <v/>
      </c>
      <c r="AB322" s="413"/>
      <c r="AC322" s="421" t="e">
        <f aca="false">IF(ABS(t-ROUND(t,0))&lt;0.001,t,NA())</f>
        <v>#N/A</v>
      </c>
      <c r="AD322" s="426" t="e">
        <f aca="false">IF(ABS(t-ROUND(t,0))&lt;0.001,pos_x,NA())</f>
        <v>#N/A</v>
      </c>
      <c r="AE322" s="427" t="e">
        <f aca="false">IF(t&lt;T_para, pos_z, NA())</f>
        <v>#N/A</v>
      </c>
      <c r="AF322" s="413"/>
      <c r="AG322" s="419" t="n">
        <f aca="false">IF(AND(L321&lt;L_rampe,Poussee&lt;Poids*SIN(M321)),0,(-W321+Poussee)/m-Poids*SIN(M321)/m)</f>
        <v>7.59628357552798</v>
      </c>
      <c r="AH322" s="418" t="n">
        <f aca="false">IF(AND(L321&lt;L_rampe,Poussee&lt;Poids*SIN(M321)), g*SIN(M321), (-W321+Poussee)/m)</f>
        <v>-1.96803042340107</v>
      </c>
    </row>
    <row r="323" customFormat="false" ht="12" hidden="false" customHeight="false" outlineLevel="0" collapsed="false">
      <c r="A323" s="417" t="n">
        <f aca="false">IF(B322+0.01&lt;=T_ini+ROUNDUP(Temps_fin_propu,0), 0.01, IF(K322&gt;0, 0.1, 0.0001))</f>
        <v>0.1</v>
      </c>
      <c r="B323" s="418" t="n">
        <f aca="false">B322+pas</f>
        <v>13.9</v>
      </c>
      <c r="C323" s="402"/>
      <c r="D323" s="419" t="n">
        <f aca="false">IF(AND(L322&lt;L_rampe,Poussee&lt;Poids*SIN(M322)),0,(-W322+Poussee)/m*COS(M322)-U322/m*SIN(M322))</f>
        <v>-0.442594304249839</v>
      </c>
      <c r="E323" s="420" t="n">
        <f aca="false">IF(AND(L322&lt;L_rampe,Poussee&lt;Poids*SIN(M322)),0,(-W322+Poussee)/m*SIN(M322)+U322/m*COS(M322)-Poids/m)</f>
        <v>-7.83239388059047</v>
      </c>
      <c r="F323" s="418" t="n">
        <f aca="false">SQRT(acc_x^2+acc_z^2)</f>
        <v>7.84488901252691</v>
      </c>
      <c r="G323" s="419" t="n">
        <f aca="false">G322+acc_x*pas</f>
        <v>11.5766308682732</v>
      </c>
      <c r="H323" s="420" t="n">
        <f aca="false">H322+acc_z*pas</f>
        <v>-52.7078655005532</v>
      </c>
      <c r="I323" s="418" t="n">
        <f aca="false">SQRT(vit_x^2+vit_z^2)</f>
        <v>53.9642239625908</v>
      </c>
      <c r="J323" s="419" t="n">
        <f aca="false">J322+0.5*(vit_x+G322)*pas*(K322&gt;=0)</f>
        <v>183.317408129849</v>
      </c>
      <c r="K323" s="420" t="n">
        <f aca="false">K322+0.5*(vit_z+H322)*pas</f>
        <v>157.164157144174</v>
      </c>
      <c r="L323" s="418" t="n">
        <f aca="false">SQRT(pos_x^2+pos_z^2)</f>
        <v>241.466031595097</v>
      </c>
      <c r="M323" s="419" t="n">
        <f aca="false">IF(AND(L322&gt;L_rampe,G323&gt;0),ATAN2(G323,H323),$M$4)</f>
        <v>-1.35459168531334</v>
      </c>
      <c r="N323" s="418" t="n">
        <f aca="false">DEGREES(Beta)</f>
        <v>-77.6123865319675</v>
      </c>
      <c r="O323" s="402"/>
      <c r="P323" s="421" t="n">
        <f aca="false">MATCH(t-pas/2-T_ini,CdP_t)</f>
        <v>23</v>
      </c>
      <c r="Q323" s="418" t="n">
        <f aca="false">(INDEX(CdP,2,i_P+1)-INDEX(CdP,2,i_P+0))/(INDEX(CdP,1,i_P+1)-INDEX(CdP,1,i_P+0))*(t-pas/2-T_ini-INDEX(CdP,1,i_P+0))+INDEX(CdP,2,i_P+0)</f>
        <v>0</v>
      </c>
      <c r="R323" s="419" t="n">
        <f aca="false">Poussee/(g*ISP)</f>
        <v>0</v>
      </c>
      <c r="S323" s="420" t="n">
        <f aca="false">S322-Débit*pas</f>
        <v>1.4843</v>
      </c>
      <c r="T323" s="418" t="n">
        <f aca="false">m*g</f>
        <v>14.560983</v>
      </c>
      <c r="U323" s="422" t="n">
        <f aca="false">IF(pos_xz&lt;L_rampe,Poids*COS(Beta),0)</f>
        <v>0</v>
      </c>
      <c r="V323" s="419" t="n">
        <f aca="false">Rho_moyen*(20000-Alt_rampe-pos_z)/(20000+Alt_rampe+pos_z)</f>
        <v>1.20589750214855</v>
      </c>
      <c r="W323" s="418" t="n">
        <f aca="false">1/2*Rho*Sref*Cx*vit_xz^2</f>
        <v>3.09557273741893</v>
      </c>
      <c r="X323" s="402"/>
      <c r="Y323" s="423" t="str">
        <f aca="false">IF(AND(pos_z&lt;=0,K322&gt;0),"Impact balistique","") &amp; IF(AND(H324&lt;0,vit_z&gt;=0),"Apogée","") &amp; IF(AND(Poussee=0,Q322&gt;0),"Fin de propulsion","") &amp; IF(AND(L324&gt;L_rampe,pos_xz&lt;=L_rampe),"Sortie de rampe","")</f>
        <v/>
      </c>
      <c r="Z323" s="424" t="str">
        <f aca="false">IF(ABS(t-T_para)&lt;pas/2,"Para","")</f>
        <v/>
      </c>
      <c r="AA323" s="425" t="str">
        <f aca="false">IF(ABS(t-T_satellite)&lt;pas/2,"Satellite","")</f>
        <v/>
      </c>
      <c r="AB323" s="413"/>
      <c r="AC323" s="421" t="e">
        <f aca="false">IF(ABS(t-ROUND(t,0))&lt;0.001,t,NA())</f>
        <v>#N/A</v>
      </c>
      <c r="AD323" s="426" t="e">
        <f aca="false">IF(ABS(t-ROUND(t,0))&lt;0.001,pos_x,NA())</f>
        <v>#N/A</v>
      </c>
      <c r="AE323" s="427" t="e">
        <f aca="false">IF(t&lt;T_para, pos_z, NA())</f>
        <v>#N/A</v>
      </c>
      <c r="AF323" s="413"/>
      <c r="AG323" s="419" t="n">
        <f aca="false">IF(AND(L322&lt;L_rampe,Poussee&lt;Poids*SIN(M322)),0,(-W322+Poussee)/m-Poids*SIN(M322)/m)</f>
        <v>7.54665143960711</v>
      </c>
      <c r="AH323" s="418" t="n">
        <f aca="false">IF(AND(L322&lt;L_rampe,Poussee&lt;Poids*SIN(M322)), g*SIN(M322), (-W322+Poussee)/m)</f>
        <v>-2.02652798689789</v>
      </c>
    </row>
    <row r="324" customFormat="false" ht="12" hidden="false" customHeight="false" outlineLevel="0" collapsed="false">
      <c r="A324" s="417" t="n">
        <f aca="false">IF(B323+0.01&lt;=T_ini+ROUNDUP(Temps_fin_propu,0), 0.01, IF(K323&gt;0, 0.1, 0.0001))</f>
        <v>0.1</v>
      </c>
      <c r="B324" s="418" t="n">
        <f aca="false">B323+pas</f>
        <v>14</v>
      </c>
      <c r="C324" s="402"/>
      <c r="D324" s="419" t="n">
        <f aca="false">IF(AND(L323&lt;L_rampe,Poussee&lt;Poids*SIN(M323)),0,(-W323+Poussee)/m*COS(M323)-U323/m*SIN(M323))</f>
        <v>-0.447399583370686</v>
      </c>
      <c r="E324" s="420" t="n">
        <f aca="false">IF(AND(L323&lt;L_rampe,Poussee&lt;Poids*SIN(M323)),0,(-W323+Poussee)/m*SIN(M323)+U323/m*COS(M323)-Poids/m)</f>
        <v>-7.77301036686479</v>
      </c>
      <c r="F324" s="418" t="n">
        <f aca="false">SQRT(acc_x^2+acc_z^2)</f>
        <v>7.78587545177726</v>
      </c>
      <c r="G324" s="419" t="n">
        <f aca="false">G323+acc_x*pas</f>
        <v>11.5318909099361</v>
      </c>
      <c r="H324" s="420" t="n">
        <f aca="false">H323+acc_z*pas</f>
        <v>-53.4851665372397</v>
      </c>
      <c r="I324" s="418" t="n">
        <f aca="false">SQRT(vit_x^2+vit_z^2)</f>
        <v>54.7142353275172</v>
      </c>
      <c r="J324" s="419" t="n">
        <f aca="false">J323+0.5*(vit_x+G323)*pas*(K323&gt;=0)</f>
        <v>184.47283421876</v>
      </c>
      <c r="K324" s="420" t="n">
        <f aca="false">K323+0.5*(vit_z+H323)*pas</f>
        <v>151.854505542285</v>
      </c>
      <c r="L324" s="418" t="n">
        <f aca="false">SQRT(pos_x^2+pos_z^2)</f>
        <v>238.935174091622</v>
      </c>
      <c r="M324" s="419" t="n">
        <f aca="false">IF(AND(L323&gt;L_rampe,G324&gt;0),ATAN2(G324,H324),$M$4)</f>
        <v>-1.35843801045595</v>
      </c>
      <c r="N324" s="418" t="n">
        <f aca="false">DEGREES(Beta)</f>
        <v>-77.8327647292746</v>
      </c>
      <c r="O324" s="402"/>
      <c r="P324" s="421" t="n">
        <f aca="false">MATCH(t-pas/2-T_ini,CdP_t)</f>
        <v>23</v>
      </c>
      <c r="Q324" s="418" t="n">
        <f aca="false">(INDEX(CdP,2,i_P+1)-INDEX(CdP,2,i_P+0))/(INDEX(CdP,1,i_P+1)-INDEX(CdP,1,i_P+0))*(t-pas/2-T_ini-INDEX(CdP,1,i_P+0))+INDEX(CdP,2,i_P+0)</f>
        <v>0</v>
      </c>
      <c r="R324" s="419" t="n">
        <f aca="false">Poussee/(g*ISP)</f>
        <v>0</v>
      </c>
      <c r="S324" s="420" t="n">
        <f aca="false">S323-Débit*pas</f>
        <v>1.4843</v>
      </c>
      <c r="T324" s="418" t="n">
        <f aca="false">m*g</f>
        <v>14.560983</v>
      </c>
      <c r="U324" s="422" t="n">
        <f aca="false">IF(pos_xz&lt;L_rampe,Poids*COS(Beta),0)</f>
        <v>0</v>
      </c>
      <c r="V324" s="419" t="n">
        <f aca="false">Rho_moyen*(20000-Alt_rampe-pos_z)/(20000+Alt_rampe+pos_z)</f>
        <v>1.2065379999654</v>
      </c>
      <c r="W324" s="418" t="n">
        <f aca="false">1/2*Rho*Sref*Cx*vit_xz^2</f>
        <v>3.1839073253688</v>
      </c>
      <c r="X324" s="402"/>
      <c r="Y324" s="423" t="str">
        <f aca="false">IF(AND(pos_z&lt;=0,K323&gt;0),"Impact balistique","") &amp; IF(AND(H325&lt;0,vit_z&gt;=0),"Apogée","") &amp; IF(AND(Poussee=0,Q323&gt;0),"Fin de propulsion","") &amp; IF(AND(L325&gt;L_rampe,pos_xz&lt;=L_rampe),"Sortie de rampe","")</f>
        <v/>
      </c>
      <c r="Z324" s="424" t="str">
        <f aca="false">IF(ABS(t-T_para)&lt;pas/2,"Para","")</f>
        <v/>
      </c>
      <c r="AA324" s="425" t="str">
        <f aca="false">IF(ABS(t-T_satellite)&lt;pas/2,"Satellite","")</f>
        <v/>
      </c>
      <c r="AB324" s="413"/>
      <c r="AC324" s="421" t="n">
        <f aca="false">IF(ABS(t-ROUND(t,0))&lt;0.001,t,NA())</f>
        <v>14</v>
      </c>
      <c r="AD324" s="426" t="n">
        <f aca="false">IF(ABS(t-ROUND(t,0))&lt;0.001,pos_x,NA())</f>
        <v>184.47283421876</v>
      </c>
      <c r="AE324" s="427" t="e">
        <f aca="false">IF(t&lt;T_para, pos_z, NA())</f>
        <v>#N/A</v>
      </c>
      <c r="AF324" s="413"/>
      <c r="AG324" s="419" t="n">
        <f aca="false">IF(AND(L323&lt;L_rampe,Poussee&lt;Poids*SIN(M323)),0,(-W323+Poussee)/m-Poids*SIN(M323)/m)</f>
        <v>7.49606638287312</v>
      </c>
      <c r="AH324" s="418" t="n">
        <f aca="false">IF(AND(L323&lt;L_rampe,Poussee&lt;Poids*SIN(M323)), g*SIN(M323), (-W323+Poussee)/m)</f>
        <v>-2.08554385058205</v>
      </c>
    </row>
    <row r="325" customFormat="false" ht="12" hidden="false" customHeight="false" outlineLevel="0" collapsed="false">
      <c r="A325" s="417" t="n">
        <f aca="false">IF(B324+0.01&lt;=T_ini+ROUNDUP(Temps_fin_propu,0), 0.01, IF(K324&gt;0, 0.1, 0.0001))</f>
        <v>0.1</v>
      </c>
      <c r="B325" s="418" t="n">
        <f aca="false">B324+pas</f>
        <v>14.1</v>
      </c>
      <c r="C325" s="402"/>
      <c r="D325" s="419" t="n">
        <f aca="false">IF(AND(L324&lt;L_rampe,Poussee&lt;Poids*SIN(M324)),0,(-W324+Poussee)/m*COS(M324)-U324/m*SIN(M324))</f>
        <v>-0.452104596063528</v>
      </c>
      <c r="E325" s="420" t="n">
        <f aca="false">IF(AND(L324&lt;L_rampe,Poussee&lt;Poids*SIN(M324)),0,(-W324+Poussee)/m*SIN(M324)+U324/m*COS(M324)-Poids/m)</f>
        <v>-7.7131288275651</v>
      </c>
      <c r="F325" s="418" t="n">
        <f aca="false">SQRT(acc_x^2+acc_z^2)</f>
        <v>7.72636750849954</v>
      </c>
      <c r="G325" s="419" t="n">
        <f aca="false">G324+acc_x*pas</f>
        <v>11.4866804503298</v>
      </c>
      <c r="H325" s="420" t="n">
        <f aca="false">H324+acc_z*pas</f>
        <v>-54.2564794199962</v>
      </c>
      <c r="I325" s="418" t="n">
        <f aca="false">SQRT(vit_x^2+vit_z^2)</f>
        <v>55.4590784887421</v>
      </c>
      <c r="J325" s="419" t="n">
        <f aca="false">J324+0.5*(vit_x+G324)*pas*(K324&gt;=0)</f>
        <v>185.623762786773</v>
      </c>
      <c r="K325" s="420" t="n">
        <f aca="false">K324+0.5*(vit_z+H324)*pas</f>
        <v>146.467423244423</v>
      </c>
      <c r="L325" s="418" t="n">
        <f aca="false">SQRT(pos_x^2+pos_z^2)</f>
        <v>236.450602416194</v>
      </c>
      <c r="M325" s="419" t="n">
        <f aca="false">IF(AND(L324&gt;L_rampe,G325&gt;0),ATAN2(G325,H325),$M$4)</f>
        <v>-1.36216619632294</v>
      </c>
      <c r="N325" s="418" t="n">
        <f aca="false">DEGREES(Beta)</f>
        <v>-78.0463740446931</v>
      </c>
      <c r="O325" s="402"/>
      <c r="P325" s="421" t="n">
        <f aca="false">MATCH(t-pas/2-T_ini,CdP_t)</f>
        <v>23</v>
      </c>
      <c r="Q325" s="418" t="n">
        <f aca="false">(INDEX(CdP,2,i_P+1)-INDEX(CdP,2,i_P+0))/(INDEX(CdP,1,i_P+1)-INDEX(CdP,1,i_P+0))*(t-pas/2-T_ini-INDEX(CdP,1,i_P+0))+INDEX(CdP,2,i_P+0)</f>
        <v>0</v>
      </c>
      <c r="R325" s="419" t="n">
        <f aca="false">Poussee/(g*ISP)</f>
        <v>0</v>
      </c>
      <c r="S325" s="420" t="n">
        <f aca="false">S324-Débit*pas</f>
        <v>1.4843</v>
      </c>
      <c r="T325" s="418" t="n">
        <f aca="false">m*g</f>
        <v>14.560983</v>
      </c>
      <c r="U325" s="422" t="n">
        <f aca="false">IF(pos_xz&lt;L_rampe,Poids*COS(Beta),0)</f>
        <v>0</v>
      </c>
      <c r="V325" s="419" t="n">
        <f aca="false">Rho_moyen*(20000-Alt_rampe-pos_z)/(20000+Alt_rampe+pos_z)</f>
        <v>1.20718818319807</v>
      </c>
      <c r="W325" s="418" t="n">
        <f aca="false">1/2*Rho*Sref*Cx*vit_xz^2</f>
        <v>3.27294735089393</v>
      </c>
      <c r="X325" s="402"/>
      <c r="Y325" s="423" t="str">
        <f aca="false">IF(AND(pos_z&lt;=0,K324&gt;0),"Impact balistique","") &amp; IF(AND(H326&lt;0,vit_z&gt;=0),"Apogée","") &amp; IF(AND(Poussee=0,Q324&gt;0),"Fin de propulsion","") &amp; IF(AND(L326&gt;L_rampe,pos_xz&lt;=L_rampe),"Sortie de rampe","")</f>
        <v/>
      </c>
      <c r="Z325" s="424" t="str">
        <f aca="false">IF(ABS(t-T_para)&lt;pas/2,"Para","")</f>
        <v/>
      </c>
      <c r="AA325" s="425" t="str">
        <f aca="false">IF(ABS(t-T_satellite)&lt;pas/2,"Satellite","")</f>
        <v/>
      </c>
      <c r="AB325" s="413"/>
      <c r="AC325" s="421" t="e">
        <f aca="false">IF(ABS(t-ROUND(t,0))&lt;0.001,t,NA())</f>
        <v>#N/A</v>
      </c>
      <c r="AD325" s="426" t="e">
        <f aca="false">IF(ABS(t-ROUND(t,0))&lt;0.001,pos_x,NA())</f>
        <v>#N/A</v>
      </c>
      <c r="AE325" s="427" t="e">
        <f aca="false">IF(t&lt;T_para, pos_z, NA())</f>
        <v>#N/A</v>
      </c>
      <c r="AF325" s="413"/>
      <c r="AG325" s="419" t="n">
        <f aca="false">IF(AND(L324&lt;L_rampe,Poussee&lt;Poids*SIN(M324)),0,(-W324+Poussee)/m-Poids*SIN(M324)/m)</f>
        <v>7.44457738549375</v>
      </c>
      <c r="AH325" s="418" t="n">
        <f aca="false">IF(AND(L324&lt;L_rampe,Poussee&lt;Poids*SIN(M324)), g*SIN(M324), (-W324+Poussee)/m)</f>
        <v>-2.14505647468087</v>
      </c>
    </row>
    <row r="326" customFormat="false" ht="12" hidden="false" customHeight="false" outlineLevel="0" collapsed="false">
      <c r="A326" s="417" t="n">
        <f aca="false">IF(B325+0.01&lt;=T_ini+ROUNDUP(Temps_fin_propu,0), 0.01, IF(K325&gt;0, 0.1, 0.0001))</f>
        <v>0.1</v>
      </c>
      <c r="B326" s="418" t="n">
        <f aca="false">B325+pas</f>
        <v>14.2</v>
      </c>
      <c r="C326" s="402"/>
      <c r="D326" s="419" t="n">
        <f aca="false">IF(AND(L325&lt;L_rampe,Poussee&lt;Poids*SIN(M325)),0,(-W325+Poussee)/m*COS(M325)-U325/m*SIN(M325))</f>
        <v>-0.45670863435122</v>
      </c>
      <c r="E326" s="420" t="n">
        <f aca="false">IF(AND(L325&lt;L_rampe,Poussee&lt;Poids*SIN(M325)),0,(-W325+Poussee)/m*SIN(M325)+U325/m*COS(M325)-Poids/m)</f>
        <v>-7.65277078762994</v>
      </c>
      <c r="F326" s="418" t="n">
        <f aca="false">SQRT(acc_x^2+acc_z^2)</f>
        <v>7.66638660026307</v>
      </c>
      <c r="G326" s="419" t="n">
        <f aca="false">G325+acc_x*pas</f>
        <v>11.4410095868947</v>
      </c>
      <c r="H326" s="420" t="n">
        <f aca="false">H325+acc_z*pas</f>
        <v>-55.0217564987592</v>
      </c>
      <c r="I326" s="418" t="n">
        <f aca="false">SQRT(vit_x^2+vit_z^2)</f>
        <v>56.1986689217473</v>
      </c>
      <c r="J326" s="419" t="n">
        <f aca="false">J325+0.5*(vit_x+G325)*pas*(K325&gt;=0)</f>
        <v>186.770147288634</v>
      </c>
      <c r="K326" s="420" t="n">
        <f aca="false">K325+0.5*(vit_z+H325)*pas</f>
        <v>141.003511448485</v>
      </c>
      <c r="L326" s="418" t="n">
        <f aca="false">SQRT(pos_x^2+pos_z^2)</f>
        <v>234.019396971749</v>
      </c>
      <c r="M326" s="419" t="n">
        <f aca="false">IF(AND(L325&gt;L_rampe,G326&gt;0),ATAN2(G326,H326),$M$4)</f>
        <v>-1.36578167508457</v>
      </c>
      <c r="N326" s="418" t="n">
        <f aca="false">DEGREES(Beta)</f>
        <v>-78.253525718654</v>
      </c>
      <c r="O326" s="402"/>
      <c r="P326" s="421" t="n">
        <f aca="false">MATCH(t-pas/2-T_ini,CdP_t)</f>
        <v>23</v>
      </c>
      <c r="Q326" s="418" t="n">
        <f aca="false">(INDEX(CdP,2,i_P+1)-INDEX(CdP,2,i_P+0))/(INDEX(CdP,1,i_P+1)-INDEX(CdP,1,i_P+0))*(t-pas/2-T_ini-INDEX(CdP,1,i_P+0))+INDEX(CdP,2,i_P+0)</f>
        <v>0</v>
      </c>
      <c r="R326" s="419" t="n">
        <f aca="false">Poussee/(g*ISP)</f>
        <v>0</v>
      </c>
      <c r="S326" s="420" t="n">
        <f aca="false">S325-Débit*pas</f>
        <v>1.4843</v>
      </c>
      <c r="T326" s="418" t="n">
        <f aca="false">m*g</f>
        <v>14.560983</v>
      </c>
      <c r="U326" s="422" t="n">
        <f aca="false">IF(pos_xz&lt;L_rampe,Poids*COS(Beta),0)</f>
        <v>0</v>
      </c>
      <c r="V326" s="419" t="n">
        <f aca="false">Rho_moyen*(20000-Alt_rampe-pos_z)/(20000+Alt_rampe+pos_z)</f>
        <v>1.20784799449777</v>
      </c>
      <c r="W326" s="418" t="n">
        <f aca="false">1/2*Rho*Sref*Cx*vit_xz^2</f>
        <v>3.36266099817066</v>
      </c>
      <c r="X326" s="402"/>
      <c r="Y326" s="423" t="str">
        <f aca="false">IF(AND(pos_z&lt;=0,K325&gt;0),"Impact balistique","") &amp; IF(AND(H327&lt;0,vit_z&gt;=0),"Apogée","") &amp; IF(AND(Poussee=0,Q325&gt;0),"Fin de propulsion","") &amp; IF(AND(L327&gt;L_rampe,pos_xz&lt;=L_rampe),"Sortie de rampe","")</f>
        <v/>
      </c>
      <c r="Z326" s="424" t="str">
        <f aca="false">IF(ABS(t-T_para)&lt;pas/2,"Para","")</f>
        <v/>
      </c>
      <c r="AA326" s="425" t="str">
        <f aca="false">IF(ABS(t-T_satellite)&lt;pas/2,"Satellite","")</f>
        <v/>
      </c>
      <c r="AB326" s="413"/>
      <c r="AC326" s="421" t="e">
        <f aca="false">IF(ABS(t-ROUND(t,0))&lt;0.001,t,NA())</f>
        <v>#N/A</v>
      </c>
      <c r="AD326" s="426" t="e">
        <f aca="false">IF(ABS(t-ROUND(t,0))&lt;0.001,pos_x,NA())</f>
        <v>#N/A</v>
      </c>
      <c r="AE326" s="427" t="e">
        <f aca="false">IF(t&lt;T_para, pos_z, NA())</f>
        <v>#N/A</v>
      </c>
      <c r="AF326" s="413"/>
      <c r="AG326" s="419" t="n">
        <f aca="false">IF(AND(L325&lt;L_rampe,Poussee&lt;Poids*SIN(M325)),0,(-W325+Poussee)/m-Poids*SIN(M325)/m)</f>
        <v>7.39223127709404</v>
      </c>
      <c r="AH326" s="418" t="n">
        <f aca="false">IF(AND(L325&lt;L_rampe,Poussee&lt;Poids*SIN(M325)), g*SIN(M325), (-W325+Poussee)/m)</f>
        <v>-2.20504436494909</v>
      </c>
    </row>
    <row r="327" customFormat="false" ht="12" hidden="false" customHeight="false" outlineLevel="0" collapsed="false">
      <c r="A327" s="417" t="n">
        <f aca="false">IF(B326+0.01&lt;=T_ini+ROUNDUP(Temps_fin_propu,0), 0.01, IF(K326&gt;0, 0.1, 0.0001))</f>
        <v>0.1</v>
      </c>
      <c r="B327" s="418" t="n">
        <f aca="false">B326+pas</f>
        <v>14.3</v>
      </c>
      <c r="C327" s="402"/>
      <c r="D327" s="419" t="n">
        <f aca="false">IF(AND(L326&lt;L_rampe,Poussee&lt;Poids*SIN(M326)),0,(-W326+Poussee)/m*COS(M326)-U326/m*SIN(M326))</f>
        <v>-0.461211066592164</v>
      </c>
      <c r="E327" s="420" t="n">
        <f aca="false">IF(AND(L326&lt;L_rampe,Poussee&lt;Poids*SIN(M326)),0,(-W326+Poussee)/m*SIN(M326)+U326/m*COS(M326)-Poids/m)</f>
        <v>-7.59195771904298</v>
      </c>
      <c r="F327" s="418" t="n">
        <f aca="false">SQRT(acc_x^2+acc_z^2)</f>
        <v>7.60595409239915</v>
      </c>
      <c r="G327" s="419" t="n">
        <f aca="false">G326+acc_x*pas</f>
        <v>11.3948884802355</v>
      </c>
      <c r="H327" s="420" t="n">
        <f aca="false">H326+acc_z*pas</f>
        <v>-55.7809522706635</v>
      </c>
      <c r="I327" s="418" t="n">
        <f aca="false">SQRT(vit_x^2+vit_z^2)</f>
        <v>56.9329264986356</v>
      </c>
      <c r="J327" s="419" t="n">
        <f aca="false">J326+0.5*(vit_x+G326)*pas*(K326&gt;=0)</f>
        <v>187.911942191991</v>
      </c>
      <c r="K327" s="420" t="n">
        <f aca="false">K326+0.5*(vit_z+H326)*pas</f>
        <v>135.463376010014</v>
      </c>
      <c r="L327" s="418" t="n">
        <f aca="false">SQRT(pos_x^2+pos_z^2)</f>
        <v>231.648924578545</v>
      </c>
      <c r="M327" s="419" t="n">
        <f aca="false">IF(AND(L326&gt;L_rampe,G327&gt;0),ATAN2(G327,H327),$M$4)</f>
        <v>-1.36928955493687</v>
      </c>
      <c r="N327" s="418" t="n">
        <f aca="false">DEGREES(Beta)</f>
        <v>-78.4545124292293</v>
      </c>
      <c r="O327" s="402"/>
      <c r="P327" s="421" t="n">
        <f aca="false">MATCH(t-pas/2-T_ini,CdP_t)</f>
        <v>23</v>
      </c>
      <c r="Q327" s="418" t="n">
        <f aca="false">(INDEX(CdP,2,i_P+1)-INDEX(CdP,2,i_P+0))/(INDEX(CdP,1,i_P+1)-INDEX(CdP,1,i_P+0))*(t-pas/2-T_ini-INDEX(CdP,1,i_P+0))+INDEX(CdP,2,i_P+0)</f>
        <v>0</v>
      </c>
      <c r="R327" s="419" t="n">
        <f aca="false">Poussee/(g*ISP)</f>
        <v>0</v>
      </c>
      <c r="S327" s="420" t="n">
        <f aca="false">S326-Débit*pas</f>
        <v>1.4843</v>
      </c>
      <c r="T327" s="418" t="n">
        <f aca="false">m*g</f>
        <v>14.560983</v>
      </c>
      <c r="U327" s="422" t="n">
        <f aca="false">IF(pos_xz&lt;L_rampe,Poids*COS(Beta),0)</f>
        <v>0</v>
      </c>
      <c r="V327" s="419" t="n">
        <f aca="false">Rho_moyen*(20000-Alt_rampe-pos_z)/(20000+Alt_rampe+pos_z)</f>
        <v>1.20851737603318</v>
      </c>
      <c r="W327" s="418" t="n">
        <f aca="false">1/2*Rho*Sref*Cx*vit_xz^2</f>
        <v>3.45301655953805</v>
      </c>
      <c r="X327" s="402"/>
      <c r="Y327" s="423" t="str">
        <f aca="false">IF(AND(pos_z&lt;=0,K326&gt;0),"Impact balistique","") &amp; IF(AND(H328&lt;0,vit_z&gt;=0),"Apogée","") &amp; IF(AND(Poussee=0,Q326&gt;0),"Fin de propulsion","") &amp; IF(AND(L328&gt;L_rampe,pos_xz&lt;=L_rampe),"Sortie de rampe","")</f>
        <v/>
      </c>
      <c r="Z327" s="424" t="str">
        <f aca="false">IF(ABS(t-T_para)&lt;pas/2,"Para","")</f>
        <v/>
      </c>
      <c r="AA327" s="425" t="str">
        <f aca="false">IF(ABS(t-T_satellite)&lt;pas/2,"Satellite","")</f>
        <v/>
      </c>
      <c r="AB327" s="413"/>
      <c r="AC327" s="421" t="e">
        <f aca="false">IF(ABS(t-ROUND(t,0))&lt;0.001,t,NA())</f>
        <v>#N/A</v>
      </c>
      <c r="AD327" s="426" t="e">
        <f aca="false">IF(ABS(t-ROUND(t,0))&lt;0.001,pos_x,NA())</f>
        <v>#N/A</v>
      </c>
      <c r="AE327" s="427" t="e">
        <f aca="false">IF(t&lt;T_para, pos_z, NA())</f>
        <v>#N/A</v>
      </c>
      <c r="AF327" s="413"/>
      <c r="AG327" s="419" t="n">
        <f aca="false">IF(AND(L326&lt;L_rampe,Poussee&lt;Poids*SIN(M326)),0,(-W326+Poussee)/m-Poids*SIN(M326)/m)</f>
        <v>7.33907291124452</v>
      </c>
      <c r="AH327" s="418" t="n">
        <f aca="false">IF(AND(L326&lt;L_rampe,Poussee&lt;Poids*SIN(M326)), g*SIN(M326), (-W326+Poussee)/m)</f>
        <v>-2.26548608648566</v>
      </c>
    </row>
    <row r="328" customFormat="false" ht="12" hidden="false" customHeight="false" outlineLevel="0" collapsed="false">
      <c r="A328" s="417" t="n">
        <f aca="false">IF(B327+0.01&lt;=T_ini+ROUNDUP(Temps_fin_propu,0), 0.01, IF(K327&gt;0, 0.1, 0.0001))</f>
        <v>0.1</v>
      </c>
      <c r="B328" s="418" t="n">
        <f aca="false">B327+pas</f>
        <v>14.4</v>
      </c>
      <c r="C328" s="402"/>
      <c r="D328" s="419" t="n">
        <f aca="false">IF(AND(L327&lt;L_rampe,Poussee&lt;Poids*SIN(M327)),0,(-W327+Poussee)/m*COS(M327)-U327/m*SIN(M327))</f>
        <v>-0.46561133520636</v>
      </c>
      <c r="E328" s="420" t="n">
        <f aca="false">IF(AND(L327&lt;L_rampe,Poussee&lt;Poids*SIN(M327)),0,(-W327+Poussee)/m*SIN(M327)+U327/m*COS(M327)-Poids/m)</f>
        <v>-7.53071102662611</v>
      </c>
      <c r="F328" s="418" t="n">
        <f aca="false">SQRT(acc_x^2+acc_z^2)</f>
        <v>7.54509128387594</v>
      </c>
      <c r="G328" s="419" t="n">
        <f aca="false">G327+acc_x*pas</f>
        <v>11.3483273467148</v>
      </c>
      <c r="H328" s="420" t="n">
        <f aca="false">H327+acc_z*pas</f>
        <v>-56.5340233733261</v>
      </c>
      <c r="I328" s="418" t="n">
        <f aca="false">SQRT(vit_x^2+vit_z^2)</f>
        <v>57.6617753138418</v>
      </c>
      <c r="J328" s="419" t="n">
        <f aca="false">J327+0.5*(vit_x+G327)*pas*(K327&gt;=0)</f>
        <v>189.049102983338</v>
      </c>
      <c r="K328" s="420" t="n">
        <f aca="false">K327+0.5*(vit_z+H327)*pas</f>
        <v>129.847627227815</v>
      </c>
      <c r="L328" s="418" t="n">
        <f aca="false">SQRT(pos_x^2+pos_z^2)</f>
        <v>229.346832625825</v>
      </c>
      <c r="M328" s="419" t="n">
        <f aca="false">IF(AND(L327&gt;L_rampe,G328&gt;0),ATAN2(G328,H328),$M$4)</f>
        <v>-1.37269464346934</v>
      </c>
      <c r="N328" s="418" t="n">
        <f aca="false">DEGREES(Beta)</f>
        <v>-78.6496096310082</v>
      </c>
      <c r="O328" s="402"/>
      <c r="P328" s="421" t="n">
        <f aca="false">MATCH(t-pas/2-T_ini,CdP_t)</f>
        <v>23</v>
      </c>
      <c r="Q328" s="418" t="n">
        <f aca="false">(INDEX(CdP,2,i_P+1)-INDEX(CdP,2,i_P+0))/(INDEX(CdP,1,i_P+1)-INDEX(CdP,1,i_P+0))*(t-pas/2-T_ini-INDEX(CdP,1,i_P+0))+INDEX(CdP,2,i_P+0)</f>
        <v>0</v>
      </c>
      <c r="R328" s="419" t="n">
        <f aca="false">Poussee/(g*ISP)</f>
        <v>0</v>
      </c>
      <c r="S328" s="420" t="n">
        <f aca="false">S327-Débit*pas</f>
        <v>1.4843</v>
      </c>
      <c r="T328" s="418" t="n">
        <f aca="false">m*g</f>
        <v>14.560983</v>
      </c>
      <c r="U328" s="422" t="n">
        <f aca="false">IF(pos_xz&lt;L_rampe,Poids*COS(Beta),0)</f>
        <v>0</v>
      </c>
      <c r="V328" s="419" t="n">
        <f aca="false">Rho_moyen*(20000-Alt_rampe-pos_z)/(20000+Alt_rampe+pos_z)</f>
        <v>1.20919626950987</v>
      </c>
      <c r="W328" s="418" t="n">
        <f aca="false">1/2*Rho*Sref*Cx*vit_xz^2</f>
        <v>3.54398245512897</v>
      </c>
      <c r="X328" s="402"/>
      <c r="Y328" s="423" t="str">
        <f aca="false">IF(AND(pos_z&lt;=0,K327&gt;0),"Impact balistique","") &amp; IF(AND(H329&lt;0,vit_z&gt;=0),"Apogée","") &amp; IF(AND(Poussee=0,Q327&gt;0),"Fin de propulsion","") &amp; IF(AND(L329&gt;L_rampe,pos_xz&lt;=L_rampe),"Sortie de rampe","")</f>
        <v/>
      </c>
      <c r="Z328" s="424" t="str">
        <f aca="false">IF(ABS(t-T_para)&lt;pas/2,"Para","")</f>
        <v/>
      </c>
      <c r="AA328" s="425" t="str">
        <f aca="false">IF(ABS(t-T_satellite)&lt;pas/2,"Satellite","")</f>
        <v/>
      </c>
      <c r="AB328" s="413"/>
      <c r="AC328" s="421" t="e">
        <f aca="false">IF(ABS(t-ROUND(t,0))&lt;0.001,t,NA())</f>
        <v>#N/A</v>
      </c>
      <c r="AD328" s="426" t="e">
        <f aca="false">IF(ABS(t-ROUND(t,0))&lt;0.001,pos_x,NA())</f>
        <v>#N/A</v>
      </c>
      <c r="AE328" s="427" t="e">
        <f aca="false">IF(t&lt;T_para, pos_z, NA())</f>
        <v>#N/A</v>
      </c>
      <c r="AF328" s="413"/>
      <c r="AG328" s="419" t="n">
        <f aca="false">IF(AND(L327&lt;L_rampe,Poussee&lt;Poids*SIN(M327)),0,(-W327+Poussee)/m-Poids*SIN(M327)/m)</f>
        <v>7.28514532114417</v>
      </c>
      <c r="AH328" s="418" t="n">
        <f aca="false">IF(AND(L327&lt;L_rampe,Poussee&lt;Poids*SIN(M327)), g*SIN(M327), (-W327+Poussee)/m)</f>
        <v>-2.3263602772607</v>
      </c>
    </row>
    <row r="329" customFormat="false" ht="12" hidden="false" customHeight="false" outlineLevel="0" collapsed="false">
      <c r="A329" s="417" t="n">
        <f aca="false">IF(B328+0.01&lt;=T_ini+ROUNDUP(Temps_fin_propu,0), 0.01, IF(K328&gt;0, 0.1, 0.0001))</f>
        <v>0.1</v>
      </c>
      <c r="B329" s="418" t="n">
        <f aca="false">B328+pas</f>
        <v>14.5</v>
      </c>
      <c r="C329" s="402"/>
      <c r="D329" s="419" t="n">
        <f aca="false">IF(AND(L328&lt;L_rampe,Poussee&lt;Poids*SIN(M328)),0,(-W328+Poussee)/m*COS(M328)-U328/m*SIN(M328))</f>
        <v>-0.469908954509084</v>
      </c>
      <c r="E329" s="420" t="n">
        <f aca="false">IF(AND(L328&lt;L_rampe,Poussee&lt;Poids*SIN(M328)),0,(-W328+Poussee)/m*SIN(M328)+U328/m*COS(M328)-Poids/m)</f>
        <v>-7.4690520341976</v>
      </c>
      <c r="F329" s="418" t="n">
        <f aca="false">SQRT(acc_x^2+acc_z^2)</f>
        <v>7.48381939353691</v>
      </c>
      <c r="G329" s="419" t="n">
        <f aca="false">G328+acc_x*pas</f>
        <v>11.3013364512639</v>
      </c>
      <c r="H329" s="420" t="n">
        <f aca="false">H328+acc_z*pas</f>
        <v>-57.2809285767458</v>
      </c>
      <c r="I329" s="418" t="n">
        <f aca="false">SQRT(vit_x^2+vit_z^2)</f>
        <v>58.3851435229796</v>
      </c>
      <c r="J329" s="419" t="n">
        <f aca="false">J328+0.5*(vit_x+G328)*pas*(K328&gt;=0)</f>
        <v>190.181586173237</v>
      </c>
      <c r="K329" s="420" t="n">
        <f aca="false">K328+0.5*(vit_z+H328)*pas</f>
        <v>124.156879630311</v>
      </c>
      <c r="L329" s="418" t="n">
        <f aca="false">SQRT(pos_x^2+pos_z^2)</f>
        <v>227.121039269602</v>
      </c>
      <c r="M329" s="419" t="n">
        <f aca="false">IF(AND(L328&gt;L_rampe,G329&gt;0),ATAN2(G329,H329),$M$4)</f>
        <v>-1.37600146907595</v>
      </c>
      <c r="N329" s="418" t="n">
        <f aca="false">DEGREES(Beta)</f>
        <v>-78.8390767818529</v>
      </c>
      <c r="O329" s="402"/>
      <c r="P329" s="421" t="n">
        <f aca="false">MATCH(t-pas/2-T_ini,CdP_t)</f>
        <v>23</v>
      </c>
      <c r="Q329" s="418" t="n">
        <f aca="false">(INDEX(CdP,2,i_P+1)-INDEX(CdP,2,i_P+0))/(INDEX(CdP,1,i_P+1)-INDEX(CdP,1,i_P+0))*(t-pas/2-T_ini-INDEX(CdP,1,i_P+0))+INDEX(CdP,2,i_P+0)</f>
        <v>0</v>
      </c>
      <c r="R329" s="419" t="n">
        <f aca="false">Poussee/(g*ISP)</f>
        <v>0</v>
      </c>
      <c r="S329" s="420" t="n">
        <f aca="false">S328-Débit*pas</f>
        <v>1.4843</v>
      </c>
      <c r="T329" s="418" t="n">
        <f aca="false">m*g</f>
        <v>14.560983</v>
      </c>
      <c r="U329" s="422" t="n">
        <f aca="false">IF(pos_xz&lt;L_rampe,Poids*COS(Beta),0)</f>
        <v>0</v>
      </c>
      <c r="V329" s="419" t="n">
        <f aca="false">Rho_moyen*(20000-Alt_rampe-pos_z)/(20000+Alt_rampe+pos_z)</f>
        <v>1.2098846161897</v>
      </c>
      <c r="W329" s="418" t="n">
        <f aca="false">1/2*Rho*Sref*Cx*vit_xz^2</f>
        <v>3.63552725203884</v>
      </c>
      <c r="X329" s="402"/>
      <c r="Y329" s="423" t="str">
        <f aca="false">IF(AND(pos_z&lt;=0,K328&gt;0),"Impact balistique","") &amp; IF(AND(H330&lt;0,vit_z&gt;=0),"Apogée","") &amp; IF(AND(Poussee=0,Q328&gt;0),"Fin de propulsion","") &amp; IF(AND(L330&gt;L_rampe,pos_xz&lt;=L_rampe),"Sortie de rampe","")</f>
        <v/>
      </c>
      <c r="Z329" s="424" t="str">
        <f aca="false">IF(ABS(t-T_para)&lt;pas/2,"Para","")</f>
        <v/>
      </c>
      <c r="AA329" s="425" t="str">
        <f aca="false">IF(ABS(t-T_satellite)&lt;pas/2,"Satellite","")</f>
        <v/>
      </c>
      <c r="AB329" s="413"/>
      <c r="AC329" s="421" t="e">
        <f aca="false">IF(ABS(t-ROUND(t,0))&lt;0.001,t,NA())</f>
        <v>#N/A</v>
      </c>
      <c r="AD329" s="426" t="e">
        <f aca="false">IF(ABS(t-ROUND(t,0))&lt;0.001,pos_x,NA())</f>
        <v>#N/A</v>
      </c>
      <c r="AE329" s="427" t="e">
        <f aca="false">IF(t&lt;T_para, pos_z, NA())</f>
        <v>#N/A</v>
      </c>
      <c r="AF329" s="413"/>
      <c r="AG329" s="419" t="n">
        <f aca="false">IF(AND(L328&lt;L_rampe,Poussee&lt;Poids*SIN(M328)),0,(-W328+Poussee)/m-Poids*SIN(M328)/m)</f>
        <v>7.23048985865878</v>
      </c>
      <c r="AH329" s="418" t="n">
        <f aca="false">IF(AND(L328&lt;L_rampe,Poussee&lt;Poids*SIN(M328)), g*SIN(M328), (-W328+Poussee)/m)</f>
        <v>-2.38764566134136</v>
      </c>
    </row>
    <row r="330" customFormat="false" ht="12" hidden="false" customHeight="false" outlineLevel="0" collapsed="false">
      <c r="A330" s="417" t="n">
        <f aca="false">IF(B329+0.01&lt;=T_ini+ROUNDUP(Temps_fin_propu,0), 0.01, IF(K329&gt;0, 0.1, 0.0001))</f>
        <v>0.1</v>
      </c>
      <c r="B330" s="418" t="n">
        <f aca="false">B329+pas</f>
        <v>14.6</v>
      </c>
      <c r="C330" s="402"/>
      <c r="D330" s="419" t="n">
        <f aca="false">IF(AND(L329&lt;L_rampe,Poussee&lt;Poids*SIN(M329)),0,(-W329+Poussee)/m*COS(M329)-U329/m*SIN(M329))</f>
        <v>-0.474103508639032</v>
      </c>
      <c r="E330" s="420" t="n">
        <f aca="false">IF(AND(L329&lt;L_rampe,Poussee&lt;Poids*SIN(M329)),0,(-W329+Poussee)/m*SIN(M329)+U329/m*COS(M329)-Poids/m)</f>
        <v>-7.40700197109875</v>
      </c>
      <c r="F330" s="418" t="n">
        <f aca="false">SQRT(acc_x^2+acc_z^2)</f>
        <v>7.42215954670638</v>
      </c>
      <c r="G330" s="419" t="n">
        <f aca="false">G329+acc_x*pas</f>
        <v>11.2539261004</v>
      </c>
      <c r="H330" s="420" t="n">
        <f aca="false">H329+acc_z*pas</f>
        <v>-58.0216287738557</v>
      </c>
      <c r="I330" s="418" t="n">
        <f aca="false">SQRT(vit_x^2+vit_z^2)</f>
        <v>59.1029631934338</v>
      </c>
      <c r="J330" s="419" t="n">
        <f aca="false">J329+0.5*(vit_x+G329)*pas*(K329&gt;=0)</f>
        <v>191.30934930082</v>
      </c>
      <c r="K330" s="420" t="n">
        <f aca="false">K329+0.5*(vit_z+H329)*pas</f>
        <v>118.391751762781</v>
      </c>
      <c r="L330" s="418" t="n">
        <f aca="false">SQRT(pos_x^2+pos_z^2)</f>
        <v>224.979719120109</v>
      </c>
      <c r="M330" s="419" t="n">
        <f aca="false">IF(AND(L329&gt;L_rampe,G330&gt;0),ATAN2(G330,H330),$M$4)</f>
        <v>-1.37921430059395</v>
      </c>
      <c r="N330" s="418" t="n">
        <f aca="false">DEGREES(Beta)</f>
        <v>-79.023158468121</v>
      </c>
      <c r="O330" s="402"/>
      <c r="P330" s="421" t="n">
        <f aca="false">MATCH(t-pas/2-T_ini,CdP_t)</f>
        <v>23</v>
      </c>
      <c r="Q330" s="418" t="n">
        <f aca="false">(INDEX(CdP,2,i_P+1)-INDEX(CdP,2,i_P+0))/(INDEX(CdP,1,i_P+1)-INDEX(CdP,1,i_P+0))*(t-pas/2-T_ini-INDEX(CdP,1,i_P+0))+INDEX(CdP,2,i_P+0)</f>
        <v>0</v>
      </c>
      <c r="R330" s="419" t="n">
        <f aca="false">Poussee/(g*ISP)</f>
        <v>0</v>
      </c>
      <c r="S330" s="420" t="n">
        <f aca="false">S329-Débit*pas</f>
        <v>1.4843</v>
      </c>
      <c r="T330" s="418" t="n">
        <f aca="false">m*g</f>
        <v>14.560983</v>
      </c>
      <c r="U330" s="422" t="n">
        <f aca="false">IF(pos_xz&lt;L_rampe,Poids*COS(Beta),0)</f>
        <v>0</v>
      </c>
      <c r="V330" s="419" t="n">
        <f aca="false">Rho_moyen*(20000-Alt_rampe-pos_z)/(20000+Alt_rampe+pos_z)</f>
        <v>1.21058235691014</v>
      </c>
      <c r="W330" s="418" t="n">
        <f aca="false">1/2*Rho*Sref*Cx*vit_xz^2</f>
        <v>3.72761968301708</v>
      </c>
      <c r="X330" s="402"/>
      <c r="Y330" s="423" t="str">
        <f aca="false">IF(AND(pos_z&lt;=0,K329&gt;0),"Impact balistique","") &amp; IF(AND(H331&lt;0,vit_z&gt;=0),"Apogée","") &amp; IF(AND(Poussee=0,Q329&gt;0),"Fin de propulsion","") &amp; IF(AND(L331&gt;L_rampe,pos_xz&lt;=L_rampe),"Sortie de rampe","")</f>
        <v/>
      </c>
      <c r="Z330" s="424" t="str">
        <f aca="false">IF(ABS(t-T_para)&lt;pas/2,"Para","")</f>
        <v/>
      </c>
      <c r="AA330" s="425" t="str">
        <f aca="false">IF(ABS(t-T_satellite)&lt;pas/2,"Satellite","")</f>
        <v/>
      </c>
      <c r="AB330" s="413"/>
      <c r="AC330" s="421" t="e">
        <f aca="false">IF(ABS(t-ROUND(t,0))&lt;0.001,t,NA())</f>
        <v>#N/A</v>
      </c>
      <c r="AD330" s="426" t="e">
        <f aca="false">IF(ABS(t-ROUND(t,0))&lt;0.001,pos_x,NA())</f>
        <v>#N/A</v>
      </c>
      <c r="AE330" s="427" t="e">
        <f aca="false">IF(t&lt;T_para, pos_z, NA())</f>
        <v>#N/A</v>
      </c>
      <c r="AF330" s="413"/>
      <c r="AG330" s="419" t="n">
        <f aca="false">IF(AND(L329&lt;L_rampe,Poussee&lt;Poids*SIN(M329)),0,(-W329+Poussee)/m-Poids*SIN(M329)/m)</f>
        <v>7.17514631861078</v>
      </c>
      <c r="AH330" s="418" t="n">
        <f aca="false">IF(AND(L329&lt;L_rampe,Poussee&lt;Poids*SIN(M329)), g*SIN(M329), (-W329+Poussee)/m)</f>
        <v>-2.44932106180613</v>
      </c>
    </row>
    <row r="331" customFormat="false" ht="12" hidden="false" customHeight="false" outlineLevel="0" collapsed="false">
      <c r="A331" s="417" t="n">
        <f aca="false">IF(B330+0.01&lt;=T_ini+ROUNDUP(Temps_fin_propu,0), 0.01, IF(K330&gt;0, 0.1, 0.0001))</f>
        <v>0.1</v>
      </c>
      <c r="B331" s="418" t="n">
        <f aca="false">B330+pas</f>
        <v>14.7</v>
      </c>
      <c r="C331" s="402"/>
      <c r="D331" s="419" t="n">
        <f aca="false">IF(AND(L330&lt;L_rampe,Poussee&lt;Poids*SIN(M330)),0,(-W330+Poussee)/m*COS(M330)-U330/m*SIN(M330))</f>
        <v>-0.478194649569489</v>
      </c>
      <c r="E331" s="420" t="n">
        <f aca="false">IF(AND(L330&lt;L_rampe,Poussee&lt;Poids*SIN(M330)),0,(-W330+Poussee)/m*SIN(M330)+U330/m*COS(M330)-Poids/m)</f>
        <v>-7.34458195909259</v>
      </c>
      <c r="F331" s="418" t="n">
        <f aca="false">SQRT(acc_x^2+acc_z^2)</f>
        <v>7.36013276216573</v>
      </c>
      <c r="G331" s="419" t="n">
        <f aca="false">G330+acc_x*pas</f>
        <v>11.2061066354431</v>
      </c>
      <c r="H331" s="420" t="n">
        <f aca="false">H330+acc_z*pas</f>
        <v>-58.756086969765</v>
      </c>
      <c r="I331" s="418" t="n">
        <f aca="false">SQRT(vit_x^2+vit_z^2)</f>
        <v>59.8151701654648</v>
      </c>
      <c r="J331" s="419" t="n">
        <f aca="false">J330+0.5*(vit_x+G330)*pas*(K330&gt;=0)</f>
        <v>192.432350937613</v>
      </c>
      <c r="K331" s="420" t="n">
        <f aca="false">K330+0.5*(vit_z+H330)*pas</f>
        <v>112.5528659756</v>
      </c>
      <c r="L331" s="418" t="n">
        <f aca="false">SQRT(pos_x^2+pos_z^2)</f>
        <v>222.931283867244</v>
      </c>
      <c r="M331" s="419" t="n">
        <f aca="false">IF(AND(L330&gt;L_rampe,G331&gt;0),ATAN2(G331,H331),$M$4)</f>
        <v>-1.38233716533614</v>
      </c>
      <c r="N331" s="418" t="n">
        <f aca="false">DEGREES(Beta)</f>
        <v>-79.2020854378385</v>
      </c>
      <c r="O331" s="402"/>
      <c r="P331" s="421" t="n">
        <f aca="false">MATCH(t-pas/2-T_ini,CdP_t)</f>
        <v>23</v>
      </c>
      <c r="Q331" s="418" t="n">
        <f aca="false">(INDEX(CdP,2,i_P+1)-INDEX(CdP,2,i_P+0))/(INDEX(CdP,1,i_P+1)-INDEX(CdP,1,i_P+0))*(t-pas/2-T_ini-INDEX(CdP,1,i_P+0))+INDEX(CdP,2,i_P+0)</f>
        <v>0</v>
      </c>
      <c r="R331" s="419" t="n">
        <f aca="false">Poussee/(g*ISP)</f>
        <v>0</v>
      </c>
      <c r="S331" s="420" t="n">
        <f aca="false">S330-Débit*pas</f>
        <v>1.4843</v>
      </c>
      <c r="T331" s="418" t="n">
        <f aca="false">m*g</f>
        <v>14.560983</v>
      </c>
      <c r="U331" s="422" t="n">
        <f aca="false">IF(pos_xz&lt;L_rampe,Poids*COS(Beta),0)</f>
        <v>0</v>
      </c>
      <c r="V331" s="419" t="n">
        <f aca="false">Rho_moyen*(20000-Alt_rampe-pos_z)/(20000+Alt_rampe+pos_z)</f>
        <v>1.21128943210353</v>
      </c>
      <c r="W331" s="418" t="n">
        <f aca="false">1/2*Rho*Sref*Cx*vit_xz^2</f>
        <v>3.82022866466814</v>
      </c>
      <c r="X331" s="402"/>
      <c r="Y331" s="423" t="str">
        <f aca="false">IF(AND(pos_z&lt;=0,K330&gt;0),"Impact balistique","") &amp; IF(AND(H332&lt;0,vit_z&gt;=0),"Apogée","") &amp; IF(AND(Poussee=0,Q330&gt;0),"Fin de propulsion","") &amp; IF(AND(L332&gt;L_rampe,pos_xz&lt;=L_rampe),"Sortie de rampe","")</f>
        <v/>
      </c>
      <c r="Z331" s="424" t="str">
        <f aca="false">IF(ABS(t-T_para)&lt;pas/2,"Para","")</f>
        <v/>
      </c>
      <c r="AA331" s="425" t="str">
        <f aca="false">IF(ABS(t-T_satellite)&lt;pas/2,"Satellite","")</f>
        <v/>
      </c>
      <c r="AB331" s="413"/>
      <c r="AC331" s="421" t="e">
        <f aca="false">IF(ABS(t-ROUND(t,0))&lt;0.001,t,NA())</f>
        <v>#N/A</v>
      </c>
      <c r="AD331" s="426" t="e">
        <f aca="false">IF(ABS(t-ROUND(t,0))&lt;0.001,pos_x,NA())</f>
        <v>#N/A</v>
      </c>
      <c r="AE331" s="427" t="e">
        <f aca="false">IF(t&lt;T_para, pos_z, NA())</f>
        <v>#N/A</v>
      </c>
      <c r="AF331" s="413"/>
      <c r="AG331" s="419" t="n">
        <f aca="false">IF(AND(L330&lt;L_rampe,Poussee&lt;Poids*SIN(M330)),0,(-W330+Poussee)/m-Poids*SIN(M330)/m)</f>
        <v>7.11915304998638</v>
      </c>
      <c r="AH331" s="418" t="n">
        <f aca="false">IF(AND(L330&lt;L_rampe,Poussee&lt;Poids*SIN(M330)), g*SIN(M330), (-W330+Poussee)/m)</f>
        <v>-2.51136541333765</v>
      </c>
    </row>
    <row r="332" customFormat="false" ht="12" hidden="false" customHeight="false" outlineLevel="0" collapsed="false">
      <c r="A332" s="417" t="n">
        <f aca="false">IF(B331+0.01&lt;=T_ini+ROUNDUP(Temps_fin_propu,0), 0.01, IF(K331&gt;0, 0.1, 0.0001))</f>
        <v>0.1</v>
      </c>
      <c r="B332" s="418" t="n">
        <f aca="false">B331+pas</f>
        <v>14.8</v>
      </c>
      <c r="C332" s="402"/>
      <c r="D332" s="419" t="n">
        <f aca="false">IF(AND(L331&lt;L_rampe,Poussee&lt;Poids*SIN(M331)),0,(-W331+Poussee)/m*COS(M331)-U331/m*SIN(M331))</f>
        <v>-0.482182095192504</v>
      </c>
      <c r="E332" s="420" t="n">
        <f aca="false">IF(AND(L331&lt;L_rampe,Poussee&lt;Poids*SIN(M331)),0,(-W331+Poussee)/m*SIN(M331)+U331/m*COS(M331)-Poids/m)</f>
        <v>-7.28181299963829</v>
      </c>
      <c r="F332" s="418" t="n">
        <f aca="false">SQRT(acc_x^2+acc_z^2)</f>
        <v>7.29775993950373</v>
      </c>
      <c r="G332" s="419" t="n">
        <f aca="false">G331+acc_x*pas</f>
        <v>11.1578884259238</v>
      </c>
      <c r="H332" s="420" t="n">
        <f aca="false">H331+acc_z*pas</f>
        <v>-59.4842682697288</v>
      </c>
      <c r="I332" s="418" t="n">
        <f aca="false">SQRT(vit_x^2+vit_z^2)</f>
        <v>60.5217039227287</v>
      </c>
      <c r="J332" s="419" t="n">
        <f aca="false">J331+0.5*(vit_x+G331)*pas*(K331&gt;=0)</f>
        <v>193.550550690681</v>
      </c>
      <c r="K332" s="420" t="n">
        <f aca="false">K331+0.5*(vit_z+H331)*pas</f>
        <v>106.640848213625</v>
      </c>
      <c r="L332" s="418" t="n">
        <f aca="false">SQRT(pos_x^2+pos_z^2)</f>
        <v>220.984357320574</v>
      </c>
      <c r="M332" s="419" t="n">
        <f aca="false">IF(AND(L331&gt;L_rampe,G332&gt;0),ATAN2(G332,H332),$M$4)</f>
        <v>-1.38537386566504</v>
      </c>
      <c r="N332" s="418" t="n">
        <f aca="false">DEGREES(Beta)</f>
        <v>-79.3760755503308</v>
      </c>
      <c r="O332" s="402"/>
      <c r="P332" s="421" t="n">
        <f aca="false">MATCH(t-pas/2-T_ini,CdP_t)</f>
        <v>23</v>
      </c>
      <c r="Q332" s="418" t="n">
        <f aca="false">(INDEX(CdP,2,i_P+1)-INDEX(CdP,2,i_P+0))/(INDEX(CdP,1,i_P+1)-INDEX(CdP,1,i_P+0))*(t-pas/2-T_ini-INDEX(CdP,1,i_P+0))+INDEX(CdP,2,i_P+0)</f>
        <v>0</v>
      </c>
      <c r="R332" s="419" t="n">
        <f aca="false">Poussee/(g*ISP)</f>
        <v>0</v>
      </c>
      <c r="S332" s="420" t="n">
        <f aca="false">S331-Débit*pas</f>
        <v>1.4843</v>
      </c>
      <c r="T332" s="418" t="n">
        <f aca="false">m*g</f>
        <v>14.560983</v>
      </c>
      <c r="U332" s="422" t="n">
        <f aca="false">IF(pos_xz&lt;L_rampe,Poids*COS(Beta),0)</f>
        <v>0</v>
      </c>
      <c r="V332" s="419" t="n">
        <f aca="false">Rho_moyen*(20000-Alt_rampe-pos_z)/(20000+Alt_rampe+pos_z)</f>
        <v>1.21200578181628</v>
      </c>
      <c r="W332" s="418" t="n">
        <f aca="false">1/2*Rho*Sref*Cx*vit_xz^2</f>
        <v>3.91332331514962</v>
      </c>
      <c r="X332" s="402"/>
      <c r="Y332" s="423" t="str">
        <f aca="false">IF(AND(pos_z&lt;=0,K331&gt;0),"Impact balistique","") &amp; IF(AND(H333&lt;0,vit_z&gt;=0),"Apogée","") &amp; IF(AND(Poussee=0,Q331&gt;0),"Fin de propulsion","") &amp; IF(AND(L333&gt;L_rampe,pos_xz&lt;=L_rampe),"Sortie de rampe","")</f>
        <v/>
      </c>
      <c r="Z332" s="424" t="str">
        <f aca="false">IF(ABS(t-T_para)&lt;pas/2,"Para","")</f>
        <v/>
      </c>
      <c r="AA332" s="425" t="str">
        <f aca="false">IF(ABS(t-T_satellite)&lt;pas/2,"Satellite","")</f>
        <v/>
      </c>
      <c r="AB332" s="413"/>
      <c r="AC332" s="421" t="e">
        <f aca="false">IF(ABS(t-ROUND(t,0))&lt;0.001,t,NA())</f>
        <v>#N/A</v>
      </c>
      <c r="AD332" s="426" t="e">
        <f aca="false">IF(ABS(t-ROUND(t,0))&lt;0.001,pos_x,NA())</f>
        <v>#N/A</v>
      </c>
      <c r="AE332" s="427" t="e">
        <f aca="false">IF(t&lt;T_para, pos_z, NA())</f>
        <v>#N/A</v>
      </c>
      <c r="AF332" s="413"/>
      <c r="AG332" s="419" t="n">
        <f aca="false">IF(AND(L331&lt;L_rampe,Poussee&lt;Poids*SIN(M331)),0,(-W331+Poussee)/m-Poids*SIN(M331)/m)</f>
        <v>7.0625470555259</v>
      </c>
      <c r="AH332" s="418" t="n">
        <f aca="false">IF(AND(L331&lt;L_rampe,Poussee&lt;Poids*SIN(M331)), g*SIN(M331), (-W331+Poussee)/m)</f>
        <v>-2.57375777448504</v>
      </c>
    </row>
    <row r="333" customFormat="false" ht="12" hidden="false" customHeight="false" outlineLevel="0" collapsed="false">
      <c r="A333" s="417" t="n">
        <f aca="false">IF(B332+0.01&lt;=T_ini+ROUNDUP(Temps_fin_propu,0), 0.01, IF(K332&gt;0, 0.1, 0.0001))</f>
        <v>0.1</v>
      </c>
      <c r="B333" s="418" t="n">
        <f aca="false">B332+pas</f>
        <v>14.9</v>
      </c>
      <c r="C333" s="402"/>
      <c r="D333" s="419" t="n">
        <f aca="false">IF(AND(L332&lt;L_rampe,Poussee&lt;Poids*SIN(M332)),0,(-W332+Poussee)/m*COS(M332)-U332/m*SIN(M332))</f>
        <v>-0.486065627467328</v>
      </c>
      <c r="E333" s="420" t="n">
        <f aca="false">IF(AND(L332&lt;L_rampe,Poussee&lt;Poids*SIN(M332)),0,(-W332+Poussee)/m*SIN(M332)+U332/m*COS(M332)-Poids/m)</f>
        <v>-7.21871596154478</v>
      </c>
      <c r="F333" s="418" t="n">
        <f aca="false">SQRT(acc_x^2+acc_z^2)</f>
        <v>7.23506184684461</v>
      </c>
      <c r="G333" s="419" t="n">
        <f aca="false">G332+acc_x*pas</f>
        <v>11.1092818631771</v>
      </c>
      <c r="H333" s="420" t="n">
        <f aca="false">H332+acc_z*pas</f>
        <v>-60.2061398658833</v>
      </c>
      <c r="I333" s="418" t="n">
        <f aca="false">SQRT(vit_x^2+vit_z^2)</f>
        <v>61.2225074712382</v>
      </c>
      <c r="J333" s="419" t="n">
        <f aca="false">J332+0.5*(vit_x+G332)*pas*(K332&gt;=0)</f>
        <v>194.663909205136</v>
      </c>
      <c r="K333" s="420" t="n">
        <f aca="false">K332+0.5*(vit_z+H332)*pas</f>
        <v>100.656327806845</v>
      </c>
      <c r="L333" s="418" t="n">
        <f aca="false">SQRT(pos_x^2+pos_z^2)</f>
        <v>219.147744397665</v>
      </c>
      <c r="M333" s="419" t="n">
        <f aca="false">IF(AND(L332&gt;L_rampe,G333&gt;0),ATAN2(G333,H333),$M$4)</f>
        <v>-1.38832799424236</v>
      </c>
      <c r="N333" s="418" t="n">
        <f aca="false">DEGREES(Beta)</f>
        <v>-79.5453346499503</v>
      </c>
      <c r="O333" s="402"/>
      <c r="P333" s="421" t="n">
        <f aca="false">MATCH(t-pas/2-T_ini,CdP_t)</f>
        <v>23</v>
      </c>
      <c r="Q333" s="418" t="n">
        <f aca="false">(INDEX(CdP,2,i_P+1)-INDEX(CdP,2,i_P+0))/(INDEX(CdP,1,i_P+1)-INDEX(CdP,1,i_P+0))*(t-pas/2-T_ini-INDEX(CdP,1,i_P+0))+INDEX(CdP,2,i_P+0)</f>
        <v>0</v>
      </c>
      <c r="R333" s="419" t="n">
        <f aca="false">Poussee/(g*ISP)</f>
        <v>0</v>
      </c>
      <c r="S333" s="420" t="n">
        <f aca="false">S332-Débit*pas</f>
        <v>1.4843</v>
      </c>
      <c r="T333" s="418" t="n">
        <f aca="false">m*g</f>
        <v>14.560983</v>
      </c>
      <c r="U333" s="422" t="n">
        <f aca="false">IF(pos_xz&lt;L_rampe,Poids*COS(Beta),0)</f>
        <v>0</v>
      </c>
      <c r="V333" s="419" t="n">
        <f aca="false">Rho_moyen*(20000-Alt_rampe-pos_z)/(20000+Alt_rampe+pos_z)</f>
        <v>1.21273134572797</v>
      </c>
      <c r="W333" s="418" t="n">
        <f aca="false">1/2*Rho*Sref*Cx*vit_xz^2</f>
        <v>4.00687297135632</v>
      </c>
      <c r="X333" s="402"/>
      <c r="Y333" s="423" t="str">
        <f aca="false">IF(AND(pos_z&lt;=0,K332&gt;0),"Impact balistique","") &amp; IF(AND(H334&lt;0,vit_z&gt;=0),"Apogée","") &amp; IF(AND(Poussee=0,Q332&gt;0),"Fin de propulsion","") &amp; IF(AND(L334&gt;L_rampe,pos_xz&lt;=L_rampe),"Sortie de rampe","")</f>
        <v/>
      </c>
      <c r="Z333" s="424" t="str">
        <f aca="false">IF(ABS(t-T_para)&lt;pas/2,"Para","")</f>
        <v/>
      </c>
      <c r="AA333" s="425" t="str">
        <f aca="false">IF(ABS(t-T_satellite)&lt;pas/2,"Satellite","")</f>
        <v/>
      </c>
      <c r="AB333" s="413"/>
      <c r="AC333" s="421" t="e">
        <f aca="false">IF(ABS(t-ROUND(t,0))&lt;0.001,t,NA())</f>
        <v>#N/A</v>
      </c>
      <c r="AD333" s="426" t="e">
        <f aca="false">IF(ABS(t-ROUND(t,0))&lt;0.001,pos_x,NA())</f>
        <v>#N/A</v>
      </c>
      <c r="AE333" s="427" t="e">
        <f aca="false">IF(t&lt;T_para, pos_z, NA())</f>
        <v>#N/A</v>
      </c>
      <c r="AF333" s="413"/>
      <c r="AG333" s="419" t="n">
        <f aca="false">IF(AND(L332&lt;L_rampe,Poussee&lt;Poids*SIN(M332)),0,(-W332+Poussee)/m-Poids*SIN(M332)/m)</f>
        <v>7.00536408098919</v>
      </c>
      <c r="AH333" s="418" t="n">
        <f aca="false">IF(AND(L332&lt;L_rampe,Poussee&lt;Poids*SIN(M332)), g*SIN(M332), (-W332+Poussee)/m)</f>
        <v>-2.63647733958743</v>
      </c>
    </row>
    <row r="334" customFormat="false" ht="12" hidden="false" customHeight="false" outlineLevel="0" collapsed="false">
      <c r="A334" s="417" t="n">
        <f aca="false">IF(B333+0.01&lt;=T_ini+ROUNDUP(Temps_fin_propu,0), 0.01, IF(K333&gt;0, 0.1, 0.0001))</f>
        <v>0.1</v>
      </c>
      <c r="B334" s="418" t="n">
        <f aca="false">B333+pas</f>
        <v>15</v>
      </c>
      <c r="C334" s="402"/>
      <c r="D334" s="419" t="n">
        <f aca="false">IF(AND(L333&lt;L_rampe,Poussee&lt;Poids*SIN(M333)),0,(-W333+Poussee)/m*COS(M333)-U333/m*SIN(M333))</f>
        <v>-0.489845090625529</v>
      </c>
      <c r="E334" s="420" t="n">
        <f aca="false">IF(AND(L333&lt;L_rampe,Poussee&lt;Poids*SIN(M333)),0,(-W333+Poussee)/m*SIN(M333)+U333/m*COS(M333)-Poids/m)</f>
        <v>-7.15531156900697</v>
      </c>
      <c r="F334" s="418" t="n">
        <f aca="false">SQRT(acc_x^2+acc_z^2)</f>
        <v>7.17205910895713</v>
      </c>
      <c r="G334" s="419" t="n">
        <f aca="false">G333+acc_x*pas</f>
        <v>11.0602973541145</v>
      </c>
      <c r="H334" s="420" t="n">
        <f aca="false">H333+acc_z*pas</f>
        <v>-60.921671022784</v>
      </c>
      <c r="I334" s="418" t="n">
        <f aca="false">SQRT(vit_x^2+vit_z^2)</f>
        <v>61.9175272258974</v>
      </c>
      <c r="J334" s="419" t="n">
        <f aca="false">J333+0.5*(vit_x+G333)*pas*(K333&gt;=0)</f>
        <v>195.772388166001</v>
      </c>
      <c r="K334" s="420" t="n">
        <f aca="false">K333+0.5*(vit_z+H333)*pas</f>
        <v>94.5999372624113</v>
      </c>
      <c r="L334" s="418" t="n">
        <f aca="false">SQRT(pos_x^2+pos_z^2)</f>
        <v>217.430393685592</v>
      </c>
      <c r="M334" s="419" t="n">
        <f aca="false">IF(AND(L333&gt;L_rampe,G334&gt;0),ATAN2(G334,H334),$M$4)</f>
        <v>-1.39120294807343</v>
      </c>
      <c r="N334" s="418" t="n">
        <f aca="false">DEGREES(Beta)</f>
        <v>-79.7100573707656</v>
      </c>
      <c r="O334" s="402"/>
      <c r="P334" s="421" t="n">
        <f aca="false">MATCH(t-pas/2-T_ini,CdP_t)</f>
        <v>23</v>
      </c>
      <c r="Q334" s="418" t="n">
        <f aca="false">(INDEX(CdP,2,i_P+1)-INDEX(CdP,2,i_P+0))/(INDEX(CdP,1,i_P+1)-INDEX(CdP,1,i_P+0))*(t-pas/2-T_ini-INDEX(CdP,1,i_P+0))+INDEX(CdP,2,i_P+0)</f>
        <v>0</v>
      </c>
      <c r="R334" s="419" t="n">
        <f aca="false">Poussee/(g*ISP)</f>
        <v>0</v>
      </c>
      <c r="S334" s="420" t="n">
        <f aca="false">S333-Débit*pas</f>
        <v>1.4843</v>
      </c>
      <c r="T334" s="418" t="n">
        <f aca="false">m*g</f>
        <v>14.560983</v>
      </c>
      <c r="U334" s="422" t="n">
        <f aca="false">IF(pos_xz&lt;L_rampe,Poids*COS(Beta),0)</f>
        <v>0</v>
      </c>
      <c r="V334" s="419" t="n">
        <f aca="false">Rho_moyen*(20000-Alt_rampe-pos_z)/(20000+Alt_rampe+pos_z)</f>
        <v>1.21346606317038</v>
      </c>
      <c r="W334" s="418" t="n">
        <f aca="false">1/2*Rho*Sref*Cx*vit_xz^2</f>
        <v>4.10084720557998</v>
      </c>
      <c r="X334" s="402"/>
      <c r="Y334" s="423" t="str">
        <f aca="false">IF(AND(pos_z&lt;=0,K333&gt;0),"Impact balistique","") &amp; IF(AND(H335&lt;0,vit_z&gt;=0),"Apogée","") &amp; IF(AND(Poussee=0,Q333&gt;0),"Fin de propulsion","") &amp; IF(AND(L335&gt;L_rampe,pos_xz&lt;=L_rampe),"Sortie de rampe","")</f>
        <v/>
      </c>
      <c r="Z334" s="424" t="str">
        <f aca="false">IF(ABS(t-T_para)&lt;pas/2,"Para","")</f>
        <v/>
      </c>
      <c r="AA334" s="425" t="str">
        <f aca="false">IF(ABS(t-T_satellite)&lt;pas/2,"Satellite","")</f>
        <v/>
      </c>
      <c r="AB334" s="413"/>
      <c r="AC334" s="421" t="n">
        <f aca="false">IF(ABS(t-ROUND(t,0))&lt;0.001,t,NA())</f>
        <v>15</v>
      </c>
      <c r="AD334" s="426" t="n">
        <f aca="false">IF(ABS(t-ROUND(t,0))&lt;0.001,pos_x,NA())</f>
        <v>195.772388166001</v>
      </c>
      <c r="AE334" s="427" t="e">
        <f aca="false">IF(t&lt;T_para, pos_z, NA())</f>
        <v>#N/A</v>
      </c>
      <c r="AF334" s="413"/>
      <c r="AG334" s="419" t="n">
        <f aca="false">IF(AND(L333&lt;L_rampe,Poussee&lt;Poids*SIN(M333)),0,(-W333+Poussee)/m-Poids*SIN(M333)/m)</f>
        <v>6.94763869523607</v>
      </c>
      <c r="AH334" s="418" t="n">
        <f aca="false">IF(AND(L333&lt;L_rampe,Poussee&lt;Poids*SIN(M333)), g*SIN(M333), (-W333+Poussee)/m)</f>
        <v>-2.69950345035122</v>
      </c>
    </row>
    <row r="335" customFormat="false" ht="12" hidden="false" customHeight="false" outlineLevel="0" collapsed="false">
      <c r="A335" s="417" t="n">
        <f aca="false">IF(B334+0.01&lt;=T_ini+ROUNDUP(Temps_fin_propu,0), 0.01, IF(K334&gt;0, 0.1, 0.0001))</f>
        <v>0.1</v>
      </c>
      <c r="B335" s="418" t="n">
        <f aca="false">B334+pas</f>
        <v>15.1</v>
      </c>
      <c r="C335" s="402"/>
      <c r="D335" s="419" t="n">
        <f aca="false">IF(AND(L334&lt;L_rampe,Poussee&lt;Poids*SIN(M334)),0,(-W334+Poussee)/m*COS(M334)-U334/m*SIN(M334))</f>
        <v>-0.493520389426119</v>
      </c>
      <c r="E335" s="420" t="n">
        <f aca="false">IF(AND(L334&lt;L_rampe,Poussee&lt;Poids*SIN(M334)),0,(-W334+Poussee)/m*SIN(M334)+U334/m*COS(M334)-Poids/m)</f>
        <v>-7.09162039002781</v>
      </c>
      <c r="F335" s="418" t="n">
        <f aca="false">SQRT(acc_x^2+acc_z^2)</f>
        <v>7.10877219574784</v>
      </c>
      <c r="G335" s="419" t="n">
        <f aca="false">G334+acc_x*pas</f>
        <v>11.0109453151719</v>
      </c>
      <c r="H335" s="420" t="n">
        <f aca="false">H334+acc_z*pas</f>
        <v>-61.6308330617868</v>
      </c>
      <c r="I335" s="418" t="n">
        <f aca="false">SQRT(vit_x^2+vit_z^2)</f>
        <v>62.6067129038375</v>
      </c>
      <c r="J335" s="419" t="n">
        <f aca="false">J334+0.5*(vit_x+G334)*pas*(K334&gt;=0)</f>
        <v>196.875950299465</v>
      </c>
      <c r="K335" s="420" t="n">
        <f aca="false">K334+0.5*(vit_z+H334)*pas</f>
        <v>88.4723120581828</v>
      </c>
      <c r="L335" s="418" t="n">
        <f aca="false">SQRT(pos_x^2+pos_z^2)</f>
        <v>215.841353329796</v>
      </c>
      <c r="M335" s="419" t="n">
        <f aca="false">IF(AND(L334&gt;L_rampe,G335&gt;0),ATAN2(G335,H335),$M$4)</f>
        <v>-1.39400194145462</v>
      </c>
      <c r="N335" s="418" t="n">
        <f aca="false">DEGREES(Beta)</f>
        <v>-79.8704278783929</v>
      </c>
      <c r="O335" s="402"/>
      <c r="P335" s="421" t="n">
        <f aca="false">MATCH(t-pas/2-T_ini,CdP_t)</f>
        <v>23</v>
      </c>
      <c r="Q335" s="418" t="n">
        <f aca="false">(INDEX(CdP,2,i_P+1)-INDEX(CdP,2,i_P+0))/(INDEX(CdP,1,i_P+1)-INDEX(CdP,1,i_P+0))*(t-pas/2-T_ini-INDEX(CdP,1,i_P+0))+INDEX(CdP,2,i_P+0)</f>
        <v>0</v>
      </c>
      <c r="R335" s="419" t="n">
        <f aca="false">Poussee/(g*ISP)</f>
        <v>0</v>
      </c>
      <c r="S335" s="420" t="n">
        <f aca="false">S334-Débit*pas</f>
        <v>1.4843</v>
      </c>
      <c r="T335" s="418" t="n">
        <f aca="false">m*g</f>
        <v>14.560983</v>
      </c>
      <c r="U335" s="422" t="n">
        <f aca="false">IF(pos_xz&lt;L_rampe,Poids*COS(Beta),0)</f>
        <v>0</v>
      </c>
      <c r="V335" s="419" t="n">
        <f aca="false">Rho_moyen*(20000-Alt_rampe-pos_z)/(20000+Alt_rampe+pos_z)</f>
        <v>1.21420987314638</v>
      </c>
      <c r="W335" s="418" t="n">
        <f aca="false">1/2*Rho*Sref*Cx*vit_xz^2</f>
        <v>4.19521584163581</v>
      </c>
      <c r="X335" s="402"/>
      <c r="Y335" s="423" t="str">
        <f aca="false">IF(AND(pos_z&lt;=0,K334&gt;0),"Impact balistique","") &amp; IF(AND(H336&lt;0,vit_z&gt;=0),"Apogée","") &amp; IF(AND(Poussee=0,Q334&gt;0),"Fin de propulsion","") &amp; IF(AND(L336&gt;L_rampe,pos_xz&lt;=L_rampe),"Sortie de rampe","")</f>
        <v/>
      </c>
      <c r="Z335" s="424" t="str">
        <f aca="false">IF(ABS(t-T_para)&lt;pas/2,"Para","")</f>
        <v/>
      </c>
      <c r="AA335" s="425" t="str">
        <f aca="false">IF(ABS(t-T_satellite)&lt;pas/2,"Satellite","")</f>
        <v/>
      </c>
      <c r="AB335" s="413"/>
      <c r="AC335" s="421" t="e">
        <f aca="false">IF(ABS(t-ROUND(t,0))&lt;0.001,t,NA())</f>
        <v>#N/A</v>
      </c>
      <c r="AD335" s="426" t="e">
        <f aca="false">IF(ABS(t-ROUND(t,0))&lt;0.001,pos_x,NA())</f>
        <v>#N/A</v>
      </c>
      <c r="AE335" s="427" t="e">
        <f aca="false">IF(t&lt;T_para, pos_z, NA())</f>
        <v>#N/A</v>
      </c>
      <c r="AF335" s="413"/>
      <c r="AG335" s="419" t="n">
        <f aca="false">IF(AND(L334&lt;L_rampe,Poussee&lt;Poids*SIN(M334)),0,(-W334+Poussee)/m-Poids*SIN(M334)/m)</f>
        <v>6.8894043621295</v>
      </c>
      <c r="AH335" s="418" t="n">
        <f aca="false">IF(AND(L334&lt;L_rampe,Poussee&lt;Poids*SIN(M334)), g*SIN(M334), (-W334+Poussee)/m)</f>
        <v>-2.76281560707403</v>
      </c>
    </row>
    <row r="336" customFormat="false" ht="12" hidden="false" customHeight="false" outlineLevel="0" collapsed="false">
      <c r="A336" s="417" t="n">
        <f aca="false">IF(B335+0.01&lt;=T_ini+ROUNDUP(Temps_fin_propu,0), 0.01, IF(K335&gt;0, 0.1, 0.0001))</f>
        <v>0.1</v>
      </c>
      <c r="B336" s="418" t="n">
        <f aca="false">B335+pas</f>
        <v>15.2</v>
      </c>
      <c r="C336" s="402"/>
      <c r="D336" s="419" t="n">
        <f aca="false">IF(AND(L335&lt;L_rampe,Poussee&lt;Poids*SIN(M335)),0,(-W335+Poussee)/m*COS(M335)-U335/m*SIN(M335))</f>
        <v>-0.497091487454997</v>
      </c>
      <c r="E336" s="420" t="n">
        <f aca="false">IF(AND(L335&lt;L_rampe,Poussee&lt;Poids*SIN(M335)),0,(-W335+Poussee)/m*SIN(M335)+U335/m*COS(M335)-Poids/m)</f>
        <v>-7.02766282522893</v>
      </c>
      <c r="F336" s="418" t="n">
        <f aca="false">SQRT(acc_x^2+acc_z^2)</f>
        <v>7.04522141114138</v>
      </c>
      <c r="G336" s="419" t="n">
        <f aca="false">G335+acc_x*pas</f>
        <v>10.9612361664264</v>
      </c>
      <c r="H336" s="420" t="n">
        <f aca="false">H335+acc_z*pas</f>
        <v>-62.3335993443097</v>
      </c>
      <c r="I336" s="418" t="n">
        <f aca="false">SQRT(vit_x^2+vit_z^2)</f>
        <v>63.2900174238647</v>
      </c>
      <c r="J336" s="419" t="n">
        <f aca="false">J335+0.5*(vit_x+G335)*pas*(K335&gt;=0)</f>
        <v>197.974559373545</v>
      </c>
      <c r="K336" s="420" t="n">
        <f aca="false">K335+0.5*(vit_z+H335)*pas</f>
        <v>82.2740904378779</v>
      </c>
      <c r="L336" s="418" t="n">
        <f aca="false">SQRT(pos_x^2+pos_z^2)</f>
        <v>214.389720174567</v>
      </c>
      <c r="M336" s="419" t="n">
        <f aca="false">IF(AND(L335&gt;L_rampe,G336&gt;0),ATAN2(G336,H336),$M$4)</f>
        <v>-1.39672801792076</v>
      </c>
      <c r="N336" s="418" t="n">
        <f aca="false">DEGREES(Beta)</f>
        <v>-80.0266205545323</v>
      </c>
      <c r="O336" s="402"/>
      <c r="P336" s="421" t="n">
        <f aca="false">MATCH(t-pas/2-T_ini,CdP_t)</f>
        <v>23</v>
      </c>
      <c r="Q336" s="418" t="n">
        <f aca="false">(INDEX(CdP,2,i_P+1)-INDEX(CdP,2,i_P+0))/(INDEX(CdP,1,i_P+1)-INDEX(CdP,1,i_P+0))*(t-pas/2-T_ini-INDEX(CdP,1,i_P+0))+INDEX(CdP,2,i_P+0)</f>
        <v>0</v>
      </c>
      <c r="R336" s="419" t="n">
        <f aca="false">Poussee/(g*ISP)</f>
        <v>0</v>
      </c>
      <c r="S336" s="420" t="n">
        <f aca="false">S335-Débit*pas</f>
        <v>1.4843</v>
      </c>
      <c r="T336" s="418" t="n">
        <f aca="false">m*g</f>
        <v>14.560983</v>
      </c>
      <c r="U336" s="422" t="n">
        <f aca="false">IF(pos_xz&lt;L_rampe,Poids*COS(Beta),0)</f>
        <v>0</v>
      </c>
      <c r="V336" s="419" t="n">
        <f aca="false">Rho_moyen*(20000-Alt_rampe-pos_z)/(20000+Alt_rampe+pos_z)</f>
        <v>1.21496271434873</v>
      </c>
      <c r="W336" s="418" t="n">
        <f aca="false">1/2*Rho*Sref*Cx*vit_xz^2</f>
        <v>4.2899489704476</v>
      </c>
      <c r="X336" s="402"/>
      <c r="Y336" s="423" t="str">
        <f aca="false">IF(AND(pos_z&lt;=0,K335&gt;0),"Impact balistique","") &amp; IF(AND(H337&lt;0,vit_z&gt;=0),"Apogée","") &amp; IF(AND(Poussee=0,Q335&gt;0),"Fin de propulsion","") &amp; IF(AND(L337&gt;L_rampe,pos_xz&lt;=L_rampe),"Sortie de rampe","")</f>
        <v/>
      </c>
      <c r="Z336" s="424" t="str">
        <f aca="false">IF(ABS(t-T_para)&lt;pas/2,"Para","")</f>
        <v/>
      </c>
      <c r="AA336" s="425" t="str">
        <f aca="false">IF(ABS(t-T_satellite)&lt;pas/2,"Satellite","")</f>
        <v/>
      </c>
      <c r="AB336" s="413"/>
      <c r="AC336" s="421" t="e">
        <f aca="false">IF(ABS(t-ROUND(t,0))&lt;0.001,t,NA())</f>
        <v>#N/A</v>
      </c>
      <c r="AD336" s="426" t="e">
        <f aca="false">IF(ABS(t-ROUND(t,0))&lt;0.001,pos_x,NA())</f>
        <v>#N/A</v>
      </c>
      <c r="AE336" s="427" t="e">
        <f aca="false">IF(t&lt;T_para, pos_z, NA())</f>
        <v>#N/A</v>
      </c>
      <c r="AF336" s="413"/>
      <c r="AG336" s="419" t="n">
        <f aca="false">IF(AND(L335&lt;L_rampe,Poussee&lt;Poids*SIN(M335)),0,(-W335+Poussee)/m-Poids*SIN(M335)/m)</f>
        <v>6.83069350515273</v>
      </c>
      <c r="AH336" s="418" t="n">
        <f aca="false">IF(AND(L335&lt;L_rampe,Poussee&lt;Poids*SIN(M335)), g*SIN(M335), (-W335+Poussee)/m)</f>
        <v>-2.82639347950941</v>
      </c>
    </row>
    <row r="337" customFormat="false" ht="12" hidden="false" customHeight="false" outlineLevel="0" collapsed="false">
      <c r="A337" s="417" t="n">
        <f aca="false">IF(B336+0.01&lt;=T_ini+ROUNDUP(Temps_fin_propu,0), 0.01, IF(K336&gt;0, 0.1, 0.0001))</f>
        <v>0.1</v>
      </c>
      <c r="B337" s="418" t="n">
        <f aca="false">B336+pas</f>
        <v>15.3</v>
      </c>
      <c r="C337" s="402"/>
      <c r="D337" s="419" t="n">
        <f aca="false">IF(AND(L336&lt;L_rampe,Poussee&lt;Poids*SIN(M336)),0,(-W336+Poussee)/m*COS(M336)-U336/m*SIN(M336))</f>
        <v>-0.50055840546369</v>
      </c>
      <c r="E337" s="420" t="n">
        <f aca="false">IF(AND(L336&lt;L_rampe,Poussee&lt;Poids*SIN(M336)),0,(-W336+Poussee)/m*SIN(M336)+U336/m*COS(M336)-Poids/m)</f>
        <v>-6.96345909705251</v>
      </c>
      <c r="F337" s="418" t="n">
        <f aca="false">SQRT(acc_x^2+acc_z^2)</f>
        <v>6.98142688235032</v>
      </c>
      <c r="G337" s="419" t="n">
        <f aca="false">G336+acc_x*pas</f>
        <v>10.91118032588</v>
      </c>
      <c r="H337" s="420" t="n">
        <f aca="false">H336+acc_z*pas</f>
        <v>-63.0299452540149</v>
      </c>
      <c r="I337" s="418" t="n">
        <f aca="false">SQRT(vit_x^2+vit_z^2)</f>
        <v>63.9673968114069</v>
      </c>
      <c r="J337" s="419" t="n">
        <f aca="false">J336+0.5*(vit_x+G336)*pas*(K336&gt;=0)</f>
        <v>199.06818019816</v>
      </c>
      <c r="K337" s="420" t="n">
        <f aca="false">K336+0.5*(vit_z+H336)*pas</f>
        <v>76.0059132079617</v>
      </c>
      <c r="L337" s="418" t="n">
        <f aca="false">SQRT(pos_x^2+pos_z^2)</f>
        <v>213.084582290656</v>
      </c>
      <c r="M337" s="419" t="n">
        <f aca="false">IF(AND(L336&gt;L_rampe,G337&gt;0),ATAN2(G337,H337),$M$4)</f>
        <v>-1.39938406128019</v>
      </c>
      <c r="N337" s="418" t="n">
        <f aca="false">DEGREES(Beta)</f>
        <v>-80.1788006292314</v>
      </c>
      <c r="O337" s="402"/>
      <c r="P337" s="421" t="n">
        <f aca="false">MATCH(t-pas/2-T_ini,CdP_t)</f>
        <v>23</v>
      </c>
      <c r="Q337" s="418" t="n">
        <f aca="false">(INDEX(CdP,2,i_P+1)-INDEX(CdP,2,i_P+0))/(INDEX(CdP,1,i_P+1)-INDEX(CdP,1,i_P+0))*(t-pas/2-T_ini-INDEX(CdP,1,i_P+0))+INDEX(CdP,2,i_P+0)</f>
        <v>0</v>
      </c>
      <c r="R337" s="419" t="n">
        <f aca="false">Poussee/(g*ISP)</f>
        <v>0</v>
      </c>
      <c r="S337" s="420" t="n">
        <f aca="false">S336-Débit*pas</f>
        <v>1.4843</v>
      </c>
      <c r="T337" s="418" t="n">
        <f aca="false">m*g</f>
        <v>14.560983</v>
      </c>
      <c r="U337" s="422" t="n">
        <f aca="false">IF(pos_xz&lt;L_rampe,Poids*COS(Beta),0)</f>
        <v>0</v>
      </c>
      <c r="V337" s="419" t="n">
        <f aca="false">Rho_moyen*(20000-Alt_rampe-pos_z)/(20000+Alt_rampe+pos_z)</f>
        <v>1.21572452517874</v>
      </c>
      <c r="W337" s="418" t="n">
        <f aca="false">1/2*Rho*Sref*Cx*vit_xz^2</f>
        <v>4.38501696508465</v>
      </c>
      <c r="X337" s="402"/>
      <c r="Y337" s="423" t="str">
        <f aca="false">IF(AND(pos_z&lt;=0,K336&gt;0),"Impact balistique","") &amp; IF(AND(H338&lt;0,vit_z&gt;=0),"Apogée","") &amp; IF(AND(Poussee=0,Q336&gt;0),"Fin de propulsion","") &amp; IF(AND(L338&gt;L_rampe,pos_xz&lt;=L_rampe),"Sortie de rampe","")</f>
        <v/>
      </c>
      <c r="Z337" s="424" t="str">
        <f aca="false">IF(ABS(t-T_para)&lt;pas/2,"Para","")</f>
        <v/>
      </c>
      <c r="AA337" s="425" t="str">
        <f aca="false">IF(ABS(t-T_satellite)&lt;pas/2,"Satellite","")</f>
        <v/>
      </c>
      <c r="AB337" s="413"/>
      <c r="AC337" s="421" t="e">
        <f aca="false">IF(ABS(t-ROUND(t,0))&lt;0.001,t,NA())</f>
        <v>#N/A</v>
      </c>
      <c r="AD337" s="426" t="e">
        <f aca="false">IF(ABS(t-ROUND(t,0))&lt;0.001,pos_x,NA())</f>
        <v>#N/A</v>
      </c>
      <c r="AE337" s="427" t="e">
        <f aca="false">IF(t&lt;T_para, pos_z, NA())</f>
        <v>#N/A</v>
      </c>
      <c r="AF337" s="413"/>
      <c r="AG337" s="419" t="n">
        <f aca="false">IF(AND(L336&lt;L_rampe,Poussee&lt;Poids*SIN(M336)),0,(-W336+Poussee)/m-Poids*SIN(M336)/m)</f>
        <v>6.77153756553054</v>
      </c>
      <c r="AH337" s="418" t="n">
        <f aca="false">IF(AND(L336&lt;L_rampe,Poussee&lt;Poids*SIN(M336)), g*SIN(M336), (-W336+Poussee)/m)</f>
        <v>-2.89021691736684</v>
      </c>
    </row>
    <row r="338" customFormat="false" ht="12" hidden="false" customHeight="false" outlineLevel="0" collapsed="false">
      <c r="A338" s="417" t="n">
        <f aca="false">IF(B337+0.01&lt;=T_ini+ROUNDUP(Temps_fin_propu,0), 0.01, IF(K337&gt;0, 0.1, 0.0001))</f>
        <v>0.1</v>
      </c>
      <c r="B338" s="418" t="n">
        <f aca="false">B337+pas</f>
        <v>15.4</v>
      </c>
      <c r="C338" s="402"/>
      <c r="D338" s="419" t="n">
        <f aca="false">IF(AND(L337&lt;L_rampe,Poussee&lt;Poids*SIN(M337)),0,(-W337+Poussee)/m*COS(M337)-U337/m*SIN(M337))</f>
        <v>-0.503921219743118</v>
      </c>
      <c r="E338" s="420" t="n">
        <f aca="false">IF(AND(L337&lt;L_rampe,Poussee&lt;Poids*SIN(M337)),0,(-W337+Poussee)/m*SIN(M337)+U337/m*COS(M337)-Poids/m)</f>
        <v>-6.89902923935652</v>
      </c>
      <c r="F338" s="418" t="n">
        <f aca="false">SQRT(acc_x^2+acc_z^2)</f>
        <v>6.91740854953672</v>
      </c>
      <c r="G338" s="419" t="n">
        <f aca="false">G337+acc_x*pas</f>
        <v>10.8607882039057</v>
      </c>
      <c r="H338" s="420" t="n">
        <f aca="false">H337+acc_z*pas</f>
        <v>-63.7198481779506</v>
      </c>
      <c r="I338" s="418" t="n">
        <f aca="false">SQRT(vit_x^2+vit_z^2)</f>
        <v>64.6388101084106</v>
      </c>
      <c r="J338" s="419" t="n">
        <f aca="false">J337+0.5*(vit_x+G337)*pas*(K337&gt;=0)</f>
        <v>200.156778624649</v>
      </c>
      <c r="K338" s="420" t="n">
        <f aca="false">K337+0.5*(vit_z+H337)*pas</f>
        <v>69.6684235363634</v>
      </c>
      <c r="L338" s="418" t="n">
        <f aca="false">SQRT(pos_x^2+pos_z^2)</f>
        <v>211.934955275054</v>
      </c>
      <c r="M338" s="419" t="n">
        <f aca="false">IF(AND(L337&gt;L_rampe,G338&gt;0),ATAN2(G338,H338),$M$4)</f>
        <v>-1.4019728058166</v>
      </c>
      <c r="N338" s="418" t="n">
        <f aca="false">DEGREES(Beta)</f>
        <v>-80.327124765405</v>
      </c>
      <c r="O338" s="402"/>
      <c r="P338" s="421" t="n">
        <f aca="false">MATCH(t-pas/2-T_ini,CdP_t)</f>
        <v>23</v>
      </c>
      <c r="Q338" s="418" t="n">
        <f aca="false">(INDEX(CdP,2,i_P+1)-INDEX(CdP,2,i_P+0))/(INDEX(CdP,1,i_P+1)-INDEX(CdP,1,i_P+0))*(t-pas/2-T_ini-INDEX(CdP,1,i_P+0))+INDEX(CdP,2,i_P+0)</f>
        <v>0</v>
      </c>
      <c r="R338" s="419" t="n">
        <f aca="false">Poussee/(g*ISP)</f>
        <v>0</v>
      </c>
      <c r="S338" s="420" t="n">
        <f aca="false">S337-Débit*pas</f>
        <v>1.4843</v>
      </c>
      <c r="T338" s="418" t="n">
        <f aca="false">m*g</f>
        <v>14.560983</v>
      </c>
      <c r="U338" s="422" t="n">
        <f aca="false">IF(pos_xz&lt;L_rampe,Poids*COS(Beta),0)</f>
        <v>0</v>
      </c>
      <c r="V338" s="419" t="n">
        <f aca="false">Rho_moyen*(20000-Alt_rampe-pos_z)/(20000+Alt_rampe+pos_z)</f>
        <v>1.21649524376477</v>
      </c>
      <c r="W338" s="418" t="n">
        <f aca="false">1/2*Rho*Sref*Cx*vit_xz^2</f>
        <v>4.48039049524441</v>
      </c>
      <c r="X338" s="402"/>
      <c r="Y338" s="423" t="str">
        <f aca="false">IF(AND(pos_z&lt;=0,K337&gt;0),"Impact balistique","") &amp; IF(AND(H339&lt;0,vit_z&gt;=0),"Apogée","") &amp; IF(AND(Poussee=0,Q337&gt;0),"Fin de propulsion","") &amp; IF(AND(L339&gt;L_rampe,pos_xz&lt;=L_rampe),"Sortie de rampe","")</f>
        <v/>
      </c>
      <c r="Z338" s="424" t="str">
        <f aca="false">IF(ABS(t-T_para)&lt;pas/2,"Para","")</f>
        <v/>
      </c>
      <c r="AA338" s="425" t="str">
        <f aca="false">IF(ABS(t-T_satellite)&lt;pas/2,"Satellite","")</f>
        <v/>
      </c>
      <c r="AB338" s="413"/>
      <c r="AC338" s="421" t="e">
        <f aca="false">IF(ABS(t-ROUND(t,0))&lt;0.001,t,NA())</f>
        <v>#N/A</v>
      </c>
      <c r="AD338" s="426" t="e">
        <f aca="false">IF(ABS(t-ROUND(t,0))&lt;0.001,pos_x,NA())</f>
        <v>#N/A</v>
      </c>
      <c r="AE338" s="427" t="e">
        <f aca="false">IF(t&lt;T_para, pos_z, NA())</f>
        <v>#N/A</v>
      </c>
      <c r="AF338" s="413"/>
      <c r="AG338" s="419" t="n">
        <f aca="false">IF(AND(L337&lt;L_rampe,Poussee&lt;Poids*SIN(M337)),0,(-W337+Poussee)/m-Poids*SIN(M337)/m)</f>
        <v>6.7119670545554</v>
      </c>
      <c r="AH338" s="418" t="n">
        <f aca="false">IF(AND(L337&lt;L_rampe,Poussee&lt;Poids*SIN(M337)), g*SIN(M337), (-W337+Poussee)/m)</f>
        <v>-2.9542659604424</v>
      </c>
    </row>
    <row r="339" customFormat="false" ht="12" hidden="false" customHeight="false" outlineLevel="0" collapsed="false">
      <c r="A339" s="417" t="n">
        <f aca="false">IF(B338+0.01&lt;=T_ini+ROUNDUP(Temps_fin_propu,0), 0.01, IF(K338&gt;0, 0.1, 0.0001))</f>
        <v>0.1</v>
      </c>
      <c r="B339" s="418" t="n">
        <f aca="false">B338+pas</f>
        <v>15.5</v>
      </c>
      <c r="C339" s="402"/>
      <c r="D339" s="419" t="n">
        <f aca="false">IF(AND(L338&lt;L_rampe,Poussee&lt;Poids*SIN(M338)),0,(-W338+Poussee)/m*COS(M338)-U338/m*SIN(M338))</f>
        <v>-0.507180060528671</v>
      </c>
      <c r="E339" s="420" t="n">
        <f aca="false">IF(AND(L338&lt;L_rampe,Poussee&lt;Poids*SIN(M338)),0,(-W338+Poussee)/m*SIN(M338)+U338/m*COS(M338)-Poids/m)</f>
        <v>-6.83439308740513</v>
      </c>
      <c r="F339" s="418" t="n">
        <f aca="false">SQRT(acc_x^2+acc_z^2)</f>
        <v>6.85318615586713</v>
      </c>
      <c r="G339" s="419" t="n">
        <f aca="false">G338+acc_x*pas</f>
        <v>10.8100701978529</v>
      </c>
      <c r="H339" s="420" t="n">
        <f aca="false">H338+acc_z*pas</f>
        <v>-64.4032874866911</v>
      </c>
      <c r="I339" s="418" t="n">
        <f aca="false">SQRT(vit_x^2+vit_z^2)</f>
        <v>65.3042192876991</v>
      </c>
      <c r="J339" s="419" t="n">
        <f aca="false">J338+0.5*(vit_x+G338)*pas*(K338&gt;=0)</f>
        <v>201.240321544737</v>
      </c>
      <c r="K339" s="420" t="n">
        <f aca="false">K338+0.5*(vit_z+H338)*pas</f>
        <v>63.2622667531313</v>
      </c>
      <c r="L339" s="418" t="n">
        <f aca="false">SQRT(pos_x^2+pos_z^2)</f>
        <v>210.949712989076</v>
      </c>
      <c r="M339" s="419" t="n">
        <f aca="false">IF(AND(L338&gt;L_rampe,G339&gt;0),ATAN2(G339,H339),$M$4)</f>
        <v>-1.40449684572898</v>
      </c>
      <c r="N339" s="418" t="n">
        <f aca="false">DEGREES(Beta)</f>
        <v>-80.471741599707</v>
      </c>
      <c r="O339" s="402"/>
      <c r="P339" s="421" t="n">
        <f aca="false">MATCH(t-pas/2-T_ini,CdP_t)</f>
        <v>23</v>
      </c>
      <c r="Q339" s="418" t="n">
        <f aca="false">(INDEX(CdP,2,i_P+1)-INDEX(CdP,2,i_P+0))/(INDEX(CdP,1,i_P+1)-INDEX(CdP,1,i_P+0))*(t-pas/2-T_ini-INDEX(CdP,1,i_P+0))+INDEX(CdP,2,i_P+0)</f>
        <v>0</v>
      </c>
      <c r="R339" s="419" t="n">
        <f aca="false">Poussee/(g*ISP)</f>
        <v>0</v>
      </c>
      <c r="S339" s="420" t="n">
        <f aca="false">S338-Débit*pas</f>
        <v>1.4843</v>
      </c>
      <c r="T339" s="418" t="n">
        <f aca="false">m*g</f>
        <v>14.560983</v>
      </c>
      <c r="U339" s="422" t="n">
        <f aca="false">IF(pos_xz&lt;L_rampe,Poids*COS(Beta),0)</f>
        <v>0</v>
      </c>
      <c r="V339" s="419" t="n">
        <f aca="false">Rho_moyen*(20000-Alt_rampe-pos_z)/(20000+Alt_rampe+pos_z)</f>
        <v>1.21727480798065</v>
      </c>
      <c r="W339" s="418" t="n">
        <f aca="false">1/2*Rho*Sref*Cx*vit_xz^2</f>
        <v>4.57604054117604</v>
      </c>
      <c r="X339" s="402"/>
      <c r="Y339" s="423" t="str">
        <f aca="false">IF(AND(pos_z&lt;=0,K338&gt;0),"Impact balistique","") &amp; IF(AND(H340&lt;0,vit_z&gt;=0),"Apogée","") &amp; IF(AND(Poussee=0,Q338&gt;0),"Fin de propulsion","") &amp; IF(AND(L340&gt;L_rampe,pos_xz&lt;=L_rampe),"Sortie de rampe","")</f>
        <v/>
      </c>
      <c r="Z339" s="424" t="str">
        <f aca="false">IF(ABS(t-T_para)&lt;pas/2,"Para","")</f>
        <v/>
      </c>
      <c r="AA339" s="425" t="str">
        <f aca="false">IF(ABS(t-T_satellite)&lt;pas/2,"Satellite","")</f>
        <v/>
      </c>
      <c r="AB339" s="413"/>
      <c r="AC339" s="421" t="e">
        <f aca="false">IF(ABS(t-ROUND(t,0))&lt;0.001,t,NA())</f>
        <v>#N/A</v>
      </c>
      <c r="AD339" s="426" t="e">
        <f aca="false">IF(ABS(t-ROUND(t,0))&lt;0.001,pos_x,NA())</f>
        <v>#N/A</v>
      </c>
      <c r="AE339" s="427" t="e">
        <f aca="false">IF(t&lt;T_para, pos_z, NA())</f>
        <v>#N/A</v>
      </c>
      <c r="AF339" s="413"/>
      <c r="AG339" s="419" t="n">
        <f aca="false">IF(AND(L338&lt;L_rampe,Poussee&lt;Poids*SIN(M338)),0,(-W338+Poussee)/m-Poids*SIN(M338)/m)</f>
        <v>6.65201160074103</v>
      </c>
      <c r="AH339" s="418" t="n">
        <f aca="false">IF(AND(L338&lt;L_rampe,Poussee&lt;Poids*SIN(M338)), g*SIN(M338), (-W338+Poussee)/m)</f>
        <v>-3.01852084837595</v>
      </c>
    </row>
    <row r="340" customFormat="false" ht="12" hidden="false" customHeight="false" outlineLevel="0" collapsed="false">
      <c r="A340" s="417" t="n">
        <f aca="false">IF(B339+0.01&lt;=T_ini+ROUNDUP(Temps_fin_propu,0), 0.01, IF(K339&gt;0, 0.1, 0.0001))</f>
        <v>0.1</v>
      </c>
      <c r="B340" s="418" t="n">
        <f aca="false">B339+pas</f>
        <v>15.6</v>
      </c>
      <c r="C340" s="402"/>
      <c r="D340" s="419" t="n">
        <f aca="false">IF(AND(L339&lt;L_rampe,Poussee&lt;Poids*SIN(M339)),0,(-W339+Poussee)/m*COS(M339)-U339/m*SIN(M339))</f>
        <v>-0.510335110433442</v>
      </c>
      <c r="E340" s="420" t="n">
        <f aca="false">IF(AND(L339&lt;L_rampe,Poussee&lt;Poids*SIN(M339)),0,(-W339+Poussee)/m*SIN(M339)+U339/m*COS(M339)-Poids/m)</f>
        <v>-6.76957026825548</v>
      </c>
      <c r="F340" s="418" t="n">
        <f aca="false">SQRT(acc_x^2+acc_z^2)</f>
        <v>6.78877923796243</v>
      </c>
      <c r="G340" s="419" t="n">
        <f aca="false">G339+acc_x*pas</f>
        <v>10.7590366868095</v>
      </c>
      <c r="H340" s="420" t="n">
        <f aca="false">H339+acc_z*pas</f>
        <v>-65.0802445135166</v>
      </c>
      <c r="I340" s="418" t="n">
        <f aca="false">SQRT(vit_x^2+vit_z^2)</f>
        <v>65.9635891713544</v>
      </c>
      <c r="J340" s="419" t="n">
        <f aca="false">J339+0.5*(vit_x+G339)*pas*(K339&gt;=0)</f>
        <v>202.31877688897</v>
      </c>
      <c r="K340" s="420" t="n">
        <f aca="false">K339+0.5*(vit_z+H339)*pas</f>
        <v>56.788090153121</v>
      </c>
      <c r="L340" s="418" t="n">
        <f aca="false">SQRT(pos_x^2+pos_z^2)</f>
        <v>210.137513702547</v>
      </c>
      <c r="M340" s="419" t="n">
        <f aca="false">IF(AND(L339&gt;L_rampe,G340&gt;0),ATAN2(G340,H340),$M$4)</f>
        <v>-1.40695864387449</v>
      </c>
      <c r="N340" s="418" t="n">
        <f aca="false">DEGREES(Beta)</f>
        <v>-80.6127922434583</v>
      </c>
      <c r="O340" s="402"/>
      <c r="P340" s="421" t="n">
        <f aca="false">MATCH(t-pas/2-T_ini,CdP_t)</f>
        <v>23</v>
      </c>
      <c r="Q340" s="418" t="n">
        <f aca="false">(INDEX(CdP,2,i_P+1)-INDEX(CdP,2,i_P+0))/(INDEX(CdP,1,i_P+1)-INDEX(CdP,1,i_P+0))*(t-pas/2-T_ini-INDEX(CdP,1,i_P+0))+INDEX(CdP,2,i_P+0)</f>
        <v>0</v>
      </c>
      <c r="R340" s="419" t="n">
        <f aca="false">Poussee/(g*ISP)</f>
        <v>0</v>
      </c>
      <c r="S340" s="420" t="n">
        <f aca="false">S339-Débit*pas</f>
        <v>1.4843</v>
      </c>
      <c r="T340" s="418" t="n">
        <f aca="false">m*g</f>
        <v>14.560983</v>
      </c>
      <c r="U340" s="422" t="n">
        <f aca="false">IF(pos_xz&lt;L_rampe,Poids*COS(Beta),0)</f>
        <v>0</v>
      </c>
      <c r="V340" s="419" t="n">
        <f aca="false">Rho_moyen*(20000-Alt_rampe-pos_z)/(20000+Alt_rampe+pos_z)</f>
        <v>1.21806315546389</v>
      </c>
      <c r="W340" s="418" t="n">
        <f aca="false">1/2*Rho*Sref*Cx*vit_xz^2</f>
        <v>4.67193840704091</v>
      </c>
      <c r="X340" s="402"/>
      <c r="Y340" s="423" t="str">
        <f aca="false">IF(AND(pos_z&lt;=0,K339&gt;0),"Impact balistique","") &amp; IF(AND(H341&lt;0,vit_z&gt;=0),"Apogée","") &amp; IF(AND(Poussee=0,Q339&gt;0),"Fin de propulsion","") &amp; IF(AND(L341&gt;L_rampe,pos_xz&lt;=L_rampe),"Sortie de rampe","")</f>
        <v/>
      </c>
      <c r="Z340" s="424" t="str">
        <f aca="false">IF(ABS(t-T_para)&lt;pas/2,"Para","")</f>
        <v/>
      </c>
      <c r="AA340" s="425" t="str">
        <f aca="false">IF(ABS(t-T_satellite)&lt;pas/2,"Satellite","")</f>
        <v/>
      </c>
      <c r="AB340" s="413"/>
      <c r="AC340" s="421" t="e">
        <f aca="false">IF(ABS(t-ROUND(t,0))&lt;0.001,t,NA())</f>
        <v>#N/A</v>
      </c>
      <c r="AD340" s="426" t="e">
        <f aca="false">IF(ABS(t-ROUND(t,0))&lt;0.001,pos_x,NA())</f>
        <v>#N/A</v>
      </c>
      <c r="AE340" s="427" t="e">
        <f aca="false">IF(t&lt;T_para, pos_z, NA())</f>
        <v>#N/A</v>
      </c>
      <c r="AF340" s="413"/>
      <c r="AG340" s="419" t="n">
        <f aca="false">IF(AND(L339&lt;L_rampe,Poussee&lt;Poids*SIN(M339)),0,(-W339+Poussee)/m-Poids*SIN(M339)/m)</f>
        <v>6.59169999235691</v>
      </c>
      <c r="AH340" s="418" t="n">
        <f aca="false">IF(AND(L339&lt;L_rampe,Poussee&lt;Poids*SIN(M339)), g*SIN(M339), (-W339+Poussee)/m)</f>
        <v>-3.0829620300317</v>
      </c>
    </row>
    <row r="341" customFormat="false" ht="12" hidden="false" customHeight="false" outlineLevel="0" collapsed="false">
      <c r="A341" s="417" t="n">
        <f aca="false">IF(B340+0.01&lt;=T_ini+ROUNDUP(Temps_fin_propu,0), 0.01, IF(K340&gt;0, 0.1, 0.0001))</f>
        <v>0.1</v>
      </c>
      <c r="B341" s="418" t="n">
        <f aca="false">B340+pas</f>
        <v>15.7</v>
      </c>
      <c r="C341" s="402"/>
      <c r="D341" s="419" t="n">
        <f aca="false">IF(AND(L340&lt;L_rampe,Poussee&lt;Poids*SIN(M340)),0,(-W340+Poussee)/m*COS(M340)-U340/m*SIN(M340))</f>
        <v>-0.513386602906912</v>
      </c>
      <c r="E341" s="420" t="n">
        <f aca="false">IF(AND(L340&lt;L_rampe,Poussee&lt;Poids*SIN(M340)),0,(-W340+Poussee)/m*SIN(M340)+U340/m*COS(M340)-Poids/m)</f>
        <v>-6.70458019154192</v>
      </c>
      <c r="F341" s="418" t="n">
        <f aca="false">SQRT(acc_x^2+acc_z^2)</f>
        <v>6.72420711674325</v>
      </c>
      <c r="G341" s="419" t="n">
        <f aca="false">G340+acc_x*pas</f>
        <v>10.7076980265188</v>
      </c>
      <c r="H341" s="420" t="n">
        <f aca="false">H340+acc_z*pas</f>
        <v>-65.7507025326708</v>
      </c>
      <c r="I341" s="418" t="n">
        <f aca="false">SQRT(vit_x^2+vit_z^2)</f>
        <v>66.6168873527342</v>
      </c>
      <c r="J341" s="419" t="n">
        <f aca="false">J340+0.5*(vit_x+G340)*pas*(K340&gt;=0)</f>
        <v>203.392113624637</v>
      </c>
      <c r="K341" s="420" t="n">
        <f aca="false">K340+0.5*(vit_z+H340)*pas</f>
        <v>50.2465428008116</v>
      </c>
      <c r="L341" s="418" t="n">
        <f aca="false">SQRT(pos_x^2+pos_z^2)</f>
        <v>209.506722918695</v>
      </c>
      <c r="M341" s="419" t="n">
        <f aca="false">IF(AND(L340&gt;L_rampe,G341&gt;0),ATAN2(G341,H341),$M$4)</f>
        <v>-1.40936053987271</v>
      </c>
      <c r="N341" s="418" t="n">
        <f aca="false">DEGREES(Beta)</f>
        <v>-80.7504107469857</v>
      </c>
      <c r="O341" s="402"/>
      <c r="P341" s="421" t="n">
        <f aca="false">MATCH(t-pas/2-T_ini,CdP_t)</f>
        <v>23</v>
      </c>
      <c r="Q341" s="418" t="n">
        <f aca="false">(INDEX(CdP,2,i_P+1)-INDEX(CdP,2,i_P+0))/(INDEX(CdP,1,i_P+1)-INDEX(CdP,1,i_P+0))*(t-pas/2-T_ini-INDEX(CdP,1,i_P+0))+INDEX(CdP,2,i_P+0)</f>
        <v>0</v>
      </c>
      <c r="R341" s="419" t="n">
        <f aca="false">Poussee/(g*ISP)</f>
        <v>0</v>
      </c>
      <c r="S341" s="420" t="n">
        <f aca="false">S340-Débit*pas</f>
        <v>1.4843</v>
      </c>
      <c r="T341" s="418" t="n">
        <f aca="false">m*g</f>
        <v>14.560983</v>
      </c>
      <c r="U341" s="422" t="n">
        <f aca="false">IF(pos_xz&lt;L_rampe,Poids*COS(Beta),0)</f>
        <v>0</v>
      </c>
      <c r="V341" s="419" t="n">
        <f aca="false">Rho_moyen*(20000-Alt_rampe-pos_z)/(20000+Alt_rampe+pos_z)</f>
        <v>1.2188602236337</v>
      </c>
      <c r="W341" s="418" t="n">
        <f aca="false">1/2*Rho*Sref*Cx*vit_xz^2</f>
        <v>4.76805573370702</v>
      </c>
      <c r="X341" s="402"/>
      <c r="Y341" s="423" t="str">
        <f aca="false">IF(AND(pos_z&lt;=0,K340&gt;0),"Impact balistique","") &amp; IF(AND(H342&lt;0,vit_z&gt;=0),"Apogée","") &amp; IF(AND(Poussee=0,Q340&gt;0),"Fin de propulsion","") &amp; IF(AND(L342&gt;L_rampe,pos_xz&lt;=L_rampe),"Sortie de rampe","")</f>
        <v/>
      </c>
      <c r="Z341" s="424" t="str">
        <f aca="false">IF(ABS(t-T_para)&lt;pas/2,"Para","")</f>
        <v/>
      </c>
      <c r="AA341" s="425" t="str">
        <f aca="false">IF(ABS(t-T_satellite)&lt;pas/2,"Satellite","")</f>
        <v/>
      </c>
      <c r="AB341" s="413"/>
      <c r="AC341" s="421" t="e">
        <f aca="false">IF(ABS(t-ROUND(t,0))&lt;0.001,t,NA())</f>
        <v>#N/A</v>
      </c>
      <c r="AD341" s="426" t="e">
        <f aca="false">IF(ABS(t-ROUND(t,0))&lt;0.001,pos_x,NA())</f>
        <v>#N/A</v>
      </c>
      <c r="AE341" s="427" t="e">
        <f aca="false">IF(t&lt;T_para, pos_z, NA())</f>
        <v>#N/A</v>
      </c>
      <c r="AF341" s="413"/>
      <c r="AG341" s="419" t="n">
        <f aca="false">IF(AND(L340&lt;L_rampe,Poussee&lt;Poids*SIN(M340)),0,(-W340+Poussee)/m-Poids*SIN(M340)/m)</f>
        <v>6.5310602158368</v>
      </c>
      <c r="AH341" s="418" t="n">
        <f aca="false">IF(AND(L340&lt;L_rampe,Poussee&lt;Poids*SIN(M340)), g*SIN(M340), (-W340+Poussee)/m)</f>
        <v>-3.14757017249944</v>
      </c>
    </row>
    <row r="342" customFormat="false" ht="12" hidden="false" customHeight="false" outlineLevel="0" collapsed="false">
      <c r="A342" s="417" t="n">
        <f aca="false">IF(B341+0.01&lt;=T_ini+ROUNDUP(Temps_fin_propu,0), 0.01, IF(K341&gt;0, 0.1, 0.0001))</f>
        <v>0.1</v>
      </c>
      <c r="B342" s="418" t="n">
        <f aca="false">B341+pas</f>
        <v>15.8</v>
      </c>
      <c r="C342" s="402"/>
      <c r="D342" s="419" t="n">
        <f aca="false">IF(AND(L341&lt;L_rampe,Poussee&lt;Poids*SIN(M341)),0,(-W341+Poussee)/m*COS(M341)-U341/m*SIN(M341))</f>
        <v>-0.516334820716799</v>
      </c>
      <c r="E342" s="420" t="n">
        <f aca="false">IF(AND(L341&lt;L_rampe,Poussee&lt;Poids*SIN(M341)),0,(-W341+Poussee)/m*SIN(M341)+U341/m*COS(M341)-Poids/m)</f>
        <v>-6.63944204065798</v>
      </c>
      <c r="F342" s="418" t="n">
        <f aca="false">SQRT(acc_x^2+acc_z^2)</f>
        <v>6.65948888867165</v>
      </c>
      <c r="G342" s="419" t="n">
        <f aca="false">G341+acc_x*pas</f>
        <v>10.6560645444471</v>
      </c>
      <c r="H342" s="420" t="n">
        <f aca="false">H341+acc_z*pas</f>
        <v>-66.4146467367366</v>
      </c>
      <c r="I342" s="418" t="n">
        <f aca="false">SQRT(vit_x^2+vit_z^2)</f>
        <v>67.2640841217729</v>
      </c>
      <c r="J342" s="419" t="n">
        <f aca="false">J341+0.5*(vit_x+G341)*pas*(K341&gt;=0)</f>
        <v>204.460301753185</v>
      </c>
      <c r="K342" s="420" t="n">
        <f aca="false">K341+0.5*(vit_z+H341)*pas</f>
        <v>43.6382753373412</v>
      </c>
      <c r="L342" s="418" t="n">
        <f aca="false">SQRT(pos_x^2+pos_z^2)</f>
        <v>209.065334446964</v>
      </c>
      <c r="M342" s="419" t="n">
        <f aca="false">IF(AND(L341&gt;L_rampe,G342&gt;0),ATAN2(G342,H342),$M$4)</f>
        <v>-1.41170475762433</v>
      </c>
      <c r="N342" s="418" t="n">
        <f aca="false">DEGREES(Beta)</f>
        <v>-80.8847245304132</v>
      </c>
      <c r="O342" s="402"/>
      <c r="P342" s="421" t="n">
        <f aca="false">MATCH(t-pas/2-T_ini,CdP_t)</f>
        <v>23</v>
      </c>
      <c r="Q342" s="418" t="n">
        <f aca="false">(INDEX(CdP,2,i_P+1)-INDEX(CdP,2,i_P+0))/(INDEX(CdP,1,i_P+1)-INDEX(CdP,1,i_P+0))*(t-pas/2-T_ini-INDEX(CdP,1,i_P+0))+INDEX(CdP,2,i_P+0)</f>
        <v>0</v>
      </c>
      <c r="R342" s="419" t="n">
        <f aca="false">Poussee/(g*ISP)</f>
        <v>0</v>
      </c>
      <c r="S342" s="420" t="n">
        <f aca="false">S341-Débit*pas</f>
        <v>1.4843</v>
      </c>
      <c r="T342" s="418" t="n">
        <f aca="false">m*g</f>
        <v>14.560983</v>
      </c>
      <c r="U342" s="422" t="n">
        <f aca="false">IF(pos_xz&lt;L_rampe,Poids*COS(Beta),0)</f>
        <v>0</v>
      </c>
      <c r="V342" s="419" t="n">
        <f aca="false">Rho_moyen*(20000-Alt_rampe-pos_z)/(20000+Alt_rampe+pos_z)</f>
        <v>1.21966594970894</v>
      </c>
      <c r="W342" s="418" t="n">
        <f aca="false">1/2*Rho*Sref*Cx*vit_xz^2</f>
        <v>4.86436451097546</v>
      </c>
      <c r="X342" s="402"/>
      <c r="Y342" s="423" t="str">
        <f aca="false">IF(AND(pos_z&lt;=0,K341&gt;0),"Impact balistique","") &amp; IF(AND(H343&lt;0,vit_z&gt;=0),"Apogée","") &amp; IF(AND(Poussee=0,Q341&gt;0),"Fin de propulsion","") &amp; IF(AND(L343&gt;L_rampe,pos_xz&lt;=L_rampe),"Sortie de rampe","")</f>
        <v/>
      </c>
      <c r="Z342" s="424" t="str">
        <f aca="false">IF(ABS(t-T_para)&lt;pas/2,"Para","")</f>
        <v/>
      </c>
      <c r="AA342" s="425" t="str">
        <f aca="false">IF(ABS(t-T_satellite)&lt;pas/2,"Satellite","")</f>
        <v/>
      </c>
      <c r="AB342" s="413"/>
      <c r="AC342" s="421" t="e">
        <f aca="false">IF(ABS(t-ROUND(t,0))&lt;0.001,t,NA())</f>
        <v>#N/A</v>
      </c>
      <c r="AD342" s="426" t="e">
        <f aca="false">IF(ABS(t-ROUND(t,0))&lt;0.001,pos_x,NA())</f>
        <v>#N/A</v>
      </c>
      <c r="AE342" s="427" t="e">
        <f aca="false">IF(t&lt;T_para, pos_z, NA())</f>
        <v>#N/A</v>
      </c>
      <c r="AF342" s="413"/>
      <c r="AG342" s="419" t="n">
        <f aca="false">IF(AND(L341&lt;L_rampe,Poussee&lt;Poids*SIN(M341)),0,(-W341+Poussee)/m-Poids*SIN(M341)/m)</f>
        <v>6.47011949050046</v>
      </c>
      <c r="AH342" s="418" t="n">
        <f aca="false">IF(AND(L341&lt;L_rampe,Poussee&lt;Poids*SIN(M341)), g*SIN(M341), (-W341+Poussee)/m)</f>
        <v>-3.21232616971436</v>
      </c>
    </row>
    <row r="343" customFormat="false" ht="12" hidden="false" customHeight="false" outlineLevel="0" collapsed="false">
      <c r="A343" s="417" t="n">
        <f aca="false">IF(B342+0.01&lt;=T_ini+ROUNDUP(Temps_fin_propu,0), 0.01, IF(K342&gt;0, 0.1, 0.0001))</f>
        <v>0.1</v>
      </c>
      <c r="B343" s="418" t="n">
        <f aca="false">B342+pas</f>
        <v>15.9</v>
      </c>
      <c r="C343" s="402"/>
      <c r="D343" s="419" t="n">
        <f aca="false">IF(AND(L342&lt;L_rampe,Poussee&lt;Poids*SIN(M342)),0,(-W342+Poussee)/m*COS(M342)-U342/m*SIN(M342))</f>
        <v>-0.519180094452155</v>
      </c>
      <c r="E343" s="420" t="n">
        <f aca="false">IF(AND(L342&lt;L_rampe,Poussee&lt;Poids*SIN(M342)),0,(-W342+Poussee)/m*SIN(M342)+U342/m*COS(M342)-Poids/m)</f>
        <v>-6.5741747643361</v>
      </c>
      <c r="F343" s="418" t="n">
        <f aca="false">SQRT(acc_x^2+acc_z^2)</f>
        <v>6.59464341738876</v>
      </c>
      <c r="G343" s="419" t="n">
        <f aca="false">G342+acc_x*pas</f>
        <v>10.6041465350019</v>
      </c>
      <c r="H343" s="420" t="n">
        <f aca="false">H342+acc_z*pas</f>
        <v>-67.0720642131702</v>
      </c>
      <c r="I343" s="418" t="n">
        <f aca="false">SQRT(vit_x^2+vit_z^2)</f>
        <v>67.9051523932568</v>
      </c>
      <c r="J343" s="419" t="n">
        <f aca="false">J342+0.5*(vit_x+G342)*pas*(K342&gt;=0)</f>
        <v>205.523312307158</v>
      </c>
      <c r="K343" s="420" t="n">
        <f aca="false">K342+0.5*(vit_z+H342)*pas</f>
        <v>36.9639397898459</v>
      </c>
      <c r="L343" s="418" t="n">
        <f aca="false">SQRT(pos_x^2+pos_z^2)</f>
        <v>208.820891547021</v>
      </c>
      <c r="M343" s="419" t="n">
        <f aca="false">IF(AND(L342&gt;L_rampe,G343&gt;0),ATAN2(G343,H343),$M$4)</f>
        <v>-1.41399341229253</v>
      </c>
      <c r="N343" s="418" t="n">
        <f aca="false">DEGREES(Beta)</f>
        <v>-81.0158547836636</v>
      </c>
      <c r="O343" s="402"/>
      <c r="P343" s="421" t="n">
        <f aca="false">MATCH(t-pas/2-T_ini,CdP_t)</f>
        <v>23</v>
      </c>
      <c r="Q343" s="418" t="n">
        <f aca="false">(INDEX(CdP,2,i_P+1)-INDEX(CdP,2,i_P+0))/(INDEX(CdP,1,i_P+1)-INDEX(CdP,1,i_P+0))*(t-pas/2-T_ini-INDEX(CdP,1,i_P+0))+INDEX(CdP,2,i_P+0)</f>
        <v>0</v>
      </c>
      <c r="R343" s="419" t="n">
        <f aca="false">Poussee/(g*ISP)</f>
        <v>0</v>
      </c>
      <c r="S343" s="420" t="n">
        <f aca="false">S342-Débit*pas</f>
        <v>1.4843</v>
      </c>
      <c r="T343" s="418" t="n">
        <f aca="false">m*g</f>
        <v>14.560983</v>
      </c>
      <c r="U343" s="422" t="n">
        <f aca="false">IF(pos_xz&lt;L_rampe,Poids*COS(Beta),0)</f>
        <v>0</v>
      </c>
      <c r="V343" s="419" t="n">
        <f aca="false">Rho_moyen*(20000-Alt_rampe-pos_z)/(20000+Alt_rampe+pos_z)</f>
        <v>1.22048027072578</v>
      </c>
      <c r="W343" s="418" t="n">
        <f aca="false">1/2*Rho*Sref*Cx*vit_xz^2</f>
        <v>4.96083708923772</v>
      </c>
      <c r="X343" s="402"/>
      <c r="Y343" s="423" t="str">
        <f aca="false">IF(AND(pos_z&lt;=0,K342&gt;0),"Impact balistique","") &amp; IF(AND(H344&lt;0,vit_z&gt;=0),"Apogée","") &amp; IF(AND(Poussee=0,Q342&gt;0),"Fin de propulsion","") &amp; IF(AND(L344&gt;L_rampe,pos_xz&lt;=L_rampe),"Sortie de rampe","")</f>
        <v/>
      </c>
      <c r="Z343" s="424" t="str">
        <f aca="false">IF(ABS(t-T_para)&lt;pas/2,"Para","")</f>
        <v/>
      </c>
      <c r="AA343" s="425" t="str">
        <f aca="false">IF(ABS(t-T_satellite)&lt;pas/2,"Satellite","")</f>
        <v/>
      </c>
      <c r="AB343" s="413"/>
      <c r="AC343" s="421" t="e">
        <f aca="false">IF(ABS(t-ROUND(t,0))&lt;0.001,t,NA())</f>
        <v>#N/A</v>
      </c>
      <c r="AD343" s="426" t="e">
        <f aca="false">IF(ABS(t-ROUND(t,0))&lt;0.001,pos_x,NA())</f>
        <v>#N/A</v>
      </c>
      <c r="AE343" s="427" t="e">
        <f aca="false">IF(t&lt;T_para, pos_z, NA())</f>
        <v>#N/A</v>
      </c>
      <c r="AF343" s="413"/>
      <c r="AG343" s="419" t="n">
        <f aca="false">IF(AND(L342&lt;L_rampe,Poussee&lt;Poids*SIN(M342)),0,(-W342+Poussee)/m-Poids*SIN(M342)/m)</f>
        <v>6.40890429998044</v>
      </c>
      <c r="AH343" s="418" t="n">
        <f aca="false">IF(AND(L342&lt;L_rampe,Poussee&lt;Poids*SIN(M342)), g*SIN(M342), (-W342+Poussee)/m)</f>
        <v>-3.27721115069424</v>
      </c>
    </row>
    <row r="344" customFormat="false" ht="12" hidden="false" customHeight="false" outlineLevel="0" collapsed="false">
      <c r="A344" s="417" t="n">
        <f aca="false">IF(B343+0.01&lt;=T_ini+ROUNDUP(Temps_fin_propu,0), 0.01, IF(K343&gt;0, 0.1, 0.0001))</f>
        <v>0.1</v>
      </c>
      <c r="B344" s="418" t="n">
        <f aca="false">B343+pas</f>
        <v>16</v>
      </c>
      <c r="C344" s="402"/>
      <c r="D344" s="419" t="n">
        <f aca="false">IF(AND(L343&lt;L_rampe,Poussee&lt;Poids*SIN(M343)),0,(-W343+Poussee)/m*COS(M343)-U343/m*SIN(M343))</f>
        <v>-0.521922801046111</v>
      </c>
      <c r="E344" s="420" t="n">
        <f aca="false">IF(AND(L343&lt;L_rampe,Poussee&lt;Poids*SIN(M343)),0,(-W343+Poussee)/m*SIN(M343)+U343/m*COS(M343)-Poids/m)</f>
        <v>-6.50879706862462</v>
      </c>
      <c r="F344" s="418" t="n">
        <f aca="false">SQRT(acc_x^2+acc_z^2)</f>
        <v>6.52968932574807</v>
      </c>
      <c r="G344" s="419" t="n">
        <f aca="false">G343+acc_x*pas</f>
        <v>10.5519542548973</v>
      </c>
      <c r="H344" s="420" t="n">
        <f aca="false">H343+acc_z*pas</f>
        <v>-67.7229439200327</v>
      </c>
      <c r="I344" s="418" t="n">
        <f aca="false">SQRT(vit_x^2+vit_z^2)</f>
        <v>68.5400676377937</v>
      </c>
      <c r="J344" s="419" t="n">
        <f aca="false">J343+0.5*(vit_x+G343)*pas*(K343&gt;=0)</f>
        <v>206.581117346653</v>
      </c>
      <c r="K344" s="420" t="n">
        <f aca="false">K343+0.5*(vit_z+H343)*pas</f>
        <v>30.2241893831857</v>
      </c>
      <c r="L344" s="418" t="n">
        <f aca="false">SQRT(pos_x^2+pos_z^2)</f>
        <v>208.780410163555</v>
      </c>
      <c r="M344" s="419" t="n">
        <f aca="false">IF(AND(L343&gt;L_rampe,G344&gt;0),ATAN2(G344,H344),$M$4)</f>
        <v>-1.4162285167907</v>
      </c>
      <c r="N344" s="418" t="n">
        <f aca="false">DEGREES(Beta)</f>
        <v>-81.1439168381794</v>
      </c>
      <c r="O344" s="402"/>
      <c r="P344" s="421" t="n">
        <f aca="false">MATCH(t-pas/2-T_ini,CdP_t)</f>
        <v>23</v>
      </c>
      <c r="Q344" s="418" t="n">
        <f aca="false">(INDEX(CdP,2,i_P+1)-INDEX(CdP,2,i_P+0))/(INDEX(CdP,1,i_P+1)-INDEX(CdP,1,i_P+0))*(t-pas/2-T_ini-INDEX(CdP,1,i_P+0))+INDEX(CdP,2,i_P+0)</f>
        <v>0</v>
      </c>
      <c r="R344" s="419" t="n">
        <f aca="false">Poussee/(g*ISP)</f>
        <v>0</v>
      </c>
      <c r="S344" s="420" t="n">
        <f aca="false">S343-Débit*pas</f>
        <v>1.4843</v>
      </c>
      <c r="T344" s="418" t="n">
        <f aca="false">m*g</f>
        <v>14.560983</v>
      </c>
      <c r="U344" s="422" t="n">
        <f aca="false">IF(pos_xz&lt;L_rampe,Poids*COS(Beta),0)</f>
        <v>0</v>
      </c>
      <c r="V344" s="419" t="n">
        <f aca="false">Rho_moyen*(20000-Alt_rampe-pos_z)/(20000+Alt_rampe+pos_z)</f>
        <v>1.22130312355525</v>
      </c>
      <c r="W344" s="418" t="n">
        <f aca="false">1/2*Rho*Sref*Cx*vit_xz^2</f>
        <v>5.05744619056359</v>
      </c>
      <c r="X344" s="402"/>
      <c r="Y344" s="423" t="str">
        <f aca="false">IF(AND(pos_z&lt;=0,K343&gt;0),"Impact balistique","") &amp; IF(AND(H345&lt;0,vit_z&gt;=0),"Apogée","") &amp; IF(AND(Poussee=0,Q343&gt;0),"Fin de propulsion","") &amp; IF(AND(L345&gt;L_rampe,pos_xz&lt;=L_rampe),"Sortie de rampe","")</f>
        <v/>
      </c>
      <c r="Z344" s="424" t="str">
        <f aca="false">IF(ABS(t-T_para)&lt;pas/2,"Para","")</f>
        <v/>
      </c>
      <c r="AA344" s="425" t="str">
        <f aca="false">IF(ABS(t-T_satellite)&lt;pas/2,"Satellite","")</f>
        <v/>
      </c>
      <c r="AB344" s="413"/>
      <c r="AC344" s="421" t="n">
        <f aca="false">IF(ABS(t-ROUND(t,0))&lt;0.001,t,NA())</f>
        <v>16</v>
      </c>
      <c r="AD344" s="426" t="n">
        <f aca="false">IF(ABS(t-ROUND(t,0))&lt;0.001,pos_x,NA())</f>
        <v>206.581117346653</v>
      </c>
      <c r="AE344" s="427" t="e">
        <f aca="false">IF(t&lt;T_para, pos_z, NA())</f>
        <v>#N/A</v>
      </c>
      <c r="AF344" s="413"/>
      <c r="AG344" s="419" t="n">
        <f aca="false">IF(AND(L343&lt;L_rampe,Poussee&lt;Poids*SIN(M343)),0,(-W343+Poussee)/m-Poids*SIN(M343)/m)</f>
        <v>6.34744042070415</v>
      </c>
      <c r="AH344" s="418" t="n">
        <f aca="false">IF(AND(L343&lt;L_rampe,Poussee&lt;Poids*SIN(M343)), g*SIN(M343), (-W343+Poussee)/m)</f>
        <v>-3.3422064873932</v>
      </c>
    </row>
    <row r="345" customFormat="false" ht="12" hidden="false" customHeight="false" outlineLevel="0" collapsed="false">
      <c r="A345" s="417" t="n">
        <f aca="false">IF(B344+0.01&lt;=T_ini+ROUNDUP(Temps_fin_propu,0), 0.01, IF(K344&gt;0, 0.1, 0.0001))</f>
        <v>0.1</v>
      </c>
      <c r="B345" s="418" t="n">
        <f aca="false">B344+pas</f>
        <v>16.1</v>
      </c>
      <c r="C345" s="402"/>
      <c r="D345" s="419" t="n">
        <f aca="false">IF(AND(L344&lt;L_rampe,Poussee&lt;Poids*SIN(M344)),0,(-W344+Poussee)/m*COS(M344)-U344/m*SIN(M344))</f>
        <v>-0.524563362316945</v>
      </c>
      <c r="E345" s="420" t="n">
        <f aca="false">IF(AND(L344&lt;L_rampe,Poussee&lt;Poids*SIN(M344)),0,(-W344+Poussee)/m*SIN(M344)+U344/m*COS(M344)-Poids/m)</f>
        <v>-6.44332740926103</v>
      </c>
      <c r="F345" s="418" t="n">
        <f aca="false">SQRT(acc_x^2+acc_z^2)</f>
        <v>6.46464498824334</v>
      </c>
      <c r="G345" s="419" t="n">
        <f aca="false">G344+acc_x*pas</f>
        <v>10.4994979186656</v>
      </c>
      <c r="H345" s="420" t="n">
        <f aca="false">H344+acc_z*pas</f>
        <v>-68.3672766609588</v>
      </c>
      <c r="I345" s="418" t="n">
        <f aca="false">SQRT(vit_x^2+vit_z^2)</f>
        <v>69.1688078152294</v>
      </c>
      <c r="J345" s="419" t="n">
        <f aca="false">J344+0.5*(vit_x+G344)*pas*(K344&gt;=0)</f>
        <v>207.633689955331</v>
      </c>
      <c r="K345" s="420" t="n">
        <f aca="false">K344+0.5*(vit_z+H344)*pas</f>
        <v>23.4196783541361</v>
      </c>
      <c r="L345" s="418" t="n">
        <f aca="false">SQRT(pos_x^2+pos_z^2)</f>
        <v>208.950306385699</v>
      </c>
      <c r="M345" s="419" t="n">
        <f aca="false">IF(AND(L344&gt;L_rampe,G345&gt;0),ATAN2(G345,H345),$M$4)</f>
        <v>-1.41841198781637</v>
      </c>
      <c r="N345" s="418" t="n">
        <f aca="false">DEGREES(Beta)</f>
        <v>-81.2690205126395</v>
      </c>
      <c r="O345" s="402"/>
      <c r="P345" s="421" t="n">
        <f aca="false">MATCH(t-pas/2-T_ini,CdP_t)</f>
        <v>23</v>
      </c>
      <c r="Q345" s="418" t="n">
        <f aca="false">(INDEX(CdP,2,i_P+1)-INDEX(CdP,2,i_P+0))/(INDEX(CdP,1,i_P+1)-INDEX(CdP,1,i_P+0))*(t-pas/2-T_ini-INDEX(CdP,1,i_P+0))+INDEX(CdP,2,i_P+0)</f>
        <v>0</v>
      </c>
      <c r="R345" s="419" t="n">
        <f aca="false">Poussee/(g*ISP)</f>
        <v>0</v>
      </c>
      <c r="S345" s="420" t="n">
        <f aca="false">S344-Débit*pas</f>
        <v>1.4843</v>
      </c>
      <c r="T345" s="418" t="n">
        <f aca="false">m*g</f>
        <v>14.560983</v>
      </c>
      <c r="U345" s="422" t="n">
        <f aca="false">IF(pos_xz&lt;L_rampe,Poids*COS(Beta),0)</f>
        <v>0</v>
      </c>
      <c r="V345" s="419" t="n">
        <f aca="false">Rho_moyen*(20000-Alt_rampe-pos_z)/(20000+Alt_rampe+pos_z)</f>
        <v>1.22213444492053</v>
      </c>
      <c r="W345" s="418" t="n">
        <f aca="false">1/2*Rho*Sref*Cx*vit_xz^2</f>
        <v>5.15416491922046</v>
      </c>
      <c r="X345" s="402"/>
      <c r="Y345" s="423" t="str">
        <f aca="false">IF(AND(pos_z&lt;=0,K344&gt;0),"Impact balistique","") &amp; IF(AND(H346&lt;0,vit_z&gt;=0),"Apogée","") &amp; IF(AND(Poussee=0,Q344&gt;0),"Fin de propulsion","") &amp; IF(AND(L346&gt;L_rampe,pos_xz&lt;=L_rampe),"Sortie de rampe","")</f>
        <v/>
      </c>
      <c r="Z345" s="424" t="str">
        <f aca="false">IF(ABS(t-T_para)&lt;pas/2,"Para","")</f>
        <v/>
      </c>
      <c r="AA345" s="425" t="str">
        <f aca="false">IF(ABS(t-T_satellite)&lt;pas/2,"Satellite","")</f>
        <v/>
      </c>
      <c r="AB345" s="413"/>
      <c r="AC345" s="421" t="e">
        <f aca="false">IF(ABS(t-ROUND(t,0))&lt;0.001,t,NA())</f>
        <v>#N/A</v>
      </c>
      <c r="AD345" s="426" t="e">
        <f aca="false">IF(ABS(t-ROUND(t,0))&lt;0.001,pos_x,NA())</f>
        <v>#N/A</v>
      </c>
      <c r="AE345" s="427" t="e">
        <f aca="false">IF(t&lt;T_para, pos_z, NA())</f>
        <v>#N/A</v>
      </c>
      <c r="AF345" s="413"/>
      <c r="AG345" s="419" t="n">
        <f aca="false">IF(AND(L344&lt;L_rampe,Poussee&lt;Poids*SIN(M344)),0,(-W344+Poussee)/m-Poids*SIN(M344)/m)</f>
        <v>6.28575294774394</v>
      </c>
      <c r="AH345" s="418" t="n">
        <f aca="false">IF(AND(L344&lt;L_rampe,Poussee&lt;Poids*SIN(M344)), g*SIN(M344), (-W344+Poussee)/m)</f>
        <v>-3.40729380217179</v>
      </c>
    </row>
    <row r="346" customFormat="false" ht="12" hidden="false" customHeight="false" outlineLevel="0" collapsed="false">
      <c r="A346" s="417" t="n">
        <f aca="false">IF(B345+0.01&lt;=T_ini+ROUNDUP(Temps_fin_propu,0), 0.01, IF(K345&gt;0, 0.1, 0.0001))</f>
        <v>0.1</v>
      </c>
      <c r="B346" s="418" t="n">
        <f aca="false">B345+pas</f>
        <v>16.2</v>
      </c>
      <c r="C346" s="402"/>
      <c r="D346" s="419" t="n">
        <f aca="false">IF(AND(L345&lt;L_rampe,Poussee&lt;Poids*SIN(M345)),0,(-W345+Poussee)/m*COS(M345)-U345/m*SIN(M345))</f>
        <v>-0.527102243526426</v>
      </c>
      <c r="E346" s="420" t="n">
        <f aca="false">IF(AND(L345&lt;L_rampe,Poussee&lt;Poids*SIN(M345)),0,(-W345+Poussee)/m*SIN(M345)+U345/m*COS(M345)-Poids/m)</f>
        <v>-6.37778398443998</v>
      </c>
      <c r="F346" s="418" t="n">
        <f aca="false">SQRT(acc_x^2+acc_z^2)</f>
        <v>6.39952852382968</v>
      </c>
      <c r="G346" s="419" t="n">
        <f aca="false">G345+acc_x*pas</f>
        <v>10.446787694313</v>
      </c>
      <c r="H346" s="420" t="n">
        <f aca="false">H345+acc_z*pas</f>
        <v>-69.0050550594028</v>
      </c>
      <c r="I346" s="418" t="n">
        <f aca="false">SQRT(vit_x^2+vit_z^2)</f>
        <v>69.7913533102867</v>
      </c>
      <c r="J346" s="419" t="n">
        <f aca="false">J345+0.5*(vit_x+G345)*pas*(K345&gt;=0)</f>
        <v>208.68100423598</v>
      </c>
      <c r="K346" s="420" t="n">
        <f aca="false">K345+0.5*(vit_z+H345)*pas</f>
        <v>16.5510617681181</v>
      </c>
      <c r="L346" s="418" t="n">
        <f aca="false">SQRT(pos_x^2+pos_z^2)</f>
        <v>209.336330278786</v>
      </c>
      <c r="M346" s="419" t="n">
        <f aca="false">IF(AND(L345&gt;L_rampe,G346&gt;0),ATAN2(G346,H346),$M$4)</f>
        <v>-1.42054565146746</v>
      </c>
      <c r="N346" s="418" t="n">
        <f aca="false">DEGREES(Beta)</f>
        <v>-81.3912704347477</v>
      </c>
      <c r="O346" s="402"/>
      <c r="P346" s="421" t="n">
        <f aca="false">MATCH(t-pas/2-T_ini,CdP_t)</f>
        <v>23</v>
      </c>
      <c r="Q346" s="418" t="n">
        <f aca="false">(INDEX(CdP,2,i_P+1)-INDEX(CdP,2,i_P+0))/(INDEX(CdP,1,i_P+1)-INDEX(CdP,1,i_P+0))*(t-pas/2-T_ini-INDEX(CdP,1,i_P+0))+INDEX(CdP,2,i_P+0)</f>
        <v>0</v>
      </c>
      <c r="R346" s="419" t="n">
        <f aca="false">Poussee/(g*ISP)</f>
        <v>0</v>
      </c>
      <c r="S346" s="420" t="n">
        <f aca="false">S345-Débit*pas</f>
        <v>1.4843</v>
      </c>
      <c r="T346" s="418" t="n">
        <f aca="false">m*g</f>
        <v>14.560983</v>
      </c>
      <c r="U346" s="422" t="n">
        <f aca="false">IF(pos_xz&lt;L_rampe,Poids*COS(Beta),0)</f>
        <v>0</v>
      </c>
      <c r="V346" s="419" t="n">
        <f aca="false">Rho_moyen*(20000-Alt_rampe-pos_z)/(20000+Alt_rampe+pos_z)</f>
        <v>1.22297417141411</v>
      </c>
      <c r="W346" s="418" t="n">
        <f aca="false">1/2*Rho*Sref*Cx*vit_xz^2</f>
        <v>5.25096677162544</v>
      </c>
      <c r="X346" s="402"/>
      <c r="Y346" s="423" t="str">
        <f aca="false">IF(AND(pos_z&lt;=0,K345&gt;0),"Impact balistique","") &amp; IF(AND(H347&lt;0,vit_z&gt;=0),"Apogée","") &amp; IF(AND(Poussee=0,Q345&gt;0),"Fin de propulsion","") &amp; IF(AND(L347&gt;L_rampe,pos_xz&lt;=L_rampe),"Sortie de rampe","")</f>
        <v/>
      </c>
      <c r="Z346" s="424" t="str">
        <f aca="false">IF(ABS(t-T_para)&lt;pas/2,"Para","")</f>
        <v/>
      </c>
      <c r="AA346" s="425" t="str">
        <f aca="false">IF(ABS(t-T_satellite)&lt;pas/2,"Satellite","")</f>
        <v/>
      </c>
      <c r="AB346" s="413"/>
      <c r="AC346" s="421" t="e">
        <f aca="false">IF(ABS(t-ROUND(t,0))&lt;0.001,t,NA())</f>
        <v>#N/A</v>
      </c>
      <c r="AD346" s="426" t="e">
        <f aca="false">IF(ABS(t-ROUND(t,0))&lt;0.001,pos_x,NA())</f>
        <v>#N/A</v>
      </c>
      <c r="AE346" s="427" t="e">
        <f aca="false">IF(t&lt;T_para, pos_z, NA())</f>
        <v>#N/A</v>
      </c>
      <c r="AF346" s="413"/>
      <c r="AG346" s="419" t="n">
        <f aca="false">IF(AND(L345&lt;L_rampe,Poussee&lt;Poids*SIN(M345)),0,(-W345+Poussee)/m-Poids*SIN(M345)/m)</f>
        <v>6.22386631831501</v>
      </c>
      <c r="AH346" s="418" t="n">
        <f aca="false">IF(AND(L345&lt;L_rampe,Poussee&lt;Poids*SIN(M345)), g*SIN(M345), (-W345+Poussee)/m)</f>
        <v>-3.4724549748841</v>
      </c>
    </row>
    <row r="347" customFormat="false" ht="12" hidden="false" customHeight="false" outlineLevel="0" collapsed="false">
      <c r="A347" s="417" t="n">
        <f aca="false">IF(B346+0.01&lt;=T_ini+ROUNDUP(Temps_fin_propu,0), 0.01, IF(K346&gt;0, 0.1, 0.0001))</f>
        <v>0.1</v>
      </c>
      <c r="B347" s="418" t="n">
        <f aca="false">B346+pas</f>
        <v>16.3</v>
      </c>
      <c r="C347" s="402"/>
      <c r="D347" s="419" t="n">
        <f aca="false">IF(AND(L346&lt;L_rampe,Poussee&lt;Poids*SIN(M346)),0,(-W346+Poussee)/m*COS(M346)-U346/m*SIN(M346))</f>
        <v>-0.529539951954565</v>
      </c>
      <c r="E347" s="420" t="n">
        <f aca="false">IF(AND(L346&lt;L_rampe,Poussee&lt;Poids*SIN(M346)),0,(-W346+Poussee)/m*SIN(M346)+U346/m*COS(M346)-Poids/m)</f>
        <v>-6.31218472797429</v>
      </c>
      <c r="F347" s="418" t="n">
        <f aca="false">SQRT(acc_x^2+acc_z^2)</f>
        <v>6.334357789136</v>
      </c>
      <c r="G347" s="419" t="n">
        <f aca="false">G346+acc_x*pas</f>
        <v>10.3938336991175</v>
      </c>
      <c r="H347" s="420" t="n">
        <f aca="false">H346+acc_z*pas</f>
        <v>-69.6362735322002</v>
      </c>
      <c r="I347" s="418" t="n">
        <f aca="false">SQRT(vit_x^2+vit_z^2)</f>
        <v>70.4076868702297</v>
      </c>
      <c r="J347" s="419" t="n">
        <f aca="false">J346+0.5*(vit_x+G346)*pas*(K346&gt;=0)</f>
        <v>209.723035305651</v>
      </c>
      <c r="K347" s="420" t="n">
        <f aca="false">K346+0.5*(vit_z+H346)*pas</f>
        <v>9.6189953385379</v>
      </c>
      <c r="L347" s="418" t="n">
        <f aca="false">SQRT(pos_x^2+pos_z^2)</f>
        <v>209.943508137637</v>
      </c>
      <c r="M347" s="419" t="n">
        <f aca="false">IF(AND(L346&gt;L_rampe,G347&gt;0),ATAN2(G347,H347),$M$4)</f>
        <v>-1.42263124847388</v>
      </c>
      <c r="N347" s="418" t="n">
        <f aca="false">DEGREES(Beta)</f>
        <v>-81.5107663409807</v>
      </c>
      <c r="O347" s="402"/>
      <c r="P347" s="421" t="n">
        <f aca="false">MATCH(t-pas/2-T_ini,CdP_t)</f>
        <v>23</v>
      </c>
      <c r="Q347" s="418" t="n">
        <f aca="false">(INDEX(CdP,2,i_P+1)-INDEX(CdP,2,i_P+0))/(INDEX(CdP,1,i_P+1)-INDEX(CdP,1,i_P+0))*(t-pas/2-T_ini-INDEX(CdP,1,i_P+0))+INDEX(CdP,2,i_P+0)</f>
        <v>0</v>
      </c>
      <c r="R347" s="419" t="n">
        <f aca="false">Poussee/(g*ISP)</f>
        <v>0</v>
      </c>
      <c r="S347" s="420" t="n">
        <f aca="false">S346-Débit*pas</f>
        <v>1.4843</v>
      </c>
      <c r="T347" s="418" t="n">
        <f aca="false">m*g</f>
        <v>14.560983</v>
      </c>
      <c r="U347" s="422" t="n">
        <f aca="false">IF(pos_xz&lt;L_rampe,Poids*COS(Beta),0)</f>
        <v>0</v>
      </c>
      <c r="V347" s="419" t="n">
        <f aca="false">Rho_moyen*(20000-Alt_rampe-pos_z)/(20000+Alt_rampe+pos_z)</f>
        <v>1.22382223951466</v>
      </c>
      <c r="W347" s="418" t="n">
        <f aca="false">1/2*Rho*Sref*Cx*vit_xz^2</f>
        <v>5.34782564573265</v>
      </c>
      <c r="X347" s="402"/>
      <c r="Y347" s="423" t="str">
        <f aca="false">IF(AND(pos_z&lt;=0,K346&gt;0),"Impact balistique","") &amp; IF(AND(H348&lt;0,vit_z&gt;=0),"Apogée","") &amp; IF(AND(Poussee=0,Q346&gt;0),"Fin de propulsion","") &amp; IF(AND(L348&gt;L_rampe,pos_xz&lt;=L_rampe),"Sortie de rampe","")</f>
        <v/>
      </c>
      <c r="Z347" s="424" t="str">
        <f aca="false">IF(ABS(t-T_para)&lt;pas/2,"Para","")</f>
        <v/>
      </c>
      <c r="AA347" s="425" t="str">
        <f aca="false">IF(ABS(t-T_satellite)&lt;pas/2,"Satellite","")</f>
        <v/>
      </c>
      <c r="AB347" s="413"/>
      <c r="AC347" s="421" t="e">
        <f aca="false">IF(ABS(t-ROUND(t,0))&lt;0.001,t,NA())</f>
        <v>#N/A</v>
      </c>
      <c r="AD347" s="426" t="e">
        <f aca="false">IF(ABS(t-ROUND(t,0))&lt;0.001,pos_x,NA())</f>
        <v>#N/A</v>
      </c>
      <c r="AE347" s="427" t="e">
        <f aca="false">IF(t&lt;T_para, pos_z, NA())</f>
        <v>#N/A</v>
      </c>
      <c r="AF347" s="413"/>
      <c r="AG347" s="419" t="n">
        <f aca="false">IF(AND(L346&lt;L_rampe,Poussee&lt;Poids*SIN(M346)),0,(-W346+Poussee)/m-Poids*SIN(M346)/m)</f>
        <v>6.16180433317198</v>
      </c>
      <c r="AH347" s="418" t="n">
        <f aca="false">IF(AND(L346&lt;L_rampe,Poussee&lt;Poids*SIN(M346)), g*SIN(M346), (-W346+Poussee)/m)</f>
        <v>-3.5376721495826</v>
      </c>
    </row>
    <row r="348" customFormat="false" ht="12" hidden="false" customHeight="false" outlineLevel="0" collapsed="false">
      <c r="A348" s="417" t="n">
        <f aca="false">IF(B347+0.01&lt;=T_ini+ROUNDUP(Temps_fin_propu,0), 0.01, IF(K347&gt;0, 0.1, 0.0001))</f>
        <v>0.1</v>
      </c>
      <c r="B348" s="418" t="n">
        <f aca="false">B347+pas</f>
        <v>16.4</v>
      </c>
      <c r="C348" s="402"/>
      <c r="D348" s="419" t="n">
        <f aca="false">IF(AND(L347&lt;L_rampe,Poussee&lt;Poids*SIN(M347)),0,(-W347+Poussee)/m*COS(M347)-U347/m*SIN(M347))</f>
        <v>-0.53187703549013</v>
      </c>
      <c r="E348" s="420" t="n">
        <f aca="false">IF(AND(L347&lt;L_rampe,Poussee&lt;Poids*SIN(M347)),0,(-W347+Poussee)/m*SIN(M347)+U347/m*COS(M347)-Poids/m)</f>
        <v>-6.24654730284639</v>
      </c>
      <c r="F348" s="418" t="n">
        <f aca="false">SQRT(acc_x^2+acc_z^2)</f>
        <v>6.26915037206632</v>
      </c>
      <c r="G348" s="419" t="n">
        <f aca="false">G347+acc_x*pas</f>
        <v>10.3406459955685</v>
      </c>
      <c r="H348" s="420" t="n">
        <f aca="false">H347+acc_z*pas</f>
        <v>-70.2609282624849</v>
      </c>
      <c r="I348" s="418" t="n">
        <f aca="false">SQRT(vit_x^2+vit_z^2)</f>
        <v>71.0177935443767</v>
      </c>
      <c r="J348" s="419" t="n">
        <f aca="false">J347+0.5*(vit_x+G347)*pas*(K347&gt;=0)</f>
        <v>210.759759290385</v>
      </c>
      <c r="K348" s="420" t="n">
        <f aca="false">K347+0.5*(vit_z+H347)*pas</f>
        <v>2.62413524880365</v>
      </c>
      <c r="L348" s="418" t="n">
        <f aca="false">SQRT(pos_x^2+pos_z^2)</f>
        <v>210.776094996433</v>
      </c>
      <c r="M348" s="419" t="n">
        <f aca="false">IF(AND(L347&gt;L_rampe,G348&gt;0),ATAN2(G348,H348),$M$4)</f>
        <v>-1.42467043907452</v>
      </c>
      <c r="N348" s="418" t="n">
        <f aca="false">DEGREES(Beta)</f>
        <v>-81.6276033560197</v>
      </c>
      <c r="O348" s="402"/>
      <c r="P348" s="421" t="n">
        <f aca="false">MATCH(t-pas/2-T_ini,CdP_t)</f>
        <v>23</v>
      </c>
      <c r="Q348" s="418" t="n">
        <f aca="false">(INDEX(CdP,2,i_P+1)-INDEX(CdP,2,i_P+0))/(INDEX(CdP,1,i_P+1)-INDEX(CdP,1,i_P+0))*(t-pas/2-T_ini-INDEX(CdP,1,i_P+0))+INDEX(CdP,2,i_P+0)</f>
        <v>0</v>
      </c>
      <c r="R348" s="419" t="n">
        <f aca="false">Poussee/(g*ISP)</f>
        <v>0</v>
      </c>
      <c r="S348" s="420" t="n">
        <f aca="false">S347-Débit*pas</f>
        <v>1.4843</v>
      </c>
      <c r="T348" s="418" t="n">
        <f aca="false">m*g</f>
        <v>14.560983</v>
      </c>
      <c r="U348" s="422" t="n">
        <f aca="false">IF(pos_xz&lt;L_rampe,Poids*COS(Beta),0)</f>
        <v>0</v>
      </c>
      <c r="V348" s="419" t="n">
        <f aca="false">Rho_moyen*(20000-Alt_rampe-pos_z)/(20000+Alt_rampe+pos_z)</f>
        <v>1.22467858560376</v>
      </c>
      <c r="W348" s="418" t="n">
        <f aca="false">1/2*Rho*Sref*Cx*vit_xz^2</f>
        <v>5.44471584985868</v>
      </c>
      <c r="X348" s="402"/>
      <c r="Y348" s="423" t="str">
        <f aca="false">IF(AND(pos_z&lt;=0,K347&gt;0),"Impact balistique","") &amp; IF(AND(H349&lt;0,vit_z&gt;=0),"Apogée","") &amp; IF(AND(Poussee=0,Q347&gt;0),"Fin de propulsion","") &amp; IF(AND(L349&gt;L_rampe,pos_xz&lt;=L_rampe),"Sortie de rampe","")</f>
        <v/>
      </c>
      <c r="Z348" s="424" t="str">
        <f aca="false">IF(ABS(t-T_para)&lt;pas/2,"Para","")</f>
        <v/>
      </c>
      <c r="AA348" s="425" t="str">
        <f aca="false">IF(ABS(t-T_satellite)&lt;pas/2,"Satellite","")</f>
        <v/>
      </c>
      <c r="AB348" s="413"/>
      <c r="AC348" s="421" t="e">
        <f aca="false">IF(ABS(t-ROUND(t,0))&lt;0.001,t,NA())</f>
        <v>#N/A</v>
      </c>
      <c r="AD348" s="426" t="e">
        <f aca="false">IF(ABS(t-ROUND(t,0))&lt;0.001,pos_x,NA())</f>
        <v>#N/A</v>
      </c>
      <c r="AE348" s="427" t="e">
        <f aca="false">IF(t&lt;T_para, pos_z, NA())</f>
        <v>#N/A</v>
      </c>
      <c r="AF348" s="413"/>
      <c r="AG348" s="419" t="n">
        <f aca="false">IF(AND(L347&lt;L_rampe,Poussee&lt;Poids*SIN(M347)),0,(-W347+Poussee)/m-Poids*SIN(M347)/m)</f>
        <v>6.09959017612836</v>
      </c>
      <c r="AH348" s="418" t="n">
        <f aca="false">IF(AND(L347&lt;L_rampe,Poussee&lt;Poids*SIN(M347)), g*SIN(M347), (-W347+Poussee)/m)</f>
        <v>-3.60292774084259</v>
      </c>
    </row>
    <row r="349" customFormat="false" ht="12" hidden="false" customHeight="false" outlineLevel="0" collapsed="false">
      <c r="A349" s="417" t="n">
        <f aca="false">IF(B348+0.01&lt;=T_ini+ROUNDUP(Temps_fin_propu,0), 0.01, IF(K348&gt;0, 0.1, 0.0001))</f>
        <v>0.1</v>
      </c>
      <c r="B349" s="418" t="n">
        <f aca="false">B348+pas</f>
        <v>16.5</v>
      </c>
      <c r="C349" s="402"/>
      <c r="D349" s="419" t="n">
        <f aca="false">IF(AND(L348&lt;L_rampe,Poussee&lt;Poids*SIN(M348)),0,(-W348+Poussee)/m*COS(M348)-U348/m*SIN(M348))</f>
        <v>-0.53411408123644</v>
      </c>
      <c r="E349" s="420" t="n">
        <f aca="false">IF(AND(L348&lt;L_rampe,Poussee&lt;Poids*SIN(M348)),0,(-W348+Poussee)/m*SIN(M348)+U348/m*COS(M348)-Poids/m)</f>
        <v>-6.18088909514755</v>
      </c>
      <c r="F349" s="418" t="n">
        <f aca="false">SQRT(acc_x^2+acc_z^2)</f>
        <v>6.20392358578739</v>
      </c>
      <c r="G349" s="419" t="n">
        <f aca="false">G348+acc_x*pas</f>
        <v>10.2872345874449</v>
      </c>
      <c r="H349" s="420" t="n">
        <f aca="false">H348+acc_z*pas</f>
        <v>-70.8790171719996</v>
      </c>
      <c r="I349" s="418" t="n">
        <f aca="false">SQRT(vit_x^2+vit_z^2)</f>
        <v>71.6216606253006</v>
      </c>
      <c r="J349" s="419" t="n">
        <f aca="false">J348+0.5*(vit_x+G348)*pas*(K348&gt;=0)</f>
        <v>211.791153319536</v>
      </c>
      <c r="K349" s="420" t="n">
        <f aca="false">K348+0.5*(vit_z+H348)*pas</f>
        <v>-4.43286202292057</v>
      </c>
      <c r="L349" s="418" t="n">
        <f aca="false">SQRT(pos_x^2+pos_z^2)</f>
        <v>211.837538906903</v>
      </c>
      <c r="M349" s="419" t="n">
        <f aca="false">IF(AND(L348&gt;L_rampe,G349&gt;0),ATAN2(G349,H349),$M$4)</f>
        <v>-1.42666480756707</v>
      </c>
      <c r="N349" s="418" t="n">
        <f aca="false">DEGREES(Beta)</f>
        <v>-81.7418722534369</v>
      </c>
      <c r="O349" s="402"/>
      <c r="P349" s="421" t="n">
        <f aca="false">MATCH(t-pas/2-T_ini,CdP_t)</f>
        <v>23</v>
      </c>
      <c r="Q349" s="418" t="n">
        <f aca="false">(INDEX(CdP,2,i_P+1)-INDEX(CdP,2,i_P+0))/(INDEX(CdP,1,i_P+1)-INDEX(CdP,1,i_P+0))*(t-pas/2-T_ini-INDEX(CdP,1,i_P+0))+INDEX(CdP,2,i_P+0)</f>
        <v>0</v>
      </c>
      <c r="R349" s="419" t="n">
        <f aca="false">Poussee/(g*ISP)</f>
        <v>0</v>
      </c>
      <c r="S349" s="420" t="n">
        <f aca="false">S348-Débit*pas</f>
        <v>1.4843</v>
      </c>
      <c r="T349" s="418" t="n">
        <f aca="false">m*g</f>
        <v>14.560983</v>
      </c>
      <c r="U349" s="422" t="n">
        <f aca="false">IF(pos_xz&lt;L_rampe,Poids*COS(Beta),0)</f>
        <v>0</v>
      </c>
      <c r="V349" s="419" t="n">
        <f aca="false">Rho_moyen*(20000-Alt_rampe-pos_z)/(20000+Alt_rampe+pos_z)</f>
        <v>1.22554314598237</v>
      </c>
      <c r="W349" s="418" t="n">
        <f aca="false">1/2*Rho*Sref*Cx*vit_xz^2</f>
        <v>5.54161211095025</v>
      </c>
      <c r="X349" s="402"/>
      <c r="Y349" s="423" t="str">
        <f aca="false">IF(AND(pos_z&lt;=0,K348&gt;0),"Impact balistique","") &amp; IF(AND(H350&lt;0,vit_z&gt;=0),"Apogée","") &amp; IF(AND(Poussee=0,Q348&gt;0),"Fin de propulsion","") &amp; IF(AND(L350&gt;L_rampe,pos_xz&lt;=L_rampe),"Sortie de rampe","")</f>
        <v>Impact balistique</v>
      </c>
      <c r="Z349" s="424" t="str">
        <f aca="false">IF(ABS(t-T_para)&lt;pas/2,"Para","")</f>
        <v/>
      </c>
      <c r="AA349" s="425" t="str">
        <f aca="false">IF(ABS(t-T_satellite)&lt;pas/2,"Satellite","")</f>
        <v/>
      </c>
      <c r="AB349" s="413"/>
      <c r="AC349" s="421" t="e">
        <f aca="false">IF(ABS(t-ROUND(t,0))&lt;0.001,t,NA())</f>
        <v>#N/A</v>
      </c>
      <c r="AD349" s="426" t="e">
        <f aca="false">IF(ABS(t-ROUND(t,0))&lt;0.001,pos_x,NA())</f>
        <v>#N/A</v>
      </c>
      <c r="AE349" s="427" t="e">
        <f aca="false">IF(t&lt;T_para, pos_z, NA())</f>
        <v>#N/A</v>
      </c>
      <c r="AF349" s="413"/>
      <c r="AG349" s="419" t="n">
        <f aca="false">IF(AND(L348&lt;L_rampe,Poussee&lt;Poids*SIN(M348)),0,(-W348+Poussee)/m-Poids*SIN(M348)/m)</f>
        <v>6.03724643190034</v>
      </c>
      <c r="AH349" s="418" t="n">
        <f aca="false">IF(AND(L348&lt;L_rampe,Poussee&lt;Poids*SIN(M348)), g*SIN(M348), (-W348+Poussee)/m)</f>
        <v>-3.66820443970807</v>
      </c>
    </row>
    <row r="350" customFormat="false" ht="12" hidden="false" customHeight="false" outlineLevel="0" collapsed="false">
      <c r="A350" s="417" t="n">
        <f aca="false">IF(B349+0.01&lt;=T_ini+ROUNDUP(Temps_fin_propu,0), 0.01, IF(K349&gt;0, 0.1, 0.0001))</f>
        <v>0.0001</v>
      </c>
      <c r="B350" s="418" t="n">
        <f aca="false">B349+pas</f>
        <v>16.5001</v>
      </c>
      <c r="C350" s="402"/>
      <c r="D350" s="419" t="n">
        <f aca="false">IF(AND(L349&lt;L_rampe,Poussee&lt;Poids*SIN(M349)),0,(-W349+Poussee)/m*COS(M349)-U349/m*SIN(M349))</f>
        <v>-0.536251714132085</v>
      </c>
      <c r="E350" s="420" t="n">
        <f aca="false">IF(AND(L349&lt;L_rampe,Poussee&lt;Poids*SIN(M349)),0,(-W349+Poussee)/m*SIN(M349)+U349/m*COS(M349)-Poids/m)</f>
        <v>-6.11522720840151</v>
      </c>
      <c r="F350" s="418" t="n">
        <f aca="false">SQRT(acc_x^2+acc_z^2)</f>
        <v>6.13869446309911</v>
      </c>
      <c r="G350" s="419" t="n">
        <f aca="false">G349+acc_x*pas</f>
        <v>10.2871809622735</v>
      </c>
      <c r="H350" s="420" t="n">
        <f aca="false">H349+acc_z*pas</f>
        <v>-70.8796286947205</v>
      </c>
      <c r="I350" s="418" t="n">
        <f aca="false">SQRT(vit_x^2+vit_z^2)</f>
        <v>71.6222581049495</v>
      </c>
      <c r="J350" s="419" t="n">
        <f aca="false">J349+0.5*(vit_x+G349)*pas*(K349&gt;=0)</f>
        <v>211.791153319536</v>
      </c>
      <c r="K350" s="420" t="n">
        <f aca="false">K349+0.5*(vit_z+H349)*pas</f>
        <v>-4.43994995521391</v>
      </c>
      <c r="L350" s="418" t="n">
        <f aca="false">SQRT(pos_x^2+pos_z^2)</f>
        <v>211.837687345817</v>
      </c>
      <c r="M350" s="419" t="n">
        <f aca="false">IF(AND(L349&gt;L_rampe,G350&gt;0),ATAN2(G350,H350),$M$4)</f>
        <v>-1.4266667748882</v>
      </c>
      <c r="N350" s="418" t="n">
        <f aca="false">DEGREES(Beta)</f>
        <v>-81.7419849726343</v>
      </c>
      <c r="O350" s="402"/>
      <c r="P350" s="421" t="n">
        <f aca="false">MATCH(t-pas/2-T_ini,CdP_t)</f>
        <v>23</v>
      </c>
      <c r="Q350" s="418" t="n">
        <f aca="false">(INDEX(CdP,2,i_P+1)-INDEX(CdP,2,i_P+0))/(INDEX(CdP,1,i_P+1)-INDEX(CdP,1,i_P+0))*(t-pas/2-T_ini-INDEX(CdP,1,i_P+0))+INDEX(CdP,2,i_P+0)</f>
        <v>0</v>
      </c>
      <c r="R350" s="419" t="n">
        <f aca="false">Poussee/(g*ISP)</f>
        <v>0</v>
      </c>
      <c r="S350" s="420" t="n">
        <f aca="false">S349-Débit*pas</f>
        <v>1.4843</v>
      </c>
      <c r="T350" s="418" t="n">
        <f aca="false">m*g</f>
        <v>14.560983</v>
      </c>
      <c r="U350" s="422" t="n">
        <f aca="false">IF(pos_xz&lt;L_rampe,Poids*COS(Beta),0)</f>
        <v>0</v>
      </c>
      <c r="V350" s="419" t="n">
        <f aca="false">Rho_moyen*(20000-Alt_rampe-pos_z)/(20000+Alt_rampe+pos_z)</f>
        <v>1.2255440146394</v>
      </c>
      <c r="W350" s="418" t="n">
        <f aca="false">1/2*Rho*Sref*Cx*vit_xz^2</f>
        <v>5.54170849733581</v>
      </c>
      <c r="X350" s="402"/>
      <c r="Y350" s="423" t="str">
        <f aca="false">IF(AND(pos_z&lt;=0,K349&gt;0),"Impact balistique","") &amp; IF(AND(H351&lt;0,vit_z&gt;=0),"Apogée","") &amp; IF(AND(Poussee=0,Q349&gt;0),"Fin de propulsion","") &amp; IF(AND(L351&gt;L_rampe,pos_xz&lt;=L_rampe),"Sortie de rampe","")</f>
        <v/>
      </c>
      <c r="Z350" s="424" t="str">
        <f aca="false">IF(ABS(t-T_para)&lt;pas/2,"Para","")</f>
        <v/>
      </c>
      <c r="AA350" s="425" t="str">
        <f aca="false">IF(ABS(t-T_satellite)&lt;pas/2,"Satellite","")</f>
        <v/>
      </c>
      <c r="AB350" s="413"/>
      <c r="AC350" s="421" t="e">
        <f aca="false">IF(ABS(t-ROUND(t,0))&lt;0.001,t,NA())</f>
        <v>#N/A</v>
      </c>
      <c r="AD350" s="426" t="e">
        <f aca="false">IF(ABS(t-ROUND(t,0))&lt;0.001,pos_x,NA())</f>
        <v>#N/A</v>
      </c>
      <c r="AE350" s="427" t="e">
        <f aca="false">IF(t&lt;T_para, pos_z, NA())</f>
        <v>#N/A</v>
      </c>
      <c r="AF350" s="413"/>
      <c r="AG350" s="419" t="n">
        <f aca="false">IF(AND(L349&lt;L_rampe,Poussee&lt;Poids*SIN(M349)),0,(-W349+Poussee)/m-Poids*SIN(M349)/m)</f>
        <v>5.97479510245546</v>
      </c>
      <c r="AH350" s="418" t="n">
        <f aca="false">IF(AND(L349&lt;L_rampe,Poussee&lt;Poids*SIN(M349)), g*SIN(M349), (-W349+Poussee)/m)</f>
        <v>-3.73348521926177</v>
      </c>
    </row>
    <row r="351" customFormat="false" ht="12" hidden="false" customHeight="false" outlineLevel="0" collapsed="false">
      <c r="A351" s="417" t="n">
        <f aca="false">IF(B350+0.01&lt;=T_ini+ROUNDUP(Temps_fin_propu,0), 0.01, IF(K350&gt;0, 0.1, 0.0001))</f>
        <v>0.0001</v>
      </c>
      <c r="B351" s="418" t="n">
        <f aca="false">B350+pas</f>
        <v>16.5002</v>
      </c>
      <c r="C351" s="402"/>
      <c r="D351" s="419" t="n">
        <f aca="false">IF(AND(L350&lt;L_rampe,Poussee&lt;Poids*SIN(M350)),0,(-W350+Poussee)/m*COS(M350)-U350/m*SIN(M350))</f>
        <v>-0.536253772335094</v>
      </c>
      <c r="E351" s="420" t="n">
        <f aca="false">IF(AND(L350&lt;L_rampe,Poussee&lt;Poids*SIN(M350)),0,(-W350+Poussee)/m*SIN(M350)+U350/m*COS(M350)-Poids/m)</f>
        <v>-6.115161889477</v>
      </c>
      <c r="F351" s="418" t="n">
        <f aca="false">SQRT(acc_x^2+acc_z^2)</f>
        <v>6.13862957367974</v>
      </c>
      <c r="G351" s="419" t="n">
        <f aca="false">G350+acc_x*pas</f>
        <v>10.2871273368962</v>
      </c>
      <c r="H351" s="420" t="n">
        <f aca="false">H350+acc_z*pas</f>
        <v>-70.8802402109094</v>
      </c>
      <c r="I351" s="418" t="n">
        <f aca="false">SQRT(vit_x^2+vit_z^2)</f>
        <v>71.6228555783818</v>
      </c>
      <c r="J351" s="419" t="n">
        <f aca="false">J350+0.5*(vit_x+G350)*pas*(K350&gt;=0)</f>
        <v>211.791153319536</v>
      </c>
      <c r="K351" s="420" t="n">
        <f aca="false">K350+0.5*(vit_z+H350)*pas</f>
        <v>-4.44703794865919</v>
      </c>
      <c r="L351" s="418" t="n">
        <f aca="false">SQRT(pos_x^2+pos_z^2)</f>
        <v>211.837836023068</v>
      </c>
      <c r="M351" s="419" t="n">
        <f aca="false">IF(AND(L350&gt;L_rampe,G351&gt;0),ATAN2(G351,H351),$M$4)</f>
        <v>-1.42666874216624</v>
      </c>
      <c r="N351" s="418" t="n">
        <f aca="false">DEGREES(Beta)</f>
        <v>-81.7420976893635</v>
      </c>
      <c r="O351" s="402"/>
      <c r="P351" s="421" t="n">
        <f aca="false">MATCH(t-pas/2-T_ini,CdP_t)</f>
        <v>23</v>
      </c>
      <c r="Q351" s="418" t="n">
        <f aca="false">(INDEX(CdP,2,i_P+1)-INDEX(CdP,2,i_P+0))/(INDEX(CdP,1,i_P+1)-INDEX(CdP,1,i_P+0))*(t-pas/2-T_ini-INDEX(CdP,1,i_P+0))+INDEX(CdP,2,i_P+0)</f>
        <v>0</v>
      </c>
      <c r="R351" s="419" t="n">
        <f aca="false">Poussee/(g*ISP)</f>
        <v>0</v>
      </c>
      <c r="S351" s="420" t="n">
        <f aca="false">S350-Débit*pas</f>
        <v>1.4843</v>
      </c>
      <c r="T351" s="418" t="n">
        <f aca="false">m*g</f>
        <v>14.560983</v>
      </c>
      <c r="U351" s="422" t="n">
        <f aca="false">IF(pos_xz&lt;L_rampe,Poids*COS(Beta),0)</f>
        <v>0</v>
      </c>
      <c r="V351" s="419" t="n">
        <f aca="false">Rho_moyen*(20000-Alt_rampe-pos_z)/(20000+Alt_rampe+pos_z)</f>
        <v>1.22554488330455</v>
      </c>
      <c r="W351" s="418" t="n">
        <f aca="false">1/2*Rho*Sref*Cx*vit_xz^2</f>
        <v>5.54180488369841</v>
      </c>
      <c r="X351" s="402"/>
      <c r="Y351" s="423" t="str">
        <f aca="false">IF(AND(pos_z&lt;=0,K350&gt;0),"Impact balistique","") &amp; IF(AND(H352&lt;0,vit_z&gt;=0),"Apogée","") &amp; IF(AND(Poussee=0,Q350&gt;0),"Fin de propulsion","") &amp; IF(AND(L352&gt;L_rampe,pos_xz&lt;=L_rampe),"Sortie de rampe","")</f>
        <v/>
      </c>
      <c r="Z351" s="424" t="str">
        <f aca="false">IF(ABS(t-T_para)&lt;pas/2,"Para","")</f>
        <v/>
      </c>
      <c r="AA351" s="425" t="str">
        <f aca="false">IF(ABS(t-T_satellite)&lt;pas/2,"Satellite","")</f>
        <v/>
      </c>
      <c r="AB351" s="413"/>
      <c r="AC351" s="421" t="e">
        <f aca="false">IF(ABS(t-ROUND(t,0))&lt;0.001,t,NA())</f>
        <v>#N/A</v>
      </c>
      <c r="AD351" s="426" t="e">
        <f aca="false">IF(ABS(t-ROUND(t,0))&lt;0.001,pos_x,NA())</f>
        <v>#N/A</v>
      </c>
      <c r="AE351" s="427" t="e">
        <f aca="false">IF(t&lt;T_para, pos_z, NA())</f>
        <v>#N/A</v>
      </c>
      <c r="AF351" s="413"/>
      <c r="AG351" s="419" t="n">
        <f aca="false">IF(AND(L350&lt;L_rampe,Poussee&lt;Poids*SIN(M350)),0,(-W350+Poussee)/m-Poids*SIN(M350)/m)</f>
        <v>5.97473293720336</v>
      </c>
      <c r="AH351" s="418" t="n">
        <f aca="false">IF(AND(L350&lt;L_rampe,Poussee&lt;Poids*SIN(M350)), g*SIN(M350), (-W350+Poussee)/m)</f>
        <v>-3.73355015652888</v>
      </c>
    </row>
    <row r="352" customFormat="false" ht="12" hidden="false" customHeight="false" outlineLevel="0" collapsed="false">
      <c r="A352" s="417" t="n">
        <f aca="false">IF(B351+0.01&lt;=T_ini+ROUNDUP(Temps_fin_propu,0), 0.01, IF(K351&gt;0, 0.1, 0.0001))</f>
        <v>0.0001</v>
      </c>
      <c r="B352" s="418" t="n">
        <f aca="false">B351+pas</f>
        <v>16.5003</v>
      </c>
      <c r="C352" s="402"/>
      <c r="D352" s="419" t="n">
        <f aca="false">IF(AND(L351&lt;L_rampe,Poussee&lt;Poids*SIN(M351)),0,(-W351+Poussee)/m*COS(M351)-U351/m*SIN(M351))</f>
        <v>-0.53625583044012</v>
      </c>
      <c r="E352" s="420" t="n">
        <f aca="false">IF(AND(L351&lt;L_rampe,Poussee&lt;Poids*SIN(M351)),0,(-W351+Poussee)/m*SIN(M351)+U351/m*COS(M351)-Poids/m)</f>
        <v>-6.1150965705685</v>
      </c>
      <c r="F352" s="418" t="n">
        <f aca="false">SQRT(acc_x^2+acc_z^2)</f>
        <v>6.13856468427756</v>
      </c>
      <c r="G352" s="419" t="n">
        <f aca="false">G351+acc_x*pas</f>
        <v>10.2870737113132</v>
      </c>
      <c r="H352" s="420" t="n">
        <f aca="false">H351+acc_z*pas</f>
        <v>-70.8808517205665</v>
      </c>
      <c r="I352" s="418" t="n">
        <f aca="false">SQRT(vit_x^2+vit_z^2)</f>
        <v>71.6234530455976</v>
      </c>
      <c r="J352" s="419" t="n">
        <f aca="false">J351+0.5*(vit_x+G351)*pas*(K351&gt;=0)</f>
        <v>211.791153319536</v>
      </c>
      <c r="K352" s="420" t="n">
        <f aca="false">K351+0.5*(vit_z+H351)*pas</f>
        <v>-4.45412600325577</v>
      </c>
      <c r="L352" s="418" t="n">
        <f aca="false">SQRT(pos_x^2+pos_z^2)</f>
        <v>211.83798493866</v>
      </c>
      <c r="M352" s="419" t="n">
        <f aca="false">IF(AND(L351&gt;L_rampe,G352&gt;0),ATAN2(G352,H352),$M$4)</f>
        <v>-1.42667070940121</v>
      </c>
      <c r="N352" s="418" t="n">
        <f aca="false">DEGREES(Beta)</f>
        <v>-81.7422104036245</v>
      </c>
      <c r="O352" s="402"/>
      <c r="P352" s="421" t="n">
        <f aca="false">MATCH(t-pas/2-T_ini,CdP_t)</f>
        <v>23</v>
      </c>
      <c r="Q352" s="418" t="n">
        <f aca="false">(INDEX(CdP,2,i_P+1)-INDEX(CdP,2,i_P+0))/(INDEX(CdP,1,i_P+1)-INDEX(CdP,1,i_P+0))*(t-pas/2-T_ini-INDEX(CdP,1,i_P+0))+INDEX(CdP,2,i_P+0)</f>
        <v>0</v>
      </c>
      <c r="R352" s="419" t="n">
        <f aca="false">Poussee/(g*ISP)</f>
        <v>0</v>
      </c>
      <c r="S352" s="420" t="n">
        <f aca="false">S351-Débit*pas</f>
        <v>1.4843</v>
      </c>
      <c r="T352" s="418" t="n">
        <f aca="false">m*g</f>
        <v>14.560983</v>
      </c>
      <c r="U352" s="422" t="n">
        <f aca="false">IF(pos_xz&lt;L_rampe,Poids*COS(Beta),0)</f>
        <v>0</v>
      </c>
      <c r="V352" s="419" t="n">
        <f aca="false">Rho_moyen*(20000-Alt_rampe-pos_z)/(20000+Alt_rampe+pos_z)</f>
        <v>1.2255457519778</v>
      </c>
      <c r="W352" s="418" t="n">
        <f aca="false">1/2*Rho*Sref*Cx*vit_xz^2</f>
        <v>5.54190127003802</v>
      </c>
      <c r="X352" s="402"/>
      <c r="Y352" s="423" t="str">
        <f aca="false">IF(AND(pos_z&lt;=0,K351&gt;0),"Impact balistique","") &amp; IF(AND(H353&lt;0,vit_z&gt;=0),"Apogée","") &amp; IF(AND(Poussee=0,Q351&gt;0),"Fin de propulsion","") &amp; IF(AND(L353&gt;L_rampe,pos_xz&lt;=L_rampe),"Sortie de rampe","")</f>
        <v/>
      </c>
      <c r="Z352" s="424" t="str">
        <f aca="false">IF(ABS(t-T_para)&lt;pas/2,"Para","")</f>
        <v/>
      </c>
      <c r="AA352" s="425" t="str">
        <f aca="false">IF(ABS(t-T_satellite)&lt;pas/2,"Satellite","")</f>
        <v/>
      </c>
      <c r="AB352" s="413"/>
      <c r="AC352" s="421" t="e">
        <f aca="false">IF(ABS(t-ROUND(t,0))&lt;0.001,t,NA())</f>
        <v>#N/A</v>
      </c>
      <c r="AD352" s="426" t="e">
        <f aca="false">IF(ABS(t-ROUND(t,0))&lt;0.001,pos_x,NA())</f>
        <v>#N/A</v>
      </c>
      <c r="AE352" s="427" t="e">
        <f aca="false">IF(t&lt;T_para, pos_z, NA())</f>
        <v>#N/A</v>
      </c>
      <c r="AF352" s="413"/>
      <c r="AG352" s="419" t="n">
        <f aca="false">IF(AND(L351&lt;L_rampe,Poussee&lt;Poids*SIN(M351)),0,(-W351+Poussee)/m-Poids*SIN(M351)/m)</f>
        <v>5.97467077186845</v>
      </c>
      <c r="AH352" s="418" t="n">
        <f aca="false">IF(AND(L351&lt;L_rampe,Poussee&lt;Poids*SIN(M351)), g*SIN(M351), (-W351+Poussee)/m)</f>
        <v>-3.73361509378051</v>
      </c>
    </row>
    <row r="353" customFormat="false" ht="12" hidden="false" customHeight="false" outlineLevel="0" collapsed="false">
      <c r="A353" s="417" t="n">
        <f aca="false">IF(B352+0.01&lt;=T_ini+ROUNDUP(Temps_fin_propu,0), 0.01, IF(K352&gt;0, 0.1, 0.0001))</f>
        <v>0.0001</v>
      </c>
      <c r="B353" s="418" t="n">
        <f aca="false">B352+pas</f>
        <v>16.5004</v>
      </c>
      <c r="C353" s="402"/>
      <c r="D353" s="419" t="n">
        <f aca="false">IF(AND(L352&lt;L_rampe,Poussee&lt;Poids*SIN(M352)),0,(-W352+Poussee)/m*COS(M352)-U352/m*SIN(M352))</f>
        <v>-0.53625788844716</v>
      </c>
      <c r="E353" s="420" t="n">
        <f aca="false">IF(AND(L352&lt;L_rampe,Poussee&lt;Poids*SIN(M352)),0,(-W352+Poussee)/m*SIN(M352)+U352/m*COS(M352)-Poids/m)</f>
        <v>-6.11503125167604</v>
      </c>
      <c r="F353" s="418" t="n">
        <f aca="false">SQRT(acc_x^2+acc_z^2)</f>
        <v>6.13849979489259</v>
      </c>
      <c r="G353" s="419" t="n">
        <f aca="false">G352+acc_x*pas</f>
        <v>10.2870200855243</v>
      </c>
      <c r="H353" s="420" t="n">
        <f aca="false">H352+acc_z*pas</f>
        <v>-70.8814632236916</v>
      </c>
      <c r="I353" s="418" t="n">
        <f aca="false">SQRT(vit_x^2+vit_z^2)</f>
        <v>71.6240505065968</v>
      </c>
      <c r="J353" s="419" t="n">
        <f aca="false">J352+0.5*(vit_x+G352)*pas*(K352&gt;=0)</f>
        <v>211.791153319536</v>
      </c>
      <c r="K353" s="420" t="n">
        <f aca="false">K352+0.5*(vit_z+H352)*pas</f>
        <v>-4.46121411900298</v>
      </c>
      <c r="L353" s="418" t="n">
        <f aca="false">SQRT(pos_x^2+pos_z^2)</f>
        <v>211.838134092601</v>
      </c>
      <c r="M353" s="419" t="n">
        <f aca="false">IF(AND(L352&gt;L_rampe,G353&gt;0),ATAN2(G353,H353),$M$4)</f>
        <v>-1.42667267659311</v>
      </c>
      <c r="N353" s="418" t="n">
        <f aca="false">DEGREES(Beta)</f>
        <v>-81.7423231154176</v>
      </c>
      <c r="O353" s="402"/>
      <c r="P353" s="421" t="n">
        <f aca="false">MATCH(t-pas/2-T_ini,CdP_t)</f>
        <v>23</v>
      </c>
      <c r="Q353" s="418" t="n">
        <f aca="false">(INDEX(CdP,2,i_P+1)-INDEX(CdP,2,i_P+0))/(INDEX(CdP,1,i_P+1)-INDEX(CdP,1,i_P+0))*(t-pas/2-T_ini-INDEX(CdP,1,i_P+0))+INDEX(CdP,2,i_P+0)</f>
        <v>0</v>
      </c>
      <c r="R353" s="419" t="n">
        <f aca="false">Poussee/(g*ISP)</f>
        <v>0</v>
      </c>
      <c r="S353" s="420" t="n">
        <f aca="false">S352-Débit*pas</f>
        <v>1.4843</v>
      </c>
      <c r="T353" s="418" t="n">
        <f aca="false">m*g</f>
        <v>14.560983</v>
      </c>
      <c r="U353" s="422" t="n">
        <f aca="false">IF(pos_xz&lt;L_rampe,Poids*COS(Beta),0)</f>
        <v>0</v>
      </c>
      <c r="V353" s="419" t="n">
        <f aca="false">Rho_moyen*(20000-Alt_rampe-pos_z)/(20000+Alt_rampe+pos_z)</f>
        <v>1.22554662065917</v>
      </c>
      <c r="W353" s="418" t="n">
        <f aca="false">1/2*Rho*Sref*Cx*vit_xz^2</f>
        <v>5.54199765635463</v>
      </c>
      <c r="X353" s="402"/>
      <c r="Y353" s="423" t="str">
        <f aca="false">IF(AND(pos_z&lt;=0,K352&gt;0),"Impact balistique","") &amp; IF(AND(H354&lt;0,vit_z&gt;=0),"Apogée","") &amp; IF(AND(Poussee=0,Q352&gt;0),"Fin de propulsion","") &amp; IF(AND(L354&gt;L_rampe,pos_xz&lt;=L_rampe),"Sortie de rampe","")</f>
        <v/>
      </c>
      <c r="Z353" s="424" t="str">
        <f aca="false">IF(ABS(t-T_para)&lt;pas/2,"Para","")</f>
        <v/>
      </c>
      <c r="AA353" s="425" t="str">
        <f aca="false">IF(ABS(t-T_satellite)&lt;pas/2,"Satellite","")</f>
        <v/>
      </c>
      <c r="AB353" s="413"/>
      <c r="AC353" s="421" t="e">
        <f aca="false">IF(ABS(t-ROUND(t,0))&lt;0.001,t,NA())</f>
        <v>#N/A</v>
      </c>
      <c r="AD353" s="426" t="e">
        <f aca="false">IF(ABS(t-ROUND(t,0))&lt;0.001,pos_x,NA())</f>
        <v>#N/A</v>
      </c>
      <c r="AE353" s="427" t="e">
        <f aca="false">IF(t&lt;T_para, pos_z, NA())</f>
        <v>#N/A</v>
      </c>
      <c r="AF353" s="413"/>
      <c r="AG353" s="419" t="n">
        <f aca="false">IF(AND(L352&lt;L_rampe,Poussee&lt;Poids*SIN(M352)),0,(-W352+Poussee)/m-Poids*SIN(M352)/m)</f>
        <v>5.97460860645077</v>
      </c>
      <c r="AH353" s="418" t="n">
        <f aca="false">IF(AND(L352&lt;L_rampe,Poussee&lt;Poids*SIN(M352)), g*SIN(M352), (-W352+Poussee)/m)</f>
        <v>-3.73368003101666</v>
      </c>
    </row>
    <row r="354" customFormat="false" ht="12" hidden="false" customHeight="false" outlineLevel="0" collapsed="false">
      <c r="A354" s="417" t="n">
        <f aca="false">IF(B353+0.01&lt;=T_ini+ROUNDUP(Temps_fin_propu,0), 0.01, IF(K353&gt;0, 0.1, 0.0001))</f>
        <v>0.0001</v>
      </c>
      <c r="B354" s="418" t="n">
        <f aca="false">B353+pas</f>
        <v>16.5005</v>
      </c>
      <c r="C354" s="402"/>
      <c r="D354" s="419" t="n">
        <f aca="false">IF(AND(L353&lt;L_rampe,Poussee&lt;Poids*SIN(M353)),0,(-W353+Poussee)/m*COS(M353)-U353/m*SIN(M353))</f>
        <v>-0.536259946356217</v>
      </c>
      <c r="E354" s="420" t="n">
        <f aca="false">IF(AND(L353&lt;L_rampe,Poussee&lt;Poids*SIN(M353)),0,(-W353+Poussee)/m*SIN(M353)+U353/m*COS(M353)-Poids/m)</f>
        <v>-6.11496593279961</v>
      </c>
      <c r="F354" s="418" t="n">
        <f aca="false">SQRT(acc_x^2+acc_z^2)</f>
        <v>6.13843490552485</v>
      </c>
      <c r="G354" s="419" t="n">
        <f aca="false">G353+acc_x*pas</f>
        <v>10.2869664595297</v>
      </c>
      <c r="H354" s="420" t="n">
        <f aca="false">H353+acc_z*pas</f>
        <v>-70.8820747202849</v>
      </c>
      <c r="I354" s="418" t="n">
        <f aca="false">SQRT(vit_x^2+vit_z^2)</f>
        <v>71.6246479613795</v>
      </c>
      <c r="J354" s="419" t="n">
        <f aca="false">J353+0.5*(vit_x+G353)*pas*(K353&gt;=0)</f>
        <v>211.791153319536</v>
      </c>
      <c r="K354" s="420" t="n">
        <f aca="false">K353+0.5*(vit_z+H353)*pas</f>
        <v>-4.46830229590018</v>
      </c>
      <c r="L354" s="418" t="n">
        <f aca="false">SQRT(pos_x^2+pos_z^2)</f>
        <v>211.838283484895</v>
      </c>
      <c r="M354" s="419" t="n">
        <f aca="false">IF(AND(L353&gt;L_rampe,G354&gt;0),ATAN2(G354,H354),$M$4)</f>
        <v>-1.42667464374193</v>
      </c>
      <c r="N354" s="418" t="n">
        <f aca="false">DEGREES(Beta)</f>
        <v>-81.7424358247428</v>
      </c>
      <c r="O354" s="402"/>
      <c r="P354" s="421" t="n">
        <f aca="false">MATCH(t-pas/2-T_ini,CdP_t)</f>
        <v>23</v>
      </c>
      <c r="Q354" s="418" t="n">
        <f aca="false">(INDEX(CdP,2,i_P+1)-INDEX(CdP,2,i_P+0))/(INDEX(CdP,1,i_P+1)-INDEX(CdP,1,i_P+0))*(t-pas/2-T_ini-INDEX(CdP,1,i_P+0))+INDEX(CdP,2,i_P+0)</f>
        <v>0</v>
      </c>
      <c r="R354" s="419" t="n">
        <f aca="false">Poussee/(g*ISP)</f>
        <v>0</v>
      </c>
      <c r="S354" s="420" t="n">
        <f aca="false">S353-Débit*pas</f>
        <v>1.4843</v>
      </c>
      <c r="T354" s="418" t="n">
        <f aca="false">m*g</f>
        <v>14.560983</v>
      </c>
      <c r="U354" s="422" t="n">
        <f aca="false">IF(pos_xz&lt;L_rampe,Poids*COS(Beta),0)</f>
        <v>0</v>
      </c>
      <c r="V354" s="419" t="n">
        <f aca="false">Rho_moyen*(20000-Alt_rampe-pos_z)/(20000+Alt_rampe+pos_z)</f>
        <v>1.22554748934864</v>
      </c>
      <c r="W354" s="418" t="n">
        <f aca="false">1/2*Rho*Sref*Cx*vit_xz^2</f>
        <v>5.5420940426482</v>
      </c>
      <c r="X354" s="402"/>
      <c r="Y354" s="423" t="str">
        <f aca="false">IF(AND(pos_z&lt;=0,K353&gt;0),"Impact balistique","") &amp; IF(AND(H355&lt;0,vit_z&gt;=0),"Apogée","") &amp; IF(AND(Poussee=0,Q353&gt;0),"Fin de propulsion","") &amp; IF(AND(L355&gt;L_rampe,pos_xz&lt;=L_rampe),"Sortie de rampe","")</f>
        <v/>
      </c>
      <c r="Z354" s="424" t="str">
        <f aca="false">IF(ABS(t-T_para)&lt;pas/2,"Para","")</f>
        <v/>
      </c>
      <c r="AA354" s="425" t="str">
        <f aca="false">IF(ABS(t-T_satellite)&lt;pas/2,"Satellite","")</f>
        <v/>
      </c>
      <c r="AB354" s="413"/>
      <c r="AC354" s="421" t="e">
        <f aca="false">IF(ABS(t-ROUND(t,0))&lt;0.001,t,NA())</f>
        <v>#N/A</v>
      </c>
      <c r="AD354" s="426" t="e">
        <f aca="false">IF(ABS(t-ROUND(t,0))&lt;0.001,pos_x,NA())</f>
        <v>#N/A</v>
      </c>
      <c r="AE354" s="427" t="e">
        <f aca="false">IF(t&lt;T_para, pos_z, NA())</f>
        <v>#N/A</v>
      </c>
      <c r="AF354" s="413"/>
      <c r="AG354" s="419" t="n">
        <f aca="false">IF(AND(L353&lt;L_rampe,Poussee&lt;Poids*SIN(M353)),0,(-W353+Poussee)/m-Poids*SIN(M353)/m)</f>
        <v>5.97454644095033</v>
      </c>
      <c r="AH354" s="418" t="n">
        <f aca="false">IF(AND(L353&lt;L_rampe,Poussee&lt;Poids*SIN(M353)), g*SIN(M353), (-W353+Poussee)/m)</f>
        <v>-3.73374496823731</v>
      </c>
    </row>
    <row r="355" customFormat="false" ht="12" hidden="false" customHeight="false" outlineLevel="0" collapsed="false">
      <c r="A355" s="417" t="n">
        <f aca="false">IF(B354+0.01&lt;=T_ini+ROUNDUP(Temps_fin_propu,0), 0.01, IF(K354&gt;0, 0.1, 0.0001))</f>
        <v>0.0001</v>
      </c>
      <c r="B355" s="418" t="n">
        <f aca="false">B354+pas</f>
        <v>16.5006</v>
      </c>
      <c r="C355" s="402"/>
      <c r="D355" s="419" t="n">
        <f aca="false">IF(AND(L354&lt;L_rampe,Poussee&lt;Poids*SIN(M354)),0,(-W354+Poussee)/m*COS(M354)-U354/m*SIN(M354))</f>
        <v>-0.536262004167291</v>
      </c>
      <c r="E355" s="420" t="n">
        <f aca="false">IF(AND(L354&lt;L_rampe,Poussee&lt;Poids*SIN(M354)),0,(-W354+Poussee)/m*SIN(M354)+U354/m*COS(M354)-Poids/m)</f>
        <v>-6.11490061393925</v>
      </c>
      <c r="F355" s="418" t="n">
        <f aca="false">SQRT(acc_x^2+acc_z^2)</f>
        <v>6.13837001617434</v>
      </c>
      <c r="G355" s="419" t="n">
        <f aca="false">G354+acc_x*pas</f>
        <v>10.2869128333293</v>
      </c>
      <c r="H355" s="420" t="n">
        <f aca="false">H354+acc_z*pas</f>
        <v>-70.8826862103463</v>
      </c>
      <c r="I355" s="418" t="n">
        <f aca="false">SQRT(vit_x^2+vit_z^2)</f>
        <v>71.6252454099456</v>
      </c>
      <c r="J355" s="419" t="n">
        <f aca="false">J354+0.5*(vit_x+G354)*pas*(K354&gt;=0)</f>
        <v>211.791153319536</v>
      </c>
      <c r="K355" s="420" t="n">
        <f aca="false">K354+0.5*(vit_z+H354)*pas</f>
        <v>-4.47539053394671</v>
      </c>
      <c r="L355" s="418" t="n">
        <f aca="false">SQRT(pos_x^2+pos_z^2)</f>
        <v>211.838433115548</v>
      </c>
      <c r="M355" s="419" t="n">
        <f aca="false">IF(AND(L354&gt;L_rampe,G355&gt;0),ATAN2(G355,H355),$M$4)</f>
        <v>-1.42667661084768</v>
      </c>
      <c r="N355" s="418" t="n">
        <f aca="false">DEGREES(Beta)</f>
        <v>-81.7425485316001</v>
      </c>
      <c r="O355" s="402"/>
      <c r="P355" s="421" t="n">
        <f aca="false">MATCH(t-pas/2-T_ini,CdP_t)</f>
        <v>23</v>
      </c>
      <c r="Q355" s="418" t="n">
        <f aca="false">(INDEX(CdP,2,i_P+1)-INDEX(CdP,2,i_P+0))/(INDEX(CdP,1,i_P+1)-INDEX(CdP,1,i_P+0))*(t-pas/2-T_ini-INDEX(CdP,1,i_P+0))+INDEX(CdP,2,i_P+0)</f>
        <v>0</v>
      </c>
      <c r="R355" s="419" t="n">
        <f aca="false">Poussee/(g*ISP)</f>
        <v>0</v>
      </c>
      <c r="S355" s="420" t="n">
        <f aca="false">S354-Débit*pas</f>
        <v>1.4843</v>
      </c>
      <c r="T355" s="418" t="n">
        <f aca="false">m*g</f>
        <v>14.560983</v>
      </c>
      <c r="U355" s="422" t="n">
        <f aca="false">IF(pos_xz&lt;L_rampe,Poids*COS(Beta),0)</f>
        <v>0</v>
      </c>
      <c r="V355" s="419" t="n">
        <f aca="false">Rho_moyen*(20000-Alt_rampe-pos_z)/(20000+Alt_rampe+pos_z)</f>
        <v>1.22554835804623</v>
      </c>
      <c r="W355" s="418" t="n">
        <f aca="false">1/2*Rho*Sref*Cx*vit_xz^2</f>
        <v>5.5421904289187</v>
      </c>
      <c r="X355" s="402"/>
      <c r="Y355" s="423" t="str">
        <f aca="false">IF(AND(pos_z&lt;=0,K354&gt;0),"Impact balistique","") &amp; IF(AND(H356&lt;0,vit_z&gt;=0),"Apogée","") &amp; IF(AND(Poussee=0,Q354&gt;0),"Fin de propulsion","") &amp; IF(AND(L356&gt;L_rampe,pos_xz&lt;=L_rampe),"Sortie de rampe","")</f>
        <v/>
      </c>
      <c r="Z355" s="424" t="str">
        <f aca="false">IF(ABS(t-T_para)&lt;pas/2,"Para","")</f>
        <v/>
      </c>
      <c r="AA355" s="425" t="str">
        <f aca="false">IF(ABS(t-T_satellite)&lt;pas/2,"Satellite","")</f>
        <v/>
      </c>
      <c r="AB355" s="413"/>
      <c r="AC355" s="421" t="e">
        <f aca="false">IF(ABS(t-ROUND(t,0))&lt;0.001,t,NA())</f>
        <v>#N/A</v>
      </c>
      <c r="AD355" s="426" t="e">
        <f aca="false">IF(ABS(t-ROUND(t,0))&lt;0.001,pos_x,NA())</f>
        <v>#N/A</v>
      </c>
      <c r="AE355" s="427" t="e">
        <f aca="false">IF(t&lt;T_para, pos_z, NA())</f>
        <v>#N/A</v>
      </c>
      <c r="AF355" s="413"/>
      <c r="AG355" s="419" t="n">
        <f aca="false">IF(AND(L354&lt;L_rampe,Poussee&lt;Poids*SIN(M354)),0,(-W354+Poussee)/m-Poids*SIN(M354)/m)</f>
        <v>5.97448427536714</v>
      </c>
      <c r="AH355" s="418" t="n">
        <f aca="false">IF(AND(L354&lt;L_rampe,Poussee&lt;Poids*SIN(M354)), g*SIN(M354), (-W354+Poussee)/m)</f>
        <v>-3.73380990544243</v>
      </c>
    </row>
    <row r="356" customFormat="false" ht="12" hidden="false" customHeight="false" outlineLevel="0" collapsed="false">
      <c r="A356" s="417" t="n">
        <f aca="false">IF(B355+0.01&lt;=T_ini+ROUNDUP(Temps_fin_propu,0), 0.01, IF(K355&gt;0, 0.1, 0.0001))</f>
        <v>0.0001</v>
      </c>
      <c r="B356" s="418" t="n">
        <f aca="false">B355+pas</f>
        <v>16.5007</v>
      </c>
      <c r="C356" s="402"/>
      <c r="D356" s="419" t="n">
        <f aca="false">IF(AND(L355&lt;L_rampe,Poussee&lt;Poids*SIN(M355)),0,(-W355+Poussee)/m*COS(M355)-U355/m*SIN(M355))</f>
        <v>-0.536264061880383</v>
      </c>
      <c r="E356" s="420" t="n">
        <f aca="false">IF(AND(L355&lt;L_rampe,Poussee&lt;Poids*SIN(M355)),0,(-W355+Poussee)/m*SIN(M355)+U355/m*COS(M355)-Poids/m)</f>
        <v>-6.11483529509497</v>
      </c>
      <c r="F356" s="418" t="n">
        <f aca="false">SQRT(acc_x^2+acc_z^2)</f>
        <v>6.1383051268411</v>
      </c>
      <c r="G356" s="419" t="n">
        <f aca="false">G355+acc_x*pas</f>
        <v>10.2868592069231</v>
      </c>
      <c r="H356" s="420" t="n">
        <f aca="false">H355+acc_z*pas</f>
        <v>-70.8832976938758</v>
      </c>
      <c r="I356" s="418" t="n">
        <f aca="false">SQRT(vit_x^2+vit_z^2)</f>
        <v>71.6258428522952</v>
      </c>
      <c r="J356" s="419" t="n">
        <f aca="false">J355+0.5*(vit_x+G355)*pas*(K355&gt;=0)</f>
        <v>211.791153319536</v>
      </c>
      <c r="K356" s="420" t="n">
        <f aca="false">K355+0.5*(vit_z+H355)*pas</f>
        <v>-4.48247883314192</v>
      </c>
      <c r="L356" s="418" t="n">
        <f aca="false">SQRT(pos_x^2+pos_z^2)</f>
        <v>211.838582984566</v>
      </c>
      <c r="M356" s="419" t="n">
        <f aca="false">IF(AND(L355&gt;L_rampe,G356&gt;0),ATAN2(G356,H356),$M$4)</f>
        <v>-1.42667857791036</v>
      </c>
      <c r="N356" s="418" t="n">
        <f aca="false">DEGREES(Beta)</f>
        <v>-81.7426612359896</v>
      </c>
      <c r="O356" s="402"/>
      <c r="P356" s="421" t="n">
        <f aca="false">MATCH(t-pas/2-T_ini,CdP_t)</f>
        <v>23</v>
      </c>
      <c r="Q356" s="418" t="n">
        <f aca="false">(INDEX(CdP,2,i_P+1)-INDEX(CdP,2,i_P+0))/(INDEX(CdP,1,i_P+1)-INDEX(CdP,1,i_P+0))*(t-pas/2-T_ini-INDEX(CdP,1,i_P+0))+INDEX(CdP,2,i_P+0)</f>
        <v>0</v>
      </c>
      <c r="R356" s="419" t="n">
        <f aca="false">Poussee/(g*ISP)</f>
        <v>0</v>
      </c>
      <c r="S356" s="420" t="n">
        <f aca="false">S355-Débit*pas</f>
        <v>1.4843</v>
      </c>
      <c r="T356" s="418" t="n">
        <f aca="false">m*g</f>
        <v>14.560983</v>
      </c>
      <c r="U356" s="422" t="n">
        <f aca="false">IF(pos_xz&lt;L_rampe,Poids*COS(Beta),0)</f>
        <v>0</v>
      </c>
      <c r="V356" s="419" t="n">
        <f aca="false">Rho_moyen*(20000-Alt_rampe-pos_z)/(20000+Alt_rampe+pos_z)</f>
        <v>1.22554922675192</v>
      </c>
      <c r="W356" s="418" t="n">
        <f aca="false">1/2*Rho*Sref*Cx*vit_xz^2</f>
        <v>5.54228681516613</v>
      </c>
      <c r="X356" s="402"/>
      <c r="Y356" s="423" t="str">
        <f aca="false">IF(AND(pos_z&lt;=0,K355&gt;0),"Impact balistique","") &amp; IF(AND(H357&lt;0,vit_z&gt;=0),"Apogée","") &amp; IF(AND(Poussee=0,Q355&gt;0),"Fin de propulsion","") &amp; IF(AND(L357&gt;L_rampe,pos_xz&lt;=L_rampe),"Sortie de rampe","")</f>
        <v/>
      </c>
      <c r="Z356" s="424" t="str">
        <f aca="false">IF(ABS(t-T_para)&lt;pas/2,"Para","")</f>
        <v/>
      </c>
      <c r="AA356" s="425" t="str">
        <f aca="false">IF(ABS(t-T_satellite)&lt;pas/2,"Satellite","")</f>
        <v/>
      </c>
      <c r="AB356" s="413"/>
      <c r="AC356" s="421" t="e">
        <f aca="false">IF(ABS(t-ROUND(t,0))&lt;0.001,t,NA())</f>
        <v>#N/A</v>
      </c>
      <c r="AD356" s="426" t="e">
        <f aca="false">IF(ABS(t-ROUND(t,0))&lt;0.001,pos_x,NA())</f>
        <v>#N/A</v>
      </c>
      <c r="AE356" s="427" t="e">
        <f aca="false">IF(t&lt;T_para, pos_z, NA())</f>
        <v>#N/A</v>
      </c>
      <c r="AF356" s="413"/>
      <c r="AG356" s="419" t="n">
        <f aca="false">IF(AND(L355&lt;L_rampe,Poussee&lt;Poids*SIN(M355)),0,(-W355+Poussee)/m-Poids*SIN(M355)/m)</f>
        <v>5.97442210970125</v>
      </c>
      <c r="AH356" s="418" t="n">
        <f aca="false">IF(AND(L355&lt;L_rampe,Poussee&lt;Poids*SIN(M355)), g*SIN(M355), (-W355+Poussee)/m)</f>
        <v>-3.73387484263202</v>
      </c>
    </row>
    <row r="357" customFormat="false" ht="12" hidden="false" customHeight="false" outlineLevel="0" collapsed="false">
      <c r="A357" s="417" t="n">
        <f aca="false">IF(B356+0.01&lt;=T_ini+ROUNDUP(Temps_fin_propu,0), 0.01, IF(K356&gt;0, 0.1, 0.0001))</f>
        <v>0.0001</v>
      </c>
      <c r="B357" s="418" t="n">
        <f aca="false">B356+pas</f>
        <v>16.5008</v>
      </c>
      <c r="C357" s="402"/>
      <c r="D357" s="419" t="n">
        <f aca="false">IF(AND(L356&lt;L_rampe,Poussee&lt;Poids*SIN(M356)),0,(-W356+Poussee)/m*COS(M356)-U356/m*SIN(M356))</f>
        <v>-0.536266119495494</v>
      </c>
      <c r="E357" s="420" t="n">
        <f aca="false">IF(AND(L356&lt;L_rampe,Poussee&lt;Poids*SIN(M356)),0,(-W356+Poussee)/m*SIN(M356)+U356/m*COS(M356)-Poids/m)</f>
        <v>-6.11476997626679</v>
      </c>
      <c r="F357" s="418" t="n">
        <f aca="false">SQRT(acc_x^2+acc_z^2)</f>
        <v>6.13824023752512</v>
      </c>
      <c r="G357" s="419" t="n">
        <f aca="false">G356+acc_x*pas</f>
        <v>10.2868055803111</v>
      </c>
      <c r="H357" s="420" t="n">
        <f aca="false">H356+acc_z*pas</f>
        <v>-70.8839091708735</v>
      </c>
      <c r="I357" s="418" t="n">
        <f aca="false">SQRT(vit_x^2+vit_z^2)</f>
        <v>71.6264402884281</v>
      </c>
      <c r="J357" s="419" t="n">
        <f aca="false">J356+0.5*(vit_x+G356)*pas*(K356&gt;=0)</f>
        <v>211.791153319536</v>
      </c>
      <c r="K357" s="420" t="n">
        <f aca="false">K356+0.5*(vit_z+H356)*pas</f>
        <v>-4.48956719348516</v>
      </c>
      <c r="L357" s="418" t="n">
        <f aca="false">SQRT(pos_x^2+pos_z^2)</f>
        <v>211.838733091954</v>
      </c>
      <c r="M357" s="419" t="n">
        <f aca="false">IF(AND(L356&gt;L_rampe,G357&gt;0),ATAN2(G357,H357),$M$4)</f>
        <v>-1.42668054492997</v>
      </c>
      <c r="N357" s="418" t="n">
        <f aca="false">DEGREES(Beta)</f>
        <v>-81.7427739379115</v>
      </c>
      <c r="O357" s="402"/>
      <c r="P357" s="421" t="n">
        <f aca="false">MATCH(t-pas/2-T_ini,CdP_t)</f>
        <v>23</v>
      </c>
      <c r="Q357" s="418" t="n">
        <f aca="false">(INDEX(CdP,2,i_P+1)-INDEX(CdP,2,i_P+0))/(INDEX(CdP,1,i_P+1)-INDEX(CdP,1,i_P+0))*(t-pas/2-T_ini-INDEX(CdP,1,i_P+0))+INDEX(CdP,2,i_P+0)</f>
        <v>0</v>
      </c>
      <c r="R357" s="419" t="n">
        <f aca="false">Poussee/(g*ISP)</f>
        <v>0</v>
      </c>
      <c r="S357" s="420" t="n">
        <f aca="false">S356-Débit*pas</f>
        <v>1.4843</v>
      </c>
      <c r="T357" s="418" t="n">
        <f aca="false">m*g</f>
        <v>14.560983</v>
      </c>
      <c r="U357" s="422" t="n">
        <f aca="false">IF(pos_xz&lt;L_rampe,Poids*COS(Beta),0)</f>
        <v>0</v>
      </c>
      <c r="V357" s="419" t="n">
        <f aca="false">Rho_moyen*(20000-Alt_rampe-pos_z)/(20000+Alt_rampe+pos_z)</f>
        <v>1.22555009546573</v>
      </c>
      <c r="W357" s="418" t="n">
        <f aca="false">1/2*Rho*Sref*Cx*vit_xz^2</f>
        <v>5.54238320139045</v>
      </c>
      <c r="X357" s="402"/>
      <c r="Y357" s="423" t="str">
        <f aca="false">IF(AND(pos_z&lt;=0,K356&gt;0),"Impact balistique","") &amp; IF(AND(H358&lt;0,vit_z&gt;=0),"Apogée","") &amp; IF(AND(Poussee=0,Q356&gt;0),"Fin de propulsion","") &amp; IF(AND(L358&gt;L_rampe,pos_xz&lt;=L_rampe),"Sortie de rampe","")</f>
        <v/>
      </c>
      <c r="Z357" s="424" t="str">
        <f aca="false">IF(ABS(t-T_para)&lt;pas/2,"Para","")</f>
        <v/>
      </c>
      <c r="AA357" s="425" t="str">
        <f aca="false">IF(ABS(t-T_satellite)&lt;pas/2,"Satellite","")</f>
        <v/>
      </c>
      <c r="AB357" s="413"/>
      <c r="AC357" s="421" t="e">
        <f aca="false">IF(ABS(t-ROUND(t,0))&lt;0.001,t,NA())</f>
        <v>#N/A</v>
      </c>
      <c r="AD357" s="426" t="e">
        <f aca="false">IF(ABS(t-ROUND(t,0))&lt;0.001,pos_x,NA())</f>
        <v>#N/A</v>
      </c>
      <c r="AE357" s="427" t="e">
        <f aca="false">IF(t&lt;T_para, pos_z, NA())</f>
        <v>#N/A</v>
      </c>
      <c r="AF357" s="413"/>
      <c r="AG357" s="419" t="n">
        <f aca="false">IF(AND(L356&lt;L_rampe,Poussee&lt;Poids*SIN(M356)),0,(-W356+Poussee)/m-Poids*SIN(M356)/m)</f>
        <v>5.97435994395265</v>
      </c>
      <c r="AH357" s="418" t="n">
        <f aca="false">IF(AND(L356&lt;L_rampe,Poussee&lt;Poids*SIN(M356)), g*SIN(M356), (-W356+Poussee)/m)</f>
        <v>-3.73393977980606</v>
      </c>
    </row>
    <row r="358" customFormat="false" ht="12" hidden="false" customHeight="false" outlineLevel="0" collapsed="false">
      <c r="A358" s="417" t="n">
        <f aca="false">IF(B357+0.01&lt;=T_ini+ROUNDUP(Temps_fin_propu,0), 0.01, IF(K357&gt;0, 0.1, 0.0001))</f>
        <v>0.0001</v>
      </c>
      <c r="B358" s="418" t="n">
        <f aca="false">B357+pas</f>
        <v>16.5009</v>
      </c>
      <c r="C358" s="402"/>
      <c r="D358" s="419" t="n">
        <f aca="false">IF(AND(L357&lt;L_rampe,Poussee&lt;Poids*SIN(M357)),0,(-W357+Poussee)/m*COS(M357)-U357/m*SIN(M357))</f>
        <v>-0.536268177012623</v>
      </c>
      <c r="E358" s="420" t="n">
        <f aca="false">IF(AND(L357&lt;L_rampe,Poussee&lt;Poids*SIN(M357)),0,(-W357+Poussee)/m*SIN(M357)+U357/m*COS(M357)-Poids/m)</f>
        <v>-6.11470465745471</v>
      </c>
      <c r="F358" s="418" t="n">
        <f aca="false">SQRT(acc_x^2+acc_z^2)</f>
        <v>6.13817534822644</v>
      </c>
      <c r="G358" s="419" t="n">
        <f aca="false">G357+acc_x*pas</f>
        <v>10.2867519534934</v>
      </c>
      <c r="H358" s="420" t="n">
        <f aca="false">H357+acc_z*pas</f>
        <v>-70.8845206413392</v>
      </c>
      <c r="I358" s="418" t="n">
        <f aca="false">SQRT(vit_x^2+vit_z^2)</f>
        <v>71.6270377183445</v>
      </c>
      <c r="J358" s="419" t="n">
        <f aca="false">J357+0.5*(vit_x+G357)*pas*(K357&gt;=0)</f>
        <v>211.791153319536</v>
      </c>
      <c r="K358" s="420" t="n">
        <f aca="false">K357+0.5*(vit_z+H357)*pas</f>
        <v>-4.49665561497577</v>
      </c>
      <c r="L358" s="418" t="n">
        <f aca="false">SQRT(pos_x^2+pos_z^2)</f>
        <v>211.838883437718</v>
      </c>
      <c r="M358" s="419" t="n">
        <f aca="false">IF(AND(L357&gt;L_rampe,G358&gt;0),ATAN2(G358,H358),$M$4)</f>
        <v>-1.42668251190651</v>
      </c>
      <c r="N358" s="418" t="n">
        <f aca="false">DEGREES(Beta)</f>
        <v>-81.7428866373658</v>
      </c>
      <c r="O358" s="402"/>
      <c r="P358" s="421" t="n">
        <f aca="false">MATCH(t-pas/2-T_ini,CdP_t)</f>
        <v>23</v>
      </c>
      <c r="Q358" s="418" t="n">
        <f aca="false">(INDEX(CdP,2,i_P+1)-INDEX(CdP,2,i_P+0))/(INDEX(CdP,1,i_P+1)-INDEX(CdP,1,i_P+0))*(t-pas/2-T_ini-INDEX(CdP,1,i_P+0))+INDEX(CdP,2,i_P+0)</f>
        <v>0</v>
      </c>
      <c r="R358" s="419" t="n">
        <f aca="false">Poussee/(g*ISP)</f>
        <v>0</v>
      </c>
      <c r="S358" s="420" t="n">
        <f aca="false">S357-Débit*pas</f>
        <v>1.4843</v>
      </c>
      <c r="T358" s="418" t="n">
        <f aca="false">m*g</f>
        <v>14.560983</v>
      </c>
      <c r="U358" s="422" t="n">
        <f aca="false">IF(pos_xz&lt;L_rampe,Poids*COS(Beta),0)</f>
        <v>0</v>
      </c>
      <c r="V358" s="419" t="n">
        <f aca="false">Rho_moyen*(20000-Alt_rampe-pos_z)/(20000+Alt_rampe+pos_z)</f>
        <v>1.22555096418765</v>
      </c>
      <c r="W358" s="418" t="n">
        <f aca="false">1/2*Rho*Sref*Cx*vit_xz^2</f>
        <v>5.54247958759163</v>
      </c>
      <c r="X358" s="402"/>
      <c r="Y358" s="423" t="str">
        <f aca="false">IF(AND(pos_z&lt;=0,K357&gt;0),"Impact balistique","") &amp; IF(AND(H359&lt;0,vit_z&gt;=0),"Apogée","") &amp; IF(AND(Poussee=0,Q357&gt;0),"Fin de propulsion","") &amp; IF(AND(L359&gt;L_rampe,pos_xz&lt;=L_rampe),"Sortie de rampe","")</f>
        <v/>
      </c>
      <c r="Z358" s="424" t="str">
        <f aca="false">IF(ABS(t-T_para)&lt;pas/2,"Para","")</f>
        <v/>
      </c>
      <c r="AA358" s="425" t="str">
        <f aca="false">IF(ABS(t-T_satellite)&lt;pas/2,"Satellite","")</f>
        <v/>
      </c>
      <c r="AB358" s="413"/>
      <c r="AC358" s="421" t="e">
        <f aca="false">IF(ABS(t-ROUND(t,0))&lt;0.001,t,NA())</f>
        <v>#N/A</v>
      </c>
      <c r="AD358" s="426" t="e">
        <f aca="false">IF(ABS(t-ROUND(t,0))&lt;0.001,pos_x,NA())</f>
        <v>#N/A</v>
      </c>
      <c r="AE358" s="427" t="e">
        <f aca="false">IF(t&lt;T_para, pos_z, NA())</f>
        <v>#N/A</v>
      </c>
      <c r="AF358" s="413"/>
      <c r="AG358" s="419" t="n">
        <f aca="false">IF(AND(L357&lt;L_rampe,Poussee&lt;Poids*SIN(M357)),0,(-W357+Poussee)/m-Poids*SIN(M357)/m)</f>
        <v>5.97429777812138</v>
      </c>
      <c r="AH358" s="418" t="n">
        <f aca="false">IF(AND(L357&lt;L_rampe,Poussee&lt;Poids*SIN(M357)), g*SIN(M357), (-W357+Poussee)/m)</f>
        <v>-3.73400471696453</v>
      </c>
    </row>
    <row r="359" customFormat="false" ht="12" hidden="false" customHeight="false" outlineLevel="0" collapsed="false">
      <c r="A359" s="417" t="n">
        <f aca="false">IF(B358+0.01&lt;=T_ini+ROUNDUP(Temps_fin_propu,0), 0.01, IF(K358&gt;0, 0.1, 0.0001))</f>
        <v>0.0001</v>
      </c>
      <c r="B359" s="418" t="n">
        <f aca="false">B358+pas</f>
        <v>16.501</v>
      </c>
      <c r="C359" s="402"/>
      <c r="D359" s="419" t="n">
        <f aca="false">IF(AND(L358&lt;L_rampe,Poussee&lt;Poids*SIN(M358)),0,(-W358+Poussee)/m*COS(M358)-U358/m*SIN(M358))</f>
        <v>-0.536270234431773</v>
      </c>
      <c r="E359" s="420" t="n">
        <f aca="false">IF(AND(L358&lt;L_rampe,Poussee&lt;Poids*SIN(M358)),0,(-W358+Poussee)/m*SIN(M358)+U358/m*COS(M358)-Poids/m)</f>
        <v>-6.11463933865876</v>
      </c>
      <c r="F359" s="418" t="n">
        <f aca="false">SQRT(acc_x^2+acc_z^2)</f>
        <v>6.13811045894506</v>
      </c>
      <c r="G359" s="419" t="n">
        <f aca="false">G358+acc_x*pas</f>
        <v>10.28669832647</v>
      </c>
      <c r="H359" s="420" t="n">
        <f aca="false">H358+acc_z*pas</f>
        <v>-70.8851321052731</v>
      </c>
      <c r="I359" s="418" t="n">
        <f aca="false">SQRT(vit_x^2+vit_z^2)</f>
        <v>71.6276351420443</v>
      </c>
      <c r="J359" s="419" t="n">
        <f aca="false">J358+0.5*(vit_x+G358)*pas*(K358&gt;=0)</f>
        <v>211.791153319536</v>
      </c>
      <c r="K359" s="420" t="n">
        <f aca="false">K358+0.5*(vit_z+H358)*pas</f>
        <v>-4.5037440976131</v>
      </c>
      <c r="L359" s="418" t="n">
        <f aca="false">SQRT(pos_x^2+pos_z^2)</f>
        <v>211.839034021863</v>
      </c>
      <c r="M359" s="419" t="n">
        <f aca="false">IF(AND(L358&gt;L_rampe,G359&gt;0),ATAN2(G359,H359),$M$4)</f>
        <v>-1.42668447883999</v>
      </c>
      <c r="N359" s="418" t="n">
        <f aca="false">DEGREES(Beta)</f>
        <v>-81.7429993343526</v>
      </c>
      <c r="O359" s="402"/>
      <c r="P359" s="421" t="n">
        <f aca="false">MATCH(t-pas/2-T_ini,CdP_t)</f>
        <v>23</v>
      </c>
      <c r="Q359" s="418" t="n">
        <f aca="false">(INDEX(CdP,2,i_P+1)-INDEX(CdP,2,i_P+0))/(INDEX(CdP,1,i_P+1)-INDEX(CdP,1,i_P+0))*(t-pas/2-T_ini-INDEX(CdP,1,i_P+0))+INDEX(CdP,2,i_P+0)</f>
        <v>0</v>
      </c>
      <c r="R359" s="419" t="n">
        <f aca="false">Poussee/(g*ISP)</f>
        <v>0</v>
      </c>
      <c r="S359" s="420" t="n">
        <f aca="false">S358-Débit*pas</f>
        <v>1.4843</v>
      </c>
      <c r="T359" s="418" t="n">
        <f aca="false">m*g</f>
        <v>14.560983</v>
      </c>
      <c r="U359" s="422" t="n">
        <f aca="false">IF(pos_xz&lt;L_rampe,Poids*COS(Beta),0)</f>
        <v>0</v>
      </c>
      <c r="V359" s="419" t="n">
        <f aca="false">Rho_moyen*(20000-Alt_rampe-pos_z)/(20000+Alt_rampe+pos_z)</f>
        <v>1.22555183291767</v>
      </c>
      <c r="W359" s="418" t="n">
        <f aca="false">1/2*Rho*Sref*Cx*vit_xz^2</f>
        <v>5.54257597376966</v>
      </c>
      <c r="X359" s="402"/>
      <c r="Y359" s="423" t="str">
        <f aca="false">IF(AND(pos_z&lt;=0,K358&gt;0),"Impact balistique","") &amp; IF(AND(H360&lt;0,vit_z&gt;=0),"Apogée","") &amp; IF(AND(Poussee=0,Q358&gt;0),"Fin de propulsion","") &amp; IF(AND(L360&gt;L_rampe,pos_xz&lt;=L_rampe),"Sortie de rampe","")</f>
        <v/>
      </c>
      <c r="Z359" s="424" t="str">
        <f aca="false">IF(ABS(t-T_para)&lt;pas/2,"Para","")</f>
        <v/>
      </c>
      <c r="AA359" s="425" t="str">
        <f aca="false">IF(ABS(t-T_satellite)&lt;pas/2,"Satellite","")</f>
        <v/>
      </c>
      <c r="AB359" s="413"/>
      <c r="AC359" s="421" t="e">
        <f aca="false">IF(ABS(t-ROUND(t,0))&lt;0.001,t,NA())</f>
        <v>#N/A</v>
      </c>
      <c r="AD359" s="426" t="e">
        <f aca="false">IF(ABS(t-ROUND(t,0))&lt;0.001,pos_x,NA())</f>
        <v>#N/A</v>
      </c>
      <c r="AE359" s="427" t="e">
        <f aca="false">IF(t&lt;T_para, pos_z, NA())</f>
        <v>#N/A</v>
      </c>
      <c r="AF359" s="413"/>
      <c r="AG359" s="419" t="n">
        <f aca="false">IF(AND(L358&lt;L_rampe,Poussee&lt;Poids*SIN(M358)),0,(-W358+Poussee)/m-Poids*SIN(M358)/m)</f>
        <v>5.97423561220745</v>
      </c>
      <c r="AH359" s="418" t="n">
        <f aca="false">IF(AND(L358&lt;L_rampe,Poussee&lt;Poids*SIN(M358)), g*SIN(M358), (-W358+Poussee)/m)</f>
        <v>-3.73406965410742</v>
      </c>
    </row>
    <row r="360" customFormat="false" ht="12" hidden="false" customHeight="false" outlineLevel="0" collapsed="false">
      <c r="A360" s="417" t="n">
        <f aca="false">IF(B359+0.01&lt;=T_ini+ROUNDUP(Temps_fin_propu,0), 0.01, IF(K359&gt;0, 0.1, 0.0001))</f>
        <v>0.0001</v>
      </c>
      <c r="B360" s="418" t="n">
        <f aca="false">B359+pas</f>
        <v>16.5011</v>
      </c>
      <c r="C360" s="402"/>
      <c r="D360" s="419" t="n">
        <f aca="false">IF(AND(L359&lt;L_rampe,Poussee&lt;Poids*SIN(M359)),0,(-W359+Poussee)/m*COS(M359)-U359/m*SIN(M359))</f>
        <v>-0.536272291752944</v>
      </c>
      <c r="E360" s="420" t="n">
        <f aca="false">IF(AND(L359&lt;L_rampe,Poussee&lt;Poids*SIN(M359)),0,(-W359+Poussee)/m*SIN(M359)+U359/m*COS(M359)-Poids/m)</f>
        <v>-6.11457401987895</v>
      </c>
      <c r="F360" s="418" t="n">
        <f aca="false">SQRT(acc_x^2+acc_z^2)</f>
        <v>6.138045569681</v>
      </c>
      <c r="G360" s="419" t="n">
        <f aca="false">G359+acc_x*pas</f>
        <v>10.2866446992408</v>
      </c>
      <c r="H360" s="420" t="n">
        <f aca="false">H359+acc_z*pas</f>
        <v>-70.8857435626751</v>
      </c>
      <c r="I360" s="418" t="n">
        <f aca="false">SQRT(vit_x^2+vit_z^2)</f>
        <v>71.6282325595274</v>
      </c>
      <c r="J360" s="419" t="n">
        <f aca="false">J359+0.5*(vit_x+G359)*pas*(K359&gt;=0)</f>
        <v>211.791153319536</v>
      </c>
      <c r="K360" s="420" t="n">
        <f aca="false">K359+0.5*(vit_z+H359)*pas</f>
        <v>-4.5108326413965</v>
      </c>
      <c r="L360" s="418" t="n">
        <f aca="false">SQRT(pos_x^2+pos_z^2)</f>
        <v>211.839184844395</v>
      </c>
      <c r="M360" s="419" t="n">
        <f aca="false">IF(AND(L359&gt;L_rampe,G360&gt;0),ATAN2(G360,H360),$M$4)</f>
        <v>-1.4266864457304</v>
      </c>
      <c r="N360" s="418" t="n">
        <f aca="false">DEGREES(Beta)</f>
        <v>-81.743112028872</v>
      </c>
      <c r="O360" s="402"/>
      <c r="P360" s="421" t="n">
        <f aca="false">MATCH(t-pas/2-T_ini,CdP_t)</f>
        <v>23</v>
      </c>
      <c r="Q360" s="418" t="n">
        <f aca="false">(INDEX(CdP,2,i_P+1)-INDEX(CdP,2,i_P+0))/(INDEX(CdP,1,i_P+1)-INDEX(CdP,1,i_P+0))*(t-pas/2-T_ini-INDEX(CdP,1,i_P+0))+INDEX(CdP,2,i_P+0)</f>
        <v>0</v>
      </c>
      <c r="R360" s="419" t="n">
        <f aca="false">Poussee/(g*ISP)</f>
        <v>0</v>
      </c>
      <c r="S360" s="420" t="n">
        <f aca="false">S359-Débit*pas</f>
        <v>1.4843</v>
      </c>
      <c r="T360" s="418" t="n">
        <f aca="false">m*g</f>
        <v>14.560983</v>
      </c>
      <c r="U360" s="422" t="n">
        <f aca="false">IF(pos_xz&lt;L_rampe,Poids*COS(Beta),0)</f>
        <v>0</v>
      </c>
      <c r="V360" s="419" t="n">
        <f aca="false">Rho_moyen*(20000-Alt_rampe-pos_z)/(20000+Alt_rampe+pos_z)</f>
        <v>1.2255527016558</v>
      </c>
      <c r="W360" s="418" t="n">
        <f aca="false">1/2*Rho*Sref*Cx*vit_xz^2</f>
        <v>5.54267235992451</v>
      </c>
      <c r="X360" s="402"/>
      <c r="Y360" s="423" t="str">
        <f aca="false">IF(AND(pos_z&lt;=0,K359&gt;0),"Impact balistique","") &amp; IF(AND(H361&lt;0,vit_z&gt;=0),"Apogée","") &amp; IF(AND(Poussee=0,Q359&gt;0),"Fin de propulsion","") &amp; IF(AND(L361&gt;L_rampe,pos_xz&lt;=L_rampe),"Sortie de rampe","")</f>
        <v/>
      </c>
      <c r="Z360" s="424" t="str">
        <f aca="false">IF(ABS(t-T_para)&lt;pas/2,"Para","")</f>
        <v/>
      </c>
      <c r="AA360" s="425" t="str">
        <f aca="false">IF(ABS(t-T_satellite)&lt;pas/2,"Satellite","")</f>
        <v/>
      </c>
      <c r="AB360" s="413"/>
      <c r="AC360" s="421" t="e">
        <f aca="false">IF(ABS(t-ROUND(t,0))&lt;0.001,t,NA())</f>
        <v>#N/A</v>
      </c>
      <c r="AD360" s="426" t="e">
        <f aca="false">IF(ABS(t-ROUND(t,0))&lt;0.001,pos_x,NA())</f>
        <v>#N/A</v>
      </c>
      <c r="AE360" s="427" t="e">
        <f aca="false">IF(t&lt;T_para, pos_z, NA())</f>
        <v>#N/A</v>
      </c>
      <c r="AF360" s="413"/>
      <c r="AG360" s="419" t="n">
        <f aca="false">IF(AND(L359&lt;L_rampe,Poussee&lt;Poids*SIN(M359)),0,(-W359+Poussee)/m-Poids*SIN(M359)/m)</f>
        <v>5.97417344621089</v>
      </c>
      <c r="AH360" s="418" t="n">
        <f aca="false">IF(AND(L359&lt;L_rampe,Poussee&lt;Poids*SIN(M359)), g*SIN(M359), (-W359+Poussee)/m)</f>
        <v>-3.7341345912347</v>
      </c>
    </row>
    <row r="361" customFormat="false" ht="12" hidden="false" customHeight="false" outlineLevel="0" collapsed="false">
      <c r="A361" s="417" t="n">
        <f aca="false">IF(B360+0.01&lt;=T_ini+ROUNDUP(Temps_fin_propu,0), 0.01, IF(K360&gt;0, 0.1, 0.0001))</f>
        <v>0.0001</v>
      </c>
      <c r="B361" s="418" t="n">
        <f aca="false">B360+pas</f>
        <v>16.5012</v>
      </c>
      <c r="C361" s="402"/>
      <c r="D361" s="419" t="n">
        <f aca="false">IF(AND(L360&lt;L_rampe,Poussee&lt;Poids*SIN(M360)),0,(-W360+Poussee)/m*COS(M360)-U360/m*SIN(M360))</f>
        <v>-0.536274348976135</v>
      </c>
      <c r="E361" s="420" t="n">
        <f aca="false">IF(AND(L360&lt;L_rampe,Poussee&lt;Poids*SIN(M360)),0,(-W360+Poussee)/m*SIN(M360)+U360/m*COS(M360)-Poids/m)</f>
        <v>-6.11450870111531</v>
      </c>
      <c r="F361" s="418" t="n">
        <f aca="false">SQRT(acc_x^2+acc_z^2)</f>
        <v>6.13798068043429</v>
      </c>
      <c r="G361" s="419" t="n">
        <f aca="false">G360+acc_x*pas</f>
        <v>10.2865910718059</v>
      </c>
      <c r="H361" s="420" t="n">
        <f aca="false">H360+acc_z*pas</f>
        <v>-70.8863550135452</v>
      </c>
      <c r="I361" s="418" t="n">
        <f aca="false">SQRT(vit_x^2+vit_z^2)</f>
        <v>71.628829970794</v>
      </c>
      <c r="J361" s="419" t="n">
        <f aca="false">J360+0.5*(vit_x+G360)*pas*(K360&gt;=0)</f>
        <v>211.791153319536</v>
      </c>
      <c r="K361" s="420" t="n">
        <f aca="false">K360+0.5*(vit_z+H360)*pas</f>
        <v>-4.51792124632531</v>
      </c>
      <c r="L361" s="418" t="n">
        <f aca="false">SQRT(pos_x^2+pos_z^2)</f>
        <v>211.839335905321</v>
      </c>
      <c r="M361" s="419" t="n">
        <f aca="false">IF(AND(L360&gt;L_rampe,G361&gt;0),ATAN2(G361,H361),$M$4)</f>
        <v>-1.42668841257775</v>
      </c>
      <c r="N361" s="418" t="n">
        <f aca="false">DEGREES(Beta)</f>
        <v>-81.7432247209241</v>
      </c>
      <c r="O361" s="402"/>
      <c r="P361" s="421" t="n">
        <f aca="false">MATCH(t-pas/2-T_ini,CdP_t)</f>
        <v>23</v>
      </c>
      <c r="Q361" s="418" t="n">
        <f aca="false">(INDEX(CdP,2,i_P+1)-INDEX(CdP,2,i_P+0))/(INDEX(CdP,1,i_P+1)-INDEX(CdP,1,i_P+0))*(t-pas/2-T_ini-INDEX(CdP,1,i_P+0))+INDEX(CdP,2,i_P+0)</f>
        <v>0</v>
      </c>
      <c r="R361" s="419" t="n">
        <f aca="false">Poussee/(g*ISP)</f>
        <v>0</v>
      </c>
      <c r="S361" s="420" t="n">
        <f aca="false">S360-Débit*pas</f>
        <v>1.4843</v>
      </c>
      <c r="T361" s="418" t="n">
        <f aca="false">m*g</f>
        <v>14.560983</v>
      </c>
      <c r="U361" s="422" t="n">
        <f aca="false">IF(pos_xz&lt;L_rampe,Poids*COS(Beta),0)</f>
        <v>0</v>
      </c>
      <c r="V361" s="419" t="n">
        <f aca="false">Rho_moyen*(20000-Alt_rampe-pos_z)/(20000+Alt_rampe+pos_z)</f>
        <v>1.22555357040205</v>
      </c>
      <c r="W361" s="418" t="n">
        <f aca="false">1/2*Rho*Sref*Cx*vit_xz^2</f>
        <v>5.54276874605616</v>
      </c>
      <c r="X361" s="402"/>
      <c r="Y361" s="423" t="str">
        <f aca="false">IF(AND(pos_z&lt;=0,K360&gt;0),"Impact balistique","") &amp; IF(AND(H362&lt;0,vit_z&gt;=0),"Apogée","") &amp; IF(AND(Poussee=0,Q360&gt;0),"Fin de propulsion","") &amp; IF(AND(L362&gt;L_rampe,pos_xz&lt;=L_rampe),"Sortie de rampe","")</f>
        <v/>
      </c>
      <c r="Z361" s="424" t="str">
        <f aca="false">IF(ABS(t-T_para)&lt;pas/2,"Para","")</f>
        <v/>
      </c>
      <c r="AA361" s="425" t="str">
        <f aca="false">IF(ABS(t-T_satellite)&lt;pas/2,"Satellite","")</f>
        <v/>
      </c>
      <c r="AB361" s="413"/>
      <c r="AC361" s="421" t="e">
        <f aca="false">IF(ABS(t-ROUND(t,0))&lt;0.001,t,NA())</f>
        <v>#N/A</v>
      </c>
      <c r="AD361" s="426" t="e">
        <f aca="false">IF(ABS(t-ROUND(t,0))&lt;0.001,pos_x,NA())</f>
        <v>#N/A</v>
      </c>
      <c r="AE361" s="427" t="e">
        <f aca="false">IF(t&lt;T_para, pos_z, NA())</f>
        <v>#N/A</v>
      </c>
      <c r="AF361" s="413"/>
      <c r="AG361" s="419" t="n">
        <f aca="false">IF(AND(L360&lt;L_rampe,Poussee&lt;Poids*SIN(M360)),0,(-W360+Poussee)/m-Poids*SIN(M360)/m)</f>
        <v>5.97411128013172</v>
      </c>
      <c r="AH361" s="418" t="n">
        <f aca="false">IF(AND(L360&lt;L_rampe,Poussee&lt;Poids*SIN(M360)), g*SIN(M360), (-W360+Poussee)/m)</f>
        <v>-3.73419952834637</v>
      </c>
    </row>
    <row r="362" customFormat="false" ht="12" hidden="false" customHeight="false" outlineLevel="0" collapsed="false">
      <c r="A362" s="417" t="n">
        <f aca="false">IF(B361+0.01&lt;=T_ini+ROUNDUP(Temps_fin_propu,0), 0.01, IF(K361&gt;0, 0.1, 0.0001))</f>
        <v>0.0001</v>
      </c>
      <c r="B362" s="418" t="n">
        <f aca="false">B361+pas</f>
        <v>16.5013</v>
      </c>
      <c r="C362" s="402"/>
      <c r="D362" s="419" t="n">
        <f aca="false">IF(AND(L361&lt;L_rampe,Poussee&lt;Poids*SIN(M361)),0,(-W361+Poussee)/m*COS(M361)-U361/m*SIN(M361))</f>
        <v>-0.536276406101349</v>
      </c>
      <c r="E362" s="420" t="n">
        <f aca="false">IF(AND(L361&lt;L_rampe,Poussee&lt;Poids*SIN(M361)),0,(-W361+Poussee)/m*SIN(M361)+U361/m*COS(M361)-Poids/m)</f>
        <v>-6.11444338236784</v>
      </c>
      <c r="F362" s="418" t="n">
        <f aca="false">SQRT(acc_x^2+acc_z^2)</f>
        <v>6.13791579120493</v>
      </c>
      <c r="G362" s="419" t="n">
        <f aca="false">G361+acc_x*pas</f>
        <v>10.2865374441653</v>
      </c>
      <c r="H362" s="420" t="n">
        <f aca="false">H361+acc_z*pas</f>
        <v>-70.8869664578834</v>
      </c>
      <c r="I362" s="418" t="n">
        <f aca="false">SQRT(vit_x^2+vit_z^2)</f>
        <v>71.6294273758439</v>
      </c>
      <c r="J362" s="419" t="n">
        <f aca="false">J361+0.5*(vit_x+G361)*pas*(K361&gt;=0)</f>
        <v>211.791153319536</v>
      </c>
      <c r="K362" s="420" t="n">
        <f aca="false">K361+0.5*(vit_z+H361)*pas</f>
        <v>-4.52500991239888</v>
      </c>
      <c r="L362" s="418" t="n">
        <f aca="false">SQRT(pos_x^2+pos_z^2)</f>
        <v>211.839487204644</v>
      </c>
      <c r="M362" s="419" t="n">
        <f aca="false">IF(AND(L361&gt;L_rampe,G362&gt;0),ATAN2(G362,H362),$M$4)</f>
        <v>-1.42669037938204</v>
      </c>
      <c r="N362" s="418" t="n">
        <f aca="false">DEGREES(Beta)</f>
        <v>-81.7433374105089</v>
      </c>
      <c r="O362" s="402"/>
      <c r="P362" s="421" t="n">
        <f aca="false">MATCH(t-pas/2-T_ini,CdP_t)</f>
        <v>23</v>
      </c>
      <c r="Q362" s="418" t="n">
        <f aca="false">(INDEX(CdP,2,i_P+1)-INDEX(CdP,2,i_P+0))/(INDEX(CdP,1,i_P+1)-INDEX(CdP,1,i_P+0))*(t-pas/2-T_ini-INDEX(CdP,1,i_P+0))+INDEX(CdP,2,i_P+0)</f>
        <v>0</v>
      </c>
      <c r="R362" s="419" t="n">
        <f aca="false">Poussee/(g*ISP)</f>
        <v>0</v>
      </c>
      <c r="S362" s="420" t="n">
        <f aca="false">S361-Débit*pas</f>
        <v>1.4843</v>
      </c>
      <c r="T362" s="418" t="n">
        <f aca="false">m*g</f>
        <v>14.560983</v>
      </c>
      <c r="U362" s="422" t="n">
        <f aca="false">IF(pos_xz&lt;L_rampe,Poids*COS(Beta),0)</f>
        <v>0</v>
      </c>
      <c r="V362" s="419" t="n">
        <f aca="false">Rho_moyen*(20000-Alt_rampe-pos_z)/(20000+Alt_rampe+pos_z)</f>
        <v>1.2255544391564</v>
      </c>
      <c r="W362" s="418" t="n">
        <f aca="false">1/2*Rho*Sref*Cx*vit_xz^2</f>
        <v>5.54286513216457</v>
      </c>
      <c r="X362" s="402"/>
      <c r="Y362" s="423" t="str">
        <f aca="false">IF(AND(pos_z&lt;=0,K361&gt;0),"Impact balistique","") &amp; IF(AND(H363&lt;0,vit_z&gt;=0),"Apogée","") &amp; IF(AND(Poussee=0,Q361&gt;0),"Fin de propulsion","") &amp; IF(AND(L363&gt;L_rampe,pos_xz&lt;=L_rampe),"Sortie de rampe","")</f>
        <v/>
      </c>
      <c r="Z362" s="424" t="str">
        <f aca="false">IF(ABS(t-T_para)&lt;pas/2,"Para","")</f>
        <v/>
      </c>
      <c r="AA362" s="425" t="str">
        <f aca="false">IF(ABS(t-T_satellite)&lt;pas/2,"Satellite","")</f>
        <v/>
      </c>
      <c r="AB362" s="413"/>
      <c r="AC362" s="421" t="e">
        <f aca="false">IF(ABS(t-ROUND(t,0))&lt;0.001,t,NA())</f>
        <v>#N/A</v>
      </c>
      <c r="AD362" s="426" t="e">
        <f aca="false">IF(ABS(t-ROUND(t,0))&lt;0.001,pos_x,NA())</f>
        <v>#N/A</v>
      </c>
      <c r="AE362" s="427" t="e">
        <f aca="false">IF(t&lt;T_para, pos_z, NA())</f>
        <v>#N/A</v>
      </c>
      <c r="AF362" s="413"/>
      <c r="AG362" s="419" t="n">
        <f aca="false">IF(AND(L361&lt;L_rampe,Poussee&lt;Poids*SIN(M361)),0,(-W361+Poussee)/m-Poids*SIN(M361)/m)</f>
        <v>5.97404911396995</v>
      </c>
      <c r="AH362" s="418" t="n">
        <f aca="false">IF(AND(L361&lt;L_rampe,Poussee&lt;Poids*SIN(M361)), g*SIN(M361), (-W361+Poussee)/m)</f>
        <v>-3.73426446544241</v>
      </c>
    </row>
    <row r="363" customFormat="false" ht="12" hidden="false" customHeight="false" outlineLevel="0" collapsed="false">
      <c r="A363" s="417" t="n">
        <f aca="false">IF(B362+0.01&lt;=T_ini+ROUNDUP(Temps_fin_propu,0), 0.01, IF(K362&gt;0, 0.1, 0.0001))</f>
        <v>0.0001</v>
      </c>
      <c r="B363" s="418" t="n">
        <f aca="false">B362+pas</f>
        <v>16.5014</v>
      </c>
      <c r="C363" s="402"/>
      <c r="D363" s="419" t="n">
        <f aca="false">IF(AND(L362&lt;L_rampe,Poussee&lt;Poids*SIN(M362)),0,(-W362+Poussee)/m*COS(M362)-U362/m*SIN(M362))</f>
        <v>-0.536278463128586</v>
      </c>
      <c r="E363" s="420" t="n">
        <f aca="false">IF(AND(L362&lt;L_rampe,Poussee&lt;Poids*SIN(M362)),0,(-W362+Poussee)/m*SIN(M362)+U362/m*COS(M362)-Poids/m)</f>
        <v>-6.11437806363656</v>
      </c>
      <c r="F363" s="418" t="n">
        <f aca="false">SQRT(acc_x^2+acc_z^2)</f>
        <v>6.13785090199294</v>
      </c>
      <c r="G363" s="419" t="n">
        <f aca="false">G362+acc_x*pas</f>
        <v>10.286483816319</v>
      </c>
      <c r="H363" s="420" t="n">
        <f aca="false">H362+acc_z*pas</f>
        <v>-70.8875778956898</v>
      </c>
      <c r="I363" s="418" t="n">
        <f aca="false">SQRT(vit_x^2+vit_z^2)</f>
        <v>71.6300247746773</v>
      </c>
      <c r="J363" s="419" t="n">
        <f aca="false">J362+0.5*(vit_x+G362)*pas*(K362&gt;=0)</f>
        <v>211.791153319536</v>
      </c>
      <c r="K363" s="420" t="n">
        <f aca="false">K362+0.5*(vit_z+H362)*pas</f>
        <v>-4.53209863961656</v>
      </c>
      <c r="L363" s="418" t="n">
        <f aca="false">SQRT(pos_x^2+pos_z^2)</f>
        <v>211.839638742372</v>
      </c>
      <c r="M363" s="419" t="n">
        <f aca="false">IF(AND(L362&gt;L_rampe,G363&gt;0),ATAN2(G363,H363),$M$4)</f>
        <v>-1.42669234614326</v>
      </c>
      <c r="N363" s="418" t="n">
        <f aca="false">DEGREES(Beta)</f>
        <v>-81.7434500976265</v>
      </c>
      <c r="O363" s="402"/>
      <c r="P363" s="421" t="n">
        <f aca="false">MATCH(t-pas/2-T_ini,CdP_t)</f>
        <v>23</v>
      </c>
      <c r="Q363" s="418" t="n">
        <f aca="false">(INDEX(CdP,2,i_P+1)-INDEX(CdP,2,i_P+0))/(INDEX(CdP,1,i_P+1)-INDEX(CdP,1,i_P+0))*(t-pas/2-T_ini-INDEX(CdP,1,i_P+0))+INDEX(CdP,2,i_P+0)</f>
        <v>0</v>
      </c>
      <c r="R363" s="419" t="n">
        <f aca="false">Poussee/(g*ISP)</f>
        <v>0</v>
      </c>
      <c r="S363" s="420" t="n">
        <f aca="false">S362-Débit*pas</f>
        <v>1.4843</v>
      </c>
      <c r="T363" s="418" t="n">
        <f aca="false">m*g</f>
        <v>14.560983</v>
      </c>
      <c r="U363" s="422" t="n">
        <f aca="false">IF(pos_xz&lt;L_rampe,Poids*COS(Beta),0)</f>
        <v>0</v>
      </c>
      <c r="V363" s="419" t="n">
        <f aca="false">Rho_moyen*(20000-Alt_rampe-pos_z)/(20000+Alt_rampe+pos_z)</f>
        <v>1.22555530791887</v>
      </c>
      <c r="W363" s="418" t="n">
        <f aca="false">1/2*Rho*Sref*Cx*vit_xz^2</f>
        <v>5.54296151824974</v>
      </c>
      <c r="X363" s="402"/>
      <c r="Y363" s="423" t="str">
        <f aca="false">IF(AND(pos_z&lt;=0,K362&gt;0),"Impact balistique","") &amp; IF(AND(H364&lt;0,vit_z&gt;=0),"Apogée","") &amp; IF(AND(Poussee=0,Q362&gt;0),"Fin de propulsion","") &amp; IF(AND(L364&gt;L_rampe,pos_xz&lt;=L_rampe),"Sortie de rampe","")</f>
        <v/>
      </c>
      <c r="Z363" s="424" t="str">
        <f aca="false">IF(ABS(t-T_para)&lt;pas/2,"Para","")</f>
        <v/>
      </c>
      <c r="AA363" s="425" t="str">
        <f aca="false">IF(ABS(t-T_satellite)&lt;pas/2,"Satellite","")</f>
        <v/>
      </c>
      <c r="AB363" s="413"/>
      <c r="AC363" s="421" t="e">
        <f aca="false">IF(ABS(t-ROUND(t,0))&lt;0.001,t,NA())</f>
        <v>#N/A</v>
      </c>
      <c r="AD363" s="426" t="e">
        <f aca="false">IF(ABS(t-ROUND(t,0))&lt;0.001,pos_x,NA())</f>
        <v>#N/A</v>
      </c>
      <c r="AE363" s="427" t="e">
        <f aca="false">IF(t&lt;T_para, pos_z, NA())</f>
        <v>#N/A</v>
      </c>
      <c r="AF363" s="413"/>
      <c r="AG363" s="419" t="n">
        <f aca="false">IF(AND(L362&lt;L_rampe,Poussee&lt;Poids*SIN(M362)),0,(-W362+Poussee)/m-Poids*SIN(M362)/m)</f>
        <v>5.97398694772561</v>
      </c>
      <c r="AH363" s="418" t="n">
        <f aca="false">IF(AND(L362&lt;L_rampe,Poussee&lt;Poids*SIN(M362)), g*SIN(M362), (-W362+Poussee)/m)</f>
        <v>-3.73432940252279</v>
      </c>
    </row>
    <row r="364" customFormat="false" ht="12" hidden="false" customHeight="false" outlineLevel="0" collapsed="false">
      <c r="A364" s="417" t="n">
        <f aca="false">IF(B363+0.01&lt;=T_ini+ROUNDUP(Temps_fin_propu,0), 0.01, IF(K363&gt;0, 0.1, 0.0001))</f>
        <v>0.0001</v>
      </c>
      <c r="B364" s="418" t="n">
        <f aca="false">B363+pas</f>
        <v>16.5015</v>
      </c>
      <c r="C364" s="402"/>
      <c r="D364" s="419" t="n">
        <f aca="false">IF(AND(L363&lt;L_rampe,Poussee&lt;Poids*SIN(M363)),0,(-W363+Poussee)/m*COS(M363)-U363/m*SIN(M363))</f>
        <v>-0.536280520057846</v>
      </c>
      <c r="E364" s="420" t="n">
        <f aca="false">IF(AND(L363&lt;L_rampe,Poussee&lt;Poids*SIN(M363)),0,(-W363+Poussee)/m*SIN(M363)+U363/m*COS(M363)-Poids/m)</f>
        <v>-6.11431274492149</v>
      </c>
      <c r="F364" s="418" t="n">
        <f aca="false">SQRT(acc_x^2+acc_z^2)</f>
        <v>6.13778601279833</v>
      </c>
      <c r="G364" s="419" t="n">
        <f aca="false">G363+acc_x*pas</f>
        <v>10.286430188267</v>
      </c>
      <c r="H364" s="420" t="n">
        <f aca="false">H363+acc_z*pas</f>
        <v>-70.8881893269643</v>
      </c>
      <c r="I364" s="418" t="n">
        <f aca="false">SQRT(vit_x^2+vit_z^2)</f>
        <v>71.6306221672939</v>
      </c>
      <c r="J364" s="419" t="n">
        <f aca="false">J363+0.5*(vit_x+G363)*pas*(K363&gt;=0)</f>
        <v>211.791153319536</v>
      </c>
      <c r="K364" s="420" t="n">
        <f aca="false">K363+0.5*(vit_z+H363)*pas</f>
        <v>-4.53918742797769</v>
      </c>
      <c r="L364" s="418" t="n">
        <f aca="false">SQRT(pos_x^2+pos_z^2)</f>
        <v>211.839790518509</v>
      </c>
      <c r="M364" s="419" t="n">
        <f aca="false">IF(AND(L363&gt;L_rampe,G364&gt;0),ATAN2(G364,H364),$M$4)</f>
        <v>-1.42669431286143</v>
      </c>
      <c r="N364" s="418" t="n">
        <f aca="false">DEGREES(Beta)</f>
        <v>-81.743562782277</v>
      </c>
      <c r="O364" s="402"/>
      <c r="P364" s="421" t="n">
        <f aca="false">MATCH(t-pas/2-T_ini,CdP_t)</f>
        <v>23</v>
      </c>
      <c r="Q364" s="418" t="n">
        <f aca="false">(INDEX(CdP,2,i_P+1)-INDEX(CdP,2,i_P+0))/(INDEX(CdP,1,i_P+1)-INDEX(CdP,1,i_P+0))*(t-pas/2-T_ini-INDEX(CdP,1,i_P+0))+INDEX(CdP,2,i_P+0)</f>
        <v>0</v>
      </c>
      <c r="R364" s="419" t="n">
        <f aca="false">Poussee/(g*ISP)</f>
        <v>0</v>
      </c>
      <c r="S364" s="420" t="n">
        <f aca="false">S363-Débit*pas</f>
        <v>1.4843</v>
      </c>
      <c r="T364" s="418" t="n">
        <f aca="false">m*g</f>
        <v>14.560983</v>
      </c>
      <c r="U364" s="422" t="n">
        <f aca="false">IF(pos_xz&lt;L_rampe,Poids*COS(Beta),0)</f>
        <v>0</v>
      </c>
      <c r="V364" s="419" t="n">
        <f aca="false">Rho_moyen*(20000-Alt_rampe-pos_z)/(20000+Alt_rampe+pos_z)</f>
        <v>1.22555617668944</v>
      </c>
      <c r="W364" s="418" t="n">
        <f aca="false">1/2*Rho*Sref*Cx*vit_xz^2</f>
        <v>5.54305790431163</v>
      </c>
      <c r="X364" s="402"/>
      <c r="Y364" s="423" t="str">
        <f aca="false">IF(AND(pos_z&lt;=0,K363&gt;0),"Impact balistique","") &amp; IF(AND(H365&lt;0,vit_z&gt;=0),"Apogée","") &amp; IF(AND(Poussee=0,Q363&gt;0),"Fin de propulsion","") &amp; IF(AND(L365&gt;L_rampe,pos_xz&lt;=L_rampe),"Sortie de rampe","")</f>
        <v/>
      </c>
      <c r="Z364" s="424" t="str">
        <f aca="false">IF(ABS(t-T_para)&lt;pas/2,"Para","")</f>
        <v/>
      </c>
      <c r="AA364" s="425" t="str">
        <f aca="false">IF(ABS(t-T_satellite)&lt;pas/2,"Satellite","")</f>
        <v/>
      </c>
      <c r="AB364" s="413"/>
      <c r="AC364" s="421" t="e">
        <f aca="false">IF(ABS(t-ROUND(t,0))&lt;0.001,t,NA())</f>
        <v>#N/A</v>
      </c>
      <c r="AD364" s="426" t="e">
        <f aca="false">IF(ABS(t-ROUND(t,0))&lt;0.001,pos_x,NA())</f>
        <v>#N/A</v>
      </c>
      <c r="AE364" s="427" t="e">
        <f aca="false">IF(t&lt;T_para, pos_z, NA())</f>
        <v>#N/A</v>
      </c>
      <c r="AF364" s="413"/>
      <c r="AG364" s="419" t="n">
        <f aca="false">IF(AND(L363&lt;L_rampe,Poussee&lt;Poids*SIN(M363)),0,(-W363+Poussee)/m-Poids*SIN(M363)/m)</f>
        <v>5.97392478139872</v>
      </c>
      <c r="AH364" s="418" t="n">
        <f aca="false">IF(AND(L363&lt;L_rampe,Poussee&lt;Poids*SIN(M363)), g*SIN(M363), (-W363+Poussee)/m)</f>
        <v>-3.73439433958752</v>
      </c>
    </row>
    <row r="365" customFormat="false" ht="12" hidden="false" customHeight="false" outlineLevel="0" collapsed="false">
      <c r="A365" s="417" t="n">
        <f aca="false">IF(B364+0.01&lt;=T_ini+ROUNDUP(Temps_fin_propu,0), 0.01, IF(K364&gt;0, 0.1, 0.0001))</f>
        <v>0.0001</v>
      </c>
      <c r="B365" s="418" t="n">
        <f aca="false">B364+pas</f>
        <v>16.5016</v>
      </c>
      <c r="C365" s="402"/>
      <c r="D365" s="419" t="n">
        <f aca="false">IF(AND(L364&lt;L_rampe,Poussee&lt;Poids*SIN(M364)),0,(-W364+Poussee)/m*COS(M364)-U364/m*SIN(M364))</f>
        <v>-0.536282576889129</v>
      </c>
      <c r="E365" s="420" t="n">
        <f aca="false">IF(AND(L364&lt;L_rampe,Poussee&lt;Poids*SIN(M364)),0,(-W364+Poussee)/m*SIN(M364)+U364/m*COS(M364)-Poids/m)</f>
        <v>-6.11424742622264</v>
      </c>
      <c r="F365" s="418" t="n">
        <f aca="false">SQRT(acc_x^2+acc_z^2)</f>
        <v>6.13772112362113</v>
      </c>
      <c r="G365" s="419" t="n">
        <f aca="false">G364+acc_x*pas</f>
        <v>10.2863765600093</v>
      </c>
      <c r="H365" s="420" t="n">
        <f aca="false">H364+acc_z*pas</f>
        <v>-70.8888007517069</v>
      </c>
      <c r="I365" s="418" t="n">
        <f aca="false">SQRT(vit_x^2+vit_z^2)</f>
        <v>71.6312195536939</v>
      </c>
      <c r="J365" s="419" t="n">
        <f aca="false">J364+0.5*(vit_x+G364)*pas*(K364&gt;=0)</f>
        <v>211.791153319536</v>
      </c>
      <c r="K365" s="420" t="n">
        <f aca="false">K364+0.5*(vit_z+H364)*pas</f>
        <v>-4.54627627748162</v>
      </c>
      <c r="L365" s="418" t="n">
        <f aca="false">SQRT(pos_x^2+pos_z^2)</f>
        <v>211.839942533061</v>
      </c>
      <c r="M365" s="419" t="n">
        <f aca="false">IF(AND(L364&gt;L_rampe,G365&gt;0),ATAN2(G365,H365),$M$4)</f>
        <v>-1.42669627953654</v>
      </c>
      <c r="N365" s="418" t="n">
        <f aca="false">DEGREES(Beta)</f>
        <v>-81.7436754644606</v>
      </c>
      <c r="O365" s="402"/>
      <c r="P365" s="421" t="n">
        <f aca="false">MATCH(t-pas/2-T_ini,CdP_t)</f>
        <v>23</v>
      </c>
      <c r="Q365" s="418" t="n">
        <f aca="false">(INDEX(CdP,2,i_P+1)-INDEX(CdP,2,i_P+0))/(INDEX(CdP,1,i_P+1)-INDEX(CdP,1,i_P+0))*(t-pas/2-T_ini-INDEX(CdP,1,i_P+0))+INDEX(CdP,2,i_P+0)</f>
        <v>0</v>
      </c>
      <c r="R365" s="419" t="n">
        <f aca="false">Poussee/(g*ISP)</f>
        <v>0</v>
      </c>
      <c r="S365" s="420" t="n">
        <f aca="false">S364-Débit*pas</f>
        <v>1.4843</v>
      </c>
      <c r="T365" s="418" t="n">
        <f aca="false">m*g</f>
        <v>14.560983</v>
      </c>
      <c r="U365" s="422" t="n">
        <f aca="false">IF(pos_xz&lt;L_rampe,Poids*COS(Beta),0)</f>
        <v>0</v>
      </c>
      <c r="V365" s="419" t="n">
        <f aca="false">Rho_moyen*(20000-Alt_rampe-pos_z)/(20000+Alt_rampe+pos_z)</f>
        <v>1.22555704546812</v>
      </c>
      <c r="W365" s="418" t="n">
        <f aca="false">1/2*Rho*Sref*Cx*vit_xz^2</f>
        <v>5.54315429035021</v>
      </c>
      <c r="X365" s="402"/>
      <c r="Y365" s="423" t="str">
        <f aca="false">IF(AND(pos_z&lt;=0,K364&gt;0),"Impact balistique","") &amp; IF(AND(H366&lt;0,vit_z&gt;=0),"Apogée","") &amp; IF(AND(Poussee=0,Q364&gt;0),"Fin de propulsion","") &amp; IF(AND(L366&gt;L_rampe,pos_xz&lt;=L_rampe),"Sortie de rampe","")</f>
        <v/>
      </c>
      <c r="Z365" s="424" t="str">
        <f aca="false">IF(ABS(t-T_para)&lt;pas/2,"Para","")</f>
        <v/>
      </c>
      <c r="AA365" s="425" t="str">
        <f aca="false">IF(ABS(t-T_satellite)&lt;pas/2,"Satellite","")</f>
        <v/>
      </c>
      <c r="AB365" s="413"/>
      <c r="AC365" s="421" t="e">
        <f aca="false">IF(ABS(t-ROUND(t,0))&lt;0.001,t,NA())</f>
        <v>#N/A</v>
      </c>
      <c r="AD365" s="426" t="e">
        <f aca="false">IF(ABS(t-ROUND(t,0))&lt;0.001,pos_x,NA())</f>
        <v>#N/A</v>
      </c>
      <c r="AE365" s="427" t="e">
        <f aca="false">IF(t&lt;T_para, pos_z, NA())</f>
        <v>#N/A</v>
      </c>
      <c r="AF365" s="413"/>
      <c r="AG365" s="419" t="n">
        <f aca="false">IF(AND(L364&lt;L_rampe,Poussee&lt;Poids*SIN(M364)),0,(-W364+Poussee)/m-Poids*SIN(M364)/m)</f>
        <v>5.9738626149893</v>
      </c>
      <c r="AH365" s="418" t="n">
        <f aca="false">IF(AND(L364&lt;L_rampe,Poussee&lt;Poids*SIN(M364)), g*SIN(M364), (-W364+Poussee)/m)</f>
        <v>-3.73445927663655</v>
      </c>
    </row>
    <row r="366" customFormat="false" ht="12" hidden="false" customHeight="false" outlineLevel="0" collapsed="false">
      <c r="A366" s="417" t="n">
        <f aca="false">IF(B365+0.01&lt;=T_ini+ROUNDUP(Temps_fin_propu,0), 0.01, IF(K365&gt;0, 0.1, 0.0001))</f>
        <v>0.0001</v>
      </c>
      <c r="B366" s="418" t="n">
        <f aca="false">B365+pas</f>
        <v>16.5017</v>
      </c>
      <c r="C366" s="402"/>
      <c r="D366" s="419" t="n">
        <f aca="false">IF(AND(L365&lt;L_rampe,Poussee&lt;Poids*SIN(M365)),0,(-W365+Poussee)/m*COS(M365)-U365/m*SIN(M365))</f>
        <v>-0.536284633622438</v>
      </c>
      <c r="E366" s="420" t="n">
        <f aca="false">IF(AND(L365&lt;L_rampe,Poussee&lt;Poids*SIN(M365)),0,(-W365+Poussee)/m*SIN(M365)+U365/m*COS(M365)-Poids/m)</f>
        <v>-6.11418210754004</v>
      </c>
      <c r="F366" s="418" t="n">
        <f aca="false">SQRT(acc_x^2+acc_z^2)</f>
        <v>6.13765623446136</v>
      </c>
      <c r="G366" s="419" t="n">
        <f aca="false">G365+acc_x*pas</f>
        <v>10.2863229315459</v>
      </c>
      <c r="H366" s="420" t="n">
        <f aca="false">H365+acc_z*pas</f>
        <v>-70.8894121699176</v>
      </c>
      <c r="I366" s="418" t="n">
        <f aca="false">SQRT(vit_x^2+vit_z^2)</f>
        <v>71.6318169338773</v>
      </c>
      <c r="J366" s="419" t="n">
        <f aca="false">J365+0.5*(vit_x+G365)*pas*(K365&gt;=0)</f>
        <v>211.791153319536</v>
      </c>
      <c r="K366" s="420" t="n">
        <f aca="false">K365+0.5*(vit_z+H365)*pas</f>
        <v>-4.55336518812771</v>
      </c>
      <c r="L366" s="418" t="n">
        <f aca="false">SQRT(pos_x^2+pos_z^2)</f>
        <v>211.840094786034</v>
      </c>
      <c r="M366" s="419" t="n">
        <f aca="false">IF(AND(L365&gt;L_rampe,G366&gt;0),ATAN2(G366,H366),$M$4)</f>
        <v>-1.4266982461686</v>
      </c>
      <c r="N366" s="418" t="n">
        <f aca="false">DEGREES(Beta)</f>
        <v>-81.7437881441772</v>
      </c>
      <c r="O366" s="402"/>
      <c r="P366" s="421" t="n">
        <f aca="false">MATCH(t-pas/2-T_ini,CdP_t)</f>
        <v>23</v>
      </c>
      <c r="Q366" s="418" t="n">
        <f aca="false">(INDEX(CdP,2,i_P+1)-INDEX(CdP,2,i_P+0))/(INDEX(CdP,1,i_P+1)-INDEX(CdP,1,i_P+0))*(t-pas/2-T_ini-INDEX(CdP,1,i_P+0))+INDEX(CdP,2,i_P+0)</f>
        <v>0</v>
      </c>
      <c r="R366" s="419" t="n">
        <f aca="false">Poussee/(g*ISP)</f>
        <v>0</v>
      </c>
      <c r="S366" s="420" t="n">
        <f aca="false">S365-Débit*pas</f>
        <v>1.4843</v>
      </c>
      <c r="T366" s="418" t="n">
        <f aca="false">m*g</f>
        <v>14.560983</v>
      </c>
      <c r="U366" s="422" t="n">
        <f aca="false">IF(pos_xz&lt;L_rampe,Poids*COS(Beta),0)</f>
        <v>0</v>
      </c>
      <c r="V366" s="419" t="n">
        <f aca="false">Rho_moyen*(20000-Alt_rampe-pos_z)/(20000+Alt_rampe+pos_z)</f>
        <v>1.22555791425491</v>
      </c>
      <c r="W366" s="418" t="n">
        <f aca="false">1/2*Rho*Sref*Cx*vit_xz^2</f>
        <v>5.54325067636547</v>
      </c>
      <c r="X366" s="402"/>
      <c r="Y366" s="423" t="str">
        <f aca="false">IF(AND(pos_z&lt;=0,K365&gt;0),"Impact balistique","") &amp; IF(AND(H367&lt;0,vit_z&gt;=0),"Apogée","") &amp; IF(AND(Poussee=0,Q365&gt;0),"Fin de propulsion","") &amp; IF(AND(L367&gt;L_rampe,pos_xz&lt;=L_rampe),"Sortie de rampe","")</f>
        <v/>
      </c>
      <c r="Z366" s="424" t="str">
        <f aca="false">IF(ABS(t-T_para)&lt;pas/2,"Para","")</f>
        <v/>
      </c>
      <c r="AA366" s="425" t="str">
        <f aca="false">IF(ABS(t-T_satellite)&lt;pas/2,"Satellite","")</f>
        <v/>
      </c>
      <c r="AB366" s="413"/>
      <c r="AC366" s="421" t="e">
        <f aca="false">IF(ABS(t-ROUND(t,0))&lt;0.001,t,NA())</f>
        <v>#N/A</v>
      </c>
      <c r="AD366" s="426" t="e">
        <f aca="false">IF(ABS(t-ROUND(t,0))&lt;0.001,pos_x,NA())</f>
        <v>#N/A</v>
      </c>
      <c r="AE366" s="427" t="e">
        <f aca="false">IF(t&lt;T_para, pos_z, NA())</f>
        <v>#N/A</v>
      </c>
      <c r="AF366" s="413"/>
      <c r="AG366" s="419" t="n">
        <f aca="false">IF(AND(L365&lt;L_rampe,Poussee&lt;Poids*SIN(M365)),0,(-W365+Poussee)/m-Poids*SIN(M365)/m)</f>
        <v>5.97380044849737</v>
      </c>
      <c r="AH366" s="418" t="n">
        <f aca="false">IF(AND(L365&lt;L_rampe,Poussee&lt;Poids*SIN(M365)), g*SIN(M365), (-W365+Poussee)/m)</f>
        <v>-3.73452421366989</v>
      </c>
    </row>
    <row r="367" customFormat="false" ht="12" hidden="false" customHeight="false" outlineLevel="0" collapsed="false">
      <c r="A367" s="417" t="n">
        <f aca="false">IF(B366+0.01&lt;=T_ini+ROUNDUP(Temps_fin_propu,0), 0.01, IF(K366&gt;0, 0.1, 0.0001))</f>
        <v>0.0001</v>
      </c>
      <c r="B367" s="418" t="n">
        <f aca="false">B366+pas</f>
        <v>16.5018</v>
      </c>
      <c r="C367" s="402"/>
      <c r="D367" s="419" t="n">
        <f aca="false">IF(AND(L366&lt;L_rampe,Poussee&lt;Poids*SIN(M366)),0,(-W366+Poussee)/m*COS(M366)-U366/m*SIN(M366))</f>
        <v>-0.536286690257772</v>
      </c>
      <c r="E367" s="420" t="n">
        <f aca="false">IF(AND(L366&lt;L_rampe,Poussee&lt;Poids*SIN(M366)),0,(-W366+Poussee)/m*SIN(M366)+U366/m*COS(M366)-Poids/m)</f>
        <v>-6.1141167888737</v>
      </c>
      <c r="F367" s="418" t="n">
        <f aca="false">SQRT(acc_x^2+acc_z^2)</f>
        <v>6.13759134531901</v>
      </c>
      <c r="G367" s="419" t="n">
        <f aca="false">G366+acc_x*pas</f>
        <v>10.2862693028769</v>
      </c>
      <c r="H367" s="420" t="n">
        <f aca="false">H366+acc_z*pas</f>
        <v>-70.8900235815965</v>
      </c>
      <c r="I367" s="418" t="n">
        <f aca="false">SQRT(vit_x^2+vit_z^2)</f>
        <v>71.632414307844</v>
      </c>
      <c r="J367" s="419" t="n">
        <f aca="false">J366+0.5*(vit_x+G366)*pas*(K366&gt;=0)</f>
        <v>211.791153319536</v>
      </c>
      <c r="K367" s="420" t="n">
        <f aca="false">K366+0.5*(vit_z+H366)*pas</f>
        <v>-4.56045415991528</v>
      </c>
      <c r="L367" s="418" t="n">
        <f aca="false">SQRT(pos_x^2+pos_z^2)</f>
        <v>211.840247277433</v>
      </c>
      <c r="M367" s="419" t="n">
        <f aca="false">IF(AND(L366&gt;L_rampe,G367&gt;0),ATAN2(G367,H367),$M$4)</f>
        <v>-1.4267002127576</v>
      </c>
      <c r="N367" s="418" t="n">
        <f aca="false">DEGREES(Beta)</f>
        <v>-81.743900821427</v>
      </c>
      <c r="O367" s="402"/>
      <c r="P367" s="421" t="n">
        <f aca="false">MATCH(t-pas/2-T_ini,CdP_t)</f>
        <v>23</v>
      </c>
      <c r="Q367" s="418" t="n">
        <f aca="false">(INDEX(CdP,2,i_P+1)-INDEX(CdP,2,i_P+0))/(INDEX(CdP,1,i_P+1)-INDEX(CdP,1,i_P+0))*(t-pas/2-T_ini-INDEX(CdP,1,i_P+0))+INDEX(CdP,2,i_P+0)</f>
        <v>0</v>
      </c>
      <c r="R367" s="419" t="n">
        <f aca="false">Poussee/(g*ISP)</f>
        <v>0</v>
      </c>
      <c r="S367" s="420" t="n">
        <f aca="false">S366-Débit*pas</f>
        <v>1.4843</v>
      </c>
      <c r="T367" s="418" t="n">
        <f aca="false">m*g</f>
        <v>14.560983</v>
      </c>
      <c r="U367" s="422" t="n">
        <f aca="false">IF(pos_xz&lt;L_rampe,Poids*COS(Beta),0)</f>
        <v>0</v>
      </c>
      <c r="V367" s="419" t="n">
        <f aca="false">Rho_moyen*(20000-Alt_rampe-pos_z)/(20000+Alt_rampe+pos_z)</f>
        <v>1.22555878304981</v>
      </c>
      <c r="W367" s="418" t="n">
        <f aca="false">1/2*Rho*Sref*Cx*vit_xz^2</f>
        <v>5.54334706235739</v>
      </c>
      <c r="X367" s="402"/>
      <c r="Y367" s="423" t="str">
        <f aca="false">IF(AND(pos_z&lt;=0,K366&gt;0),"Impact balistique","") &amp; IF(AND(H368&lt;0,vit_z&gt;=0),"Apogée","") &amp; IF(AND(Poussee=0,Q366&gt;0),"Fin de propulsion","") &amp; IF(AND(L368&gt;L_rampe,pos_xz&lt;=L_rampe),"Sortie de rampe","")</f>
        <v/>
      </c>
      <c r="Z367" s="424" t="str">
        <f aca="false">IF(ABS(t-T_para)&lt;pas/2,"Para","")</f>
        <v/>
      </c>
      <c r="AA367" s="425" t="str">
        <f aca="false">IF(ABS(t-T_satellite)&lt;pas/2,"Satellite","")</f>
        <v/>
      </c>
      <c r="AB367" s="413"/>
      <c r="AC367" s="421" t="e">
        <f aca="false">IF(ABS(t-ROUND(t,0))&lt;0.001,t,NA())</f>
        <v>#N/A</v>
      </c>
      <c r="AD367" s="426" t="e">
        <f aca="false">IF(ABS(t-ROUND(t,0))&lt;0.001,pos_x,NA())</f>
        <v>#N/A</v>
      </c>
      <c r="AE367" s="427" t="e">
        <f aca="false">IF(t&lt;T_para, pos_z, NA())</f>
        <v>#N/A</v>
      </c>
      <c r="AF367" s="413"/>
      <c r="AG367" s="419" t="n">
        <f aca="false">IF(AND(L366&lt;L_rampe,Poussee&lt;Poids*SIN(M366)),0,(-W366+Poussee)/m-Poids*SIN(M366)/m)</f>
        <v>5.97373828192295</v>
      </c>
      <c r="AH367" s="418" t="n">
        <f aca="false">IF(AND(L366&lt;L_rampe,Poussee&lt;Poids*SIN(M366)), g*SIN(M366), (-W366+Poussee)/m)</f>
        <v>-3.73458915068752</v>
      </c>
    </row>
    <row r="368" customFormat="false" ht="12" hidden="false" customHeight="false" outlineLevel="0" collapsed="false">
      <c r="A368" s="417" t="n">
        <f aca="false">IF(B367+0.01&lt;=T_ini+ROUNDUP(Temps_fin_propu,0), 0.01, IF(K367&gt;0, 0.1, 0.0001))</f>
        <v>0.0001</v>
      </c>
      <c r="B368" s="418" t="n">
        <f aca="false">B367+pas</f>
        <v>16.5019</v>
      </c>
      <c r="C368" s="402"/>
      <c r="D368" s="419" t="n">
        <f aca="false">IF(AND(L367&lt;L_rampe,Poussee&lt;Poids*SIN(M367)),0,(-W367+Poussee)/m*COS(M367)-U367/m*SIN(M367))</f>
        <v>-0.536288746795133</v>
      </c>
      <c r="E368" s="420" t="n">
        <f aca="false">IF(AND(L367&lt;L_rampe,Poussee&lt;Poids*SIN(M367)),0,(-W367+Poussee)/m*SIN(M367)+U367/m*COS(M367)-Poids/m)</f>
        <v>-6.11405147022363</v>
      </c>
      <c r="F368" s="418" t="n">
        <f aca="false">SQRT(acc_x^2+acc_z^2)</f>
        <v>6.13752645619412</v>
      </c>
      <c r="G368" s="419" t="n">
        <f aca="false">G367+acc_x*pas</f>
        <v>10.2862156740022</v>
      </c>
      <c r="H368" s="420" t="n">
        <f aca="false">H367+acc_z*pas</f>
        <v>-70.8906349867435</v>
      </c>
      <c r="I368" s="418" t="n">
        <f aca="false">SQRT(vit_x^2+vit_z^2)</f>
        <v>71.6330116755941</v>
      </c>
      <c r="J368" s="419" t="n">
        <f aca="false">J367+0.5*(vit_x+G367)*pas*(K367&gt;=0)</f>
        <v>211.791153319536</v>
      </c>
      <c r="K368" s="420" t="n">
        <f aca="false">K367+0.5*(vit_z+H367)*pas</f>
        <v>-4.5675431928437</v>
      </c>
      <c r="L368" s="418" t="n">
        <f aca="false">SQRT(pos_x^2+pos_z^2)</f>
        <v>211.840400007264</v>
      </c>
      <c r="M368" s="419" t="n">
        <f aca="false">IF(AND(L367&gt;L_rampe,G368&gt;0),ATAN2(G368,H368),$M$4)</f>
        <v>-1.42670217930355</v>
      </c>
      <c r="N368" s="418" t="n">
        <f aca="false">DEGREES(Beta)</f>
        <v>-81.7440134962101</v>
      </c>
      <c r="O368" s="402"/>
      <c r="P368" s="421" t="n">
        <f aca="false">MATCH(t-pas/2-T_ini,CdP_t)</f>
        <v>23</v>
      </c>
      <c r="Q368" s="418" t="n">
        <f aca="false">(INDEX(CdP,2,i_P+1)-INDEX(CdP,2,i_P+0))/(INDEX(CdP,1,i_P+1)-INDEX(CdP,1,i_P+0))*(t-pas/2-T_ini-INDEX(CdP,1,i_P+0))+INDEX(CdP,2,i_P+0)</f>
        <v>0</v>
      </c>
      <c r="R368" s="419" t="n">
        <f aca="false">Poussee/(g*ISP)</f>
        <v>0</v>
      </c>
      <c r="S368" s="420" t="n">
        <f aca="false">S367-Débit*pas</f>
        <v>1.4843</v>
      </c>
      <c r="T368" s="418" t="n">
        <f aca="false">m*g</f>
        <v>14.560983</v>
      </c>
      <c r="U368" s="422" t="n">
        <f aca="false">IF(pos_xz&lt;L_rampe,Poids*COS(Beta),0)</f>
        <v>0</v>
      </c>
      <c r="V368" s="419" t="n">
        <f aca="false">Rho_moyen*(20000-Alt_rampe-pos_z)/(20000+Alt_rampe+pos_z)</f>
        <v>1.22555965185282</v>
      </c>
      <c r="W368" s="418" t="n">
        <f aca="false">1/2*Rho*Sref*Cx*vit_xz^2</f>
        <v>5.54344344832592</v>
      </c>
      <c r="X368" s="402"/>
      <c r="Y368" s="423" t="str">
        <f aca="false">IF(AND(pos_z&lt;=0,K367&gt;0),"Impact balistique","") &amp; IF(AND(H369&lt;0,vit_z&gt;=0),"Apogée","") &amp; IF(AND(Poussee=0,Q367&gt;0),"Fin de propulsion","") &amp; IF(AND(L369&gt;L_rampe,pos_xz&lt;=L_rampe),"Sortie de rampe","")</f>
        <v/>
      </c>
      <c r="Z368" s="424" t="str">
        <f aca="false">IF(ABS(t-T_para)&lt;pas/2,"Para","")</f>
        <v/>
      </c>
      <c r="AA368" s="425" t="str">
        <f aca="false">IF(ABS(t-T_satellite)&lt;pas/2,"Satellite","")</f>
        <v/>
      </c>
      <c r="AB368" s="413"/>
      <c r="AC368" s="421" t="e">
        <f aca="false">IF(ABS(t-ROUND(t,0))&lt;0.001,t,NA())</f>
        <v>#N/A</v>
      </c>
      <c r="AD368" s="426" t="e">
        <f aca="false">IF(ABS(t-ROUND(t,0))&lt;0.001,pos_x,NA())</f>
        <v>#N/A</v>
      </c>
      <c r="AE368" s="427" t="e">
        <f aca="false">IF(t&lt;T_para, pos_z, NA())</f>
        <v>#N/A</v>
      </c>
      <c r="AF368" s="413"/>
      <c r="AG368" s="419" t="n">
        <f aca="false">IF(AND(L367&lt;L_rampe,Poussee&lt;Poids*SIN(M367)),0,(-W367+Poussee)/m-Poids*SIN(M367)/m)</f>
        <v>5.97367611526606</v>
      </c>
      <c r="AH368" s="418" t="n">
        <f aca="false">IF(AND(L367&lt;L_rampe,Poussee&lt;Poids*SIN(M367)), g*SIN(M367), (-W367+Poussee)/m)</f>
        <v>-3.73465408768941</v>
      </c>
    </row>
    <row r="369" customFormat="false" ht="12" hidden="false" customHeight="false" outlineLevel="0" collapsed="false">
      <c r="A369" s="417" t="n">
        <f aca="false">IF(B368+0.01&lt;=T_ini+ROUNDUP(Temps_fin_propu,0), 0.01, IF(K368&gt;0, 0.1, 0.0001))</f>
        <v>0.0001</v>
      </c>
      <c r="B369" s="418" t="n">
        <f aca="false">B368+pas</f>
        <v>16.502</v>
      </c>
      <c r="C369" s="402"/>
      <c r="D369" s="419" t="n">
        <f aca="false">IF(AND(L368&lt;L_rampe,Poussee&lt;Poids*SIN(M368)),0,(-W368+Poussee)/m*COS(M368)-U368/m*SIN(M368))</f>
        <v>-0.536290803234519</v>
      </c>
      <c r="E369" s="420" t="n">
        <f aca="false">IF(AND(L368&lt;L_rampe,Poussee&lt;Poids*SIN(M368)),0,(-W368+Poussee)/m*SIN(M368)+U368/m*COS(M368)-Poids/m)</f>
        <v>-6.11398615158985</v>
      </c>
      <c r="F369" s="418" t="n">
        <f aca="false">SQRT(acc_x^2+acc_z^2)</f>
        <v>6.13746156708671</v>
      </c>
      <c r="G369" s="419" t="n">
        <f aca="false">G368+acc_x*pas</f>
        <v>10.2861620449219</v>
      </c>
      <c r="H369" s="420" t="n">
        <f aca="false">H368+acc_z*pas</f>
        <v>-70.8912463853587</v>
      </c>
      <c r="I369" s="418" t="n">
        <f aca="false">SQRT(vit_x^2+vit_z^2)</f>
        <v>71.6336090371274</v>
      </c>
      <c r="J369" s="419" t="n">
        <f aca="false">J368+0.5*(vit_x+G368)*pas*(K368&gt;=0)</f>
        <v>211.791153319536</v>
      </c>
      <c r="K369" s="420" t="n">
        <f aca="false">K368+0.5*(vit_z+H368)*pas</f>
        <v>-4.5746322869123</v>
      </c>
      <c r="L369" s="418" t="n">
        <f aca="false">SQRT(pos_x^2+pos_z^2)</f>
        <v>211.840552975533</v>
      </c>
      <c r="M369" s="419" t="n">
        <f aca="false">IF(AND(L368&gt;L_rampe,G369&gt;0),ATAN2(G369,H369),$M$4)</f>
        <v>-1.42670414580644</v>
      </c>
      <c r="N369" s="418" t="n">
        <f aca="false">DEGREES(Beta)</f>
        <v>-81.7441261685265</v>
      </c>
      <c r="O369" s="402"/>
      <c r="P369" s="421" t="n">
        <f aca="false">MATCH(t-pas/2-T_ini,CdP_t)</f>
        <v>23</v>
      </c>
      <c r="Q369" s="418" t="n">
        <f aca="false">(INDEX(CdP,2,i_P+1)-INDEX(CdP,2,i_P+0))/(INDEX(CdP,1,i_P+1)-INDEX(CdP,1,i_P+0))*(t-pas/2-T_ini-INDEX(CdP,1,i_P+0))+INDEX(CdP,2,i_P+0)</f>
        <v>0</v>
      </c>
      <c r="R369" s="419" t="n">
        <f aca="false">Poussee/(g*ISP)</f>
        <v>0</v>
      </c>
      <c r="S369" s="420" t="n">
        <f aca="false">S368-Débit*pas</f>
        <v>1.4843</v>
      </c>
      <c r="T369" s="418" t="n">
        <f aca="false">m*g</f>
        <v>14.560983</v>
      </c>
      <c r="U369" s="422" t="n">
        <f aca="false">IF(pos_xz&lt;L_rampe,Poids*COS(Beta),0)</f>
        <v>0</v>
      </c>
      <c r="V369" s="419" t="n">
        <f aca="false">Rho_moyen*(20000-Alt_rampe-pos_z)/(20000+Alt_rampe+pos_z)</f>
        <v>1.22556052066394</v>
      </c>
      <c r="W369" s="418" t="n">
        <f aca="false">1/2*Rho*Sref*Cx*vit_xz^2</f>
        <v>5.54353983427106</v>
      </c>
      <c r="X369" s="402"/>
      <c r="Y369" s="423" t="str">
        <f aca="false">IF(AND(pos_z&lt;=0,K368&gt;0),"Impact balistique","") &amp; IF(AND(H370&lt;0,vit_z&gt;=0),"Apogée","") &amp; IF(AND(Poussee=0,Q368&gt;0),"Fin de propulsion","") &amp; IF(AND(L370&gt;L_rampe,pos_xz&lt;=L_rampe),"Sortie de rampe","")</f>
        <v/>
      </c>
      <c r="Z369" s="424" t="str">
        <f aca="false">IF(ABS(t-T_para)&lt;pas/2,"Para","")</f>
        <v/>
      </c>
      <c r="AA369" s="425" t="str">
        <f aca="false">IF(ABS(t-T_satellite)&lt;pas/2,"Satellite","")</f>
        <v/>
      </c>
      <c r="AB369" s="413"/>
      <c r="AC369" s="421" t="e">
        <f aca="false">IF(ABS(t-ROUND(t,0))&lt;0.001,t,NA())</f>
        <v>#N/A</v>
      </c>
      <c r="AD369" s="426" t="e">
        <f aca="false">IF(ABS(t-ROUND(t,0))&lt;0.001,pos_x,NA())</f>
        <v>#N/A</v>
      </c>
      <c r="AE369" s="427" t="e">
        <f aca="false">IF(t&lt;T_para, pos_z, NA())</f>
        <v>#N/A</v>
      </c>
      <c r="AF369" s="413"/>
      <c r="AG369" s="419" t="n">
        <f aca="false">IF(AND(L368&lt;L_rampe,Poussee&lt;Poids*SIN(M368)),0,(-W368+Poussee)/m-Poids*SIN(M368)/m)</f>
        <v>5.97361394852673</v>
      </c>
      <c r="AH369" s="418" t="n">
        <f aca="false">IF(AND(L368&lt;L_rampe,Poussee&lt;Poids*SIN(M368)), g*SIN(M368), (-W368+Poussee)/m)</f>
        <v>-3.73471902467556</v>
      </c>
    </row>
    <row r="370" customFormat="false" ht="12" hidden="false" customHeight="false" outlineLevel="0" collapsed="false">
      <c r="A370" s="417" t="n">
        <f aca="false">IF(B369+0.01&lt;=T_ini+ROUNDUP(Temps_fin_propu,0), 0.01, IF(K369&gt;0, 0.1, 0.0001))</f>
        <v>0.0001</v>
      </c>
      <c r="B370" s="418" t="n">
        <f aca="false">B369+pas</f>
        <v>16.5021</v>
      </c>
      <c r="C370" s="402"/>
      <c r="D370" s="419" t="n">
        <f aca="false">IF(AND(L369&lt;L_rampe,Poussee&lt;Poids*SIN(M369)),0,(-W369+Poussee)/m*COS(M369)-U369/m*SIN(M369))</f>
        <v>-0.536292859575935</v>
      </c>
      <c r="E370" s="420" t="n">
        <f aca="false">IF(AND(L369&lt;L_rampe,Poussee&lt;Poids*SIN(M369)),0,(-W369+Poussee)/m*SIN(M369)+U369/m*COS(M369)-Poids/m)</f>
        <v>-6.11392083297238</v>
      </c>
      <c r="F370" s="418" t="n">
        <f aca="false">SQRT(acc_x^2+acc_z^2)</f>
        <v>6.13739667799677</v>
      </c>
      <c r="G370" s="419" t="n">
        <f aca="false">G369+acc_x*pas</f>
        <v>10.286108415636</v>
      </c>
      <c r="H370" s="420" t="n">
        <f aca="false">H369+acc_z*pas</f>
        <v>-70.891857777442</v>
      </c>
      <c r="I370" s="418" t="n">
        <f aca="false">SQRT(vit_x^2+vit_z^2)</f>
        <v>71.6342063924441</v>
      </c>
      <c r="J370" s="419" t="n">
        <f aca="false">J369+0.5*(vit_x+G369)*pas*(K369&gt;=0)</f>
        <v>211.791153319536</v>
      </c>
      <c r="K370" s="420" t="n">
        <f aca="false">K369+0.5*(vit_z+H369)*pas</f>
        <v>-4.58172144212044</v>
      </c>
      <c r="L370" s="418" t="n">
        <f aca="false">SQRT(pos_x^2+pos_z^2)</f>
        <v>211.840706182245</v>
      </c>
      <c r="M370" s="419" t="n">
        <f aca="false">IF(AND(L369&gt;L_rampe,G370&gt;0),ATAN2(G370,H370),$M$4)</f>
        <v>-1.42670611226629</v>
      </c>
      <c r="N370" s="418" t="n">
        <f aca="false">DEGREES(Beta)</f>
        <v>-81.7442388383763</v>
      </c>
      <c r="O370" s="402"/>
      <c r="P370" s="421" t="n">
        <f aca="false">MATCH(t-pas/2-T_ini,CdP_t)</f>
        <v>23</v>
      </c>
      <c r="Q370" s="418" t="n">
        <f aca="false">(INDEX(CdP,2,i_P+1)-INDEX(CdP,2,i_P+0))/(INDEX(CdP,1,i_P+1)-INDEX(CdP,1,i_P+0))*(t-pas/2-T_ini-INDEX(CdP,1,i_P+0))+INDEX(CdP,2,i_P+0)</f>
        <v>0</v>
      </c>
      <c r="R370" s="419" t="n">
        <f aca="false">Poussee/(g*ISP)</f>
        <v>0</v>
      </c>
      <c r="S370" s="420" t="n">
        <f aca="false">S369-Débit*pas</f>
        <v>1.4843</v>
      </c>
      <c r="T370" s="418" t="n">
        <f aca="false">m*g</f>
        <v>14.560983</v>
      </c>
      <c r="U370" s="422" t="n">
        <f aca="false">IF(pos_xz&lt;L_rampe,Poids*COS(Beta),0)</f>
        <v>0</v>
      </c>
      <c r="V370" s="419" t="n">
        <f aca="false">Rho_moyen*(20000-Alt_rampe-pos_z)/(20000+Alt_rampe+pos_z)</f>
        <v>1.22556138948317</v>
      </c>
      <c r="W370" s="418" t="n">
        <f aca="false">1/2*Rho*Sref*Cx*vit_xz^2</f>
        <v>5.54363622019278</v>
      </c>
      <c r="X370" s="402"/>
      <c r="Y370" s="423" t="str">
        <f aca="false">IF(AND(pos_z&lt;=0,K369&gt;0),"Impact balistique","") &amp; IF(AND(H371&lt;0,vit_z&gt;=0),"Apogée","") &amp; IF(AND(Poussee=0,Q369&gt;0),"Fin de propulsion","") &amp; IF(AND(L371&gt;L_rampe,pos_xz&lt;=L_rampe),"Sortie de rampe","")</f>
        <v/>
      </c>
      <c r="Z370" s="424" t="str">
        <f aca="false">IF(ABS(t-T_para)&lt;pas/2,"Para","")</f>
        <v/>
      </c>
      <c r="AA370" s="425" t="str">
        <f aca="false">IF(ABS(t-T_satellite)&lt;pas/2,"Satellite","")</f>
        <v/>
      </c>
      <c r="AB370" s="413"/>
      <c r="AC370" s="421" t="e">
        <f aca="false">IF(ABS(t-ROUND(t,0))&lt;0.001,t,NA())</f>
        <v>#N/A</v>
      </c>
      <c r="AD370" s="426" t="e">
        <f aca="false">IF(ABS(t-ROUND(t,0))&lt;0.001,pos_x,NA())</f>
        <v>#N/A</v>
      </c>
      <c r="AE370" s="427" t="e">
        <f aca="false">IF(t&lt;T_para, pos_z, NA())</f>
        <v>#N/A</v>
      </c>
      <c r="AF370" s="413"/>
      <c r="AG370" s="419" t="n">
        <f aca="false">IF(AND(L369&lt;L_rampe,Poussee&lt;Poids*SIN(M369)),0,(-W369+Poussee)/m-Poids*SIN(M369)/m)</f>
        <v>5.97355178170497</v>
      </c>
      <c r="AH370" s="418" t="n">
        <f aca="false">IF(AND(L369&lt;L_rampe,Poussee&lt;Poids*SIN(M369)), g*SIN(M369), (-W369+Poussee)/m)</f>
        <v>-3.73478396164594</v>
      </c>
    </row>
    <row r="371" customFormat="false" ht="12" hidden="false" customHeight="false" outlineLevel="0" collapsed="false">
      <c r="A371" s="417" t="n">
        <f aca="false">IF(B370+0.01&lt;=T_ini+ROUNDUP(Temps_fin_propu,0), 0.01, IF(K370&gt;0, 0.1, 0.0001))</f>
        <v>0.0001</v>
      </c>
      <c r="B371" s="418" t="n">
        <f aca="false">B370+pas</f>
        <v>16.5022</v>
      </c>
      <c r="C371" s="402"/>
      <c r="D371" s="419" t="n">
        <f aca="false">IF(AND(L370&lt;L_rampe,Poussee&lt;Poids*SIN(M370)),0,(-W370+Poussee)/m*COS(M370)-U370/m*SIN(M370))</f>
        <v>-0.536294915819378</v>
      </c>
      <c r="E371" s="420" t="n">
        <f aca="false">IF(AND(L370&lt;L_rampe,Poussee&lt;Poids*SIN(M370)),0,(-W370+Poussee)/m*SIN(M370)+U370/m*COS(M370)-Poids/m)</f>
        <v>-6.11385551437123</v>
      </c>
      <c r="F371" s="418" t="n">
        <f aca="false">SQRT(acc_x^2+acc_z^2)</f>
        <v>6.13733178892434</v>
      </c>
      <c r="G371" s="419" t="n">
        <f aca="false">G370+acc_x*pas</f>
        <v>10.2860547861444</v>
      </c>
      <c r="H371" s="420" t="n">
        <f aca="false">H370+acc_z*pas</f>
        <v>-70.8924691629934</v>
      </c>
      <c r="I371" s="418" t="n">
        <f aca="false">SQRT(vit_x^2+vit_z^2)</f>
        <v>71.6348037415441</v>
      </c>
      <c r="J371" s="419" t="n">
        <f aca="false">J370+0.5*(vit_x+G370)*pas*(K370&gt;=0)</f>
        <v>211.791153319536</v>
      </c>
      <c r="K371" s="420" t="n">
        <f aca="false">K370+0.5*(vit_z+H370)*pas</f>
        <v>-4.58881065846746</v>
      </c>
      <c r="L371" s="418" t="n">
        <f aca="false">SQRT(pos_x^2+pos_z^2)</f>
        <v>211.840859627406</v>
      </c>
      <c r="M371" s="419" t="n">
        <f aca="false">IF(AND(L370&gt;L_rampe,G371&gt;0),ATAN2(G371,H371),$M$4)</f>
        <v>-1.42670807868309</v>
      </c>
      <c r="N371" s="418" t="n">
        <f aca="false">DEGREES(Beta)</f>
        <v>-81.7443515057596</v>
      </c>
      <c r="O371" s="402"/>
      <c r="P371" s="421" t="n">
        <f aca="false">MATCH(t-pas/2-T_ini,CdP_t)</f>
        <v>23</v>
      </c>
      <c r="Q371" s="418" t="n">
        <f aca="false">(INDEX(CdP,2,i_P+1)-INDEX(CdP,2,i_P+0))/(INDEX(CdP,1,i_P+1)-INDEX(CdP,1,i_P+0))*(t-pas/2-T_ini-INDEX(CdP,1,i_P+0))+INDEX(CdP,2,i_P+0)</f>
        <v>0</v>
      </c>
      <c r="R371" s="419" t="n">
        <f aca="false">Poussee/(g*ISP)</f>
        <v>0</v>
      </c>
      <c r="S371" s="420" t="n">
        <f aca="false">S370-Débit*pas</f>
        <v>1.4843</v>
      </c>
      <c r="T371" s="418" t="n">
        <f aca="false">m*g</f>
        <v>14.560983</v>
      </c>
      <c r="U371" s="422" t="n">
        <f aca="false">IF(pos_xz&lt;L_rampe,Poids*COS(Beta),0)</f>
        <v>0</v>
      </c>
      <c r="V371" s="419" t="n">
        <f aca="false">Rho_moyen*(20000-Alt_rampe-pos_z)/(20000+Alt_rampe+pos_z)</f>
        <v>1.22556225831051</v>
      </c>
      <c r="W371" s="418" t="n">
        <f aca="false">1/2*Rho*Sref*Cx*vit_xz^2</f>
        <v>5.54373260609105</v>
      </c>
      <c r="X371" s="402"/>
      <c r="Y371" s="423" t="str">
        <f aca="false">IF(AND(pos_z&lt;=0,K370&gt;0),"Impact balistique","") &amp; IF(AND(H372&lt;0,vit_z&gt;=0),"Apogée","") &amp; IF(AND(Poussee=0,Q370&gt;0),"Fin de propulsion","") &amp; IF(AND(L372&gt;L_rampe,pos_xz&lt;=L_rampe),"Sortie de rampe","")</f>
        <v/>
      </c>
      <c r="Z371" s="424" t="str">
        <f aca="false">IF(ABS(t-T_para)&lt;pas/2,"Para","")</f>
        <v/>
      </c>
      <c r="AA371" s="425" t="str">
        <f aca="false">IF(ABS(t-T_satellite)&lt;pas/2,"Satellite","")</f>
        <v/>
      </c>
      <c r="AB371" s="413"/>
      <c r="AC371" s="421" t="e">
        <f aca="false">IF(ABS(t-ROUND(t,0))&lt;0.001,t,NA())</f>
        <v>#N/A</v>
      </c>
      <c r="AD371" s="426" t="e">
        <f aca="false">IF(ABS(t-ROUND(t,0))&lt;0.001,pos_x,NA())</f>
        <v>#N/A</v>
      </c>
      <c r="AE371" s="427" t="e">
        <f aca="false">IF(t&lt;T_para, pos_z, NA())</f>
        <v>#N/A</v>
      </c>
      <c r="AF371" s="413"/>
      <c r="AG371" s="419" t="n">
        <f aca="false">IF(AND(L370&lt;L_rampe,Poussee&lt;Poids*SIN(M370)),0,(-W370+Poussee)/m-Poids*SIN(M370)/m)</f>
        <v>5.9734896148008</v>
      </c>
      <c r="AH371" s="418" t="n">
        <f aca="false">IF(AND(L370&lt;L_rampe,Poussee&lt;Poids*SIN(M370)), g*SIN(M370), (-W370+Poussee)/m)</f>
        <v>-3.73484889860054</v>
      </c>
    </row>
    <row r="372" customFormat="false" ht="12" hidden="false" customHeight="false" outlineLevel="0" collapsed="false">
      <c r="A372" s="417" t="n">
        <f aca="false">IF(B371+0.01&lt;=T_ini+ROUNDUP(Temps_fin_propu,0), 0.01, IF(K371&gt;0, 0.1, 0.0001))</f>
        <v>0.0001</v>
      </c>
      <c r="B372" s="418" t="n">
        <f aca="false">B371+pas</f>
        <v>16.5023</v>
      </c>
      <c r="C372" s="402"/>
      <c r="D372" s="419" t="n">
        <f aca="false">IF(AND(L371&lt;L_rampe,Poussee&lt;Poids*SIN(M371)),0,(-W371+Poussee)/m*COS(M371)-U371/m*SIN(M371))</f>
        <v>-0.53629697196485</v>
      </c>
      <c r="E372" s="420" t="n">
        <f aca="false">IF(AND(L371&lt;L_rampe,Poussee&lt;Poids*SIN(M371)),0,(-W371+Poussee)/m*SIN(M371)+U371/m*COS(M371)-Poids/m)</f>
        <v>-6.11379019578642</v>
      </c>
      <c r="F372" s="418" t="n">
        <f aca="false">SQRT(acc_x^2+acc_z^2)</f>
        <v>6.13726689986942</v>
      </c>
      <c r="G372" s="419" t="n">
        <f aca="false">G371+acc_x*pas</f>
        <v>10.2860011564472</v>
      </c>
      <c r="H372" s="420" t="n">
        <f aca="false">H371+acc_z*pas</f>
        <v>-70.893080542013</v>
      </c>
      <c r="I372" s="418" t="n">
        <f aca="false">SQRT(vit_x^2+vit_z^2)</f>
        <v>71.6354010844274</v>
      </c>
      <c r="J372" s="419" t="n">
        <f aca="false">J371+0.5*(vit_x+G371)*pas*(K371&gt;=0)</f>
        <v>211.791153319536</v>
      </c>
      <c r="K372" s="420" t="n">
        <f aca="false">K371+0.5*(vit_z+H371)*pas</f>
        <v>-4.59589993595272</v>
      </c>
      <c r="L372" s="418" t="n">
        <f aca="false">SQRT(pos_x^2+pos_z^2)</f>
        <v>211.841013311022</v>
      </c>
      <c r="M372" s="419" t="n">
        <f aca="false">IF(AND(L371&gt;L_rampe,G372&gt;0),ATAN2(G372,H372),$M$4)</f>
        <v>-1.42671004505684</v>
      </c>
      <c r="N372" s="418" t="n">
        <f aca="false">DEGREES(Beta)</f>
        <v>-81.7444641706765</v>
      </c>
      <c r="O372" s="402"/>
      <c r="P372" s="421" t="n">
        <f aca="false">MATCH(t-pas/2-T_ini,CdP_t)</f>
        <v>23</v>
      </c>
      <c r="Q372" s="418" t="n">
        <f aca="false">(INDEX(CdP,2,i_P+1)-INDEX(CdP,2,i_P+0))/(INDEX(CdP,1,i_P+1)-INDEX(CdP,1,i_P+0))*(t-pas/2-T_ini-INDEX(CdP,1,i_P+0))+INDEX(CdP,2,i_P+0)</f>
        <v>0</v>
      </c>
      <c r="R372" s="419" t="n">
        <f aca="false">Poussee/(g*ISP)</f>
        <v>0</v>
      </c>
      <c r="S372" s="420" t="n">
        <f aca="false">S371-Débit*pas</f>
        <v>1.4843</v>
      </c>
      <c r="T372" s="418" t="n">
        <f aca="false">m*g</f>
        <v>14.560983</v>
      </c>
      <c r="U372" s="422" t="n">
        <f aca="false">IF(pos_xz&lt;L_rampe,Poids*COS(Beta),0)</f>
        <v>0</v>
      </c>
      <c r="V372" s="419" t="n">
        <f aca="false">Rho_moyen*(20000-Alt_rampe-pos_z)/(20000+Alt_rampe+pos_z)</f>
        <v>1.22556312714596</v>
      </c>
      <c r="W372" s="418" t="n">
        <f aca="false">1/2*Rho*Sref*Cx*vit_xz^2</f>
        <v>5.54382899196585</v>
      </c>
      <c r="X372" s="402"/>
      <c r="Y372" s="423" t="str">
        <f aca="false">IF(AND(pos_z&lt;=0,K371&gt;0),"Impact balistique","") &amp; IF(AND(H373&lt;0,vit_z&gt;=0),"Apogée","") &amp; IF(AND(Poussee=0,Q371&gt;0),"Fin de propulsion","") &amp; IF(AND(L373&gt;L_rampe,pos_xz&lt;=L_rampe),"Sortie de rampe","")</f>
        <v/>
      </c>
      <c r="Z372" s="424" t="str">
        <f aca="false">IF(ABS(t-T_para)&lt;pas/2,"Para","")</f>
        <v/>
      </c>
      <c r="AA372" s="425" t="str">
        <f aca="false">IF(ABS(t-T_satellite)&lt;pas/2,"Satellite","")</f>
        <v/>
      </c>
      <c r="AB372" s="413"/>
      <c r="AC372" s="421" t="e">
        <f aca="false">IF(ABS(t-ROUND(t,0))&lt;0.001,t,NA())</f>
        <v>#N/A</v>
      </c>
      <c r="AD372" s="426" t="e">
        <f aca="false">IF(ABS(t-ROUND(t,0))&lt;0.001,pos_x,NA())</f>
        <v>#N/A</v>
      </c>
      <c r="AE372" s="427" t="e">
        <f aca="false">IF(t&lt;T_para, pos_z, NA())</f>
        <v>#N/A</v>
      </c>
      <c r="AF372" s="413"/>
      <c r="AG372" s="419" t="n">
        <f aca="false">IF(AND(L371&lt;L_rampe,Poussee&lt;Poids*SIN(M371)),0,(-W371+Poussee)/m-Poids*SIN(M371)/m)</f>
        <v>5.97342744781425</v>
      </c>
      <c r="AH372" s="418" t="n">
        <f aca="false">IF(AND(L371&lt;L_rampe,Poussee&lt;Poids*SIN(M371)), g*SIN(M371), (-W371+Poussee)/m)</f>
        <v>-3.73491383553935</v>
      </c>
    </row>
    <row r="373" customFormat="false" ht="12" hidden="false" customHeight="false" outlineLevel="0" collapsed="false">
      <c r="A373" s="417" t="n">
        <f aca="false">IF(B372+0.01&lt;=T_ini+ROUNDUP(Temps_fin_propu,0), 0.01, IF(K372&gt;0, 0.1, 0.0001))</f>
        <v>0.0001</v>
      </c>
      <c r="B373" s="418" t="n">
        <f aca="false">B372+pas</f>
        <v>16.5024</v>
      </c>
      <c r="C373" s="402"/>
      <c r="D373" s="419" t="n">
        <f aca="false">IF(AND(L372&lt;L_rampe,Poussee&lt;Poids*SIN(M372)),0,(-W372+Poussee)/m*COS(M372)-U372/m*SIN(M372))</f>
        <v>-0.536299028012352</v>
      </c>
      <c r="E373" s="420" t="n">
        <f aca="false">IF(AND(L372&lt;L_rampe,Poussee&lt;Poids*SIN(M372)),0,(-W372+Poussee)/m*SIN(M372)+U372/m*COS(M372)-Poids/m)</f>
        <v>-6.11372487721797</v>
      </c>
      <c r="F373" s="418" t="n">
        <f aca="false">SQRT(acc_x^2+acc_z^2)</f>
        <v>6.13720201083204</v>
      </c>
      <c r="G373" s="419" t="n">
        <f aca="false">G372+acc_x*pas</f>
        <v>10.2859475265444</v>
      </c>
      <c r="H373" s="420" t="n">
        <f aca="false">H372+acc_z*pas</f>
        <v>-70.8936919145007</v>
      </c>
      <c r="I373" s="418" t="n">
        <f aca="false">SQRT(vit_x^2+vit_z^2)</f>
        <v>71.6359984210939</v>
      </c>
      <c r="J373" s="419" t="n">
        <f aca="false">J372+0.5*(vit_x+G372)*pas*(K372&gt;=0)</f>
        <v>211.791153319536</v>
      </c>
      <c r="K373" s="420" t="n">
        <f aca="false">K372+0.5*(vit_z+H372)*pas</f>
        <v>-4.60298927457554</v>
      </c>
      <c r="L373" s="418" t="n">
        <f aca="false">SQRT(pos_x^2+pos_z^2)</f>
        <v>211.841167233097</v>
      </c>
      <c r="M373" s="419" t="n">
        <f aca="false">IF(AND(L372&gt;L_rampe,G373&gt;0),ATAN2(G373,H373),$M$4)</f>
        <v>-1.42671201138755</v>
      </c>
      <c r="N373" s="418" t="n">
        <f aca="false">DEGREES(Beta)</f>
        <v>-81.7445768331271</v>
      </c>
      <c r="O373" s="402"/>
      <c r="P373" s="421" t="n">
        <f aca="false">MATCH(t-pas/2-T_ini,CdP_t)</f>
        <v>23</v>
      </c>
      <c r="Q373" s="418" t="n">
        <f aca="false">(INDEX(CdP,2,i_P+1)-INDEX(CdP,2,i_P+0))/(INDEX(CdP,1,i_P+1)-INDEX(CdP,1,i_P+0))*(t-pas/2-T_ini-INDEX(CdP,1,i_P+0))+INDEX(CdP,2,i_P+0)</f>
        <v>0</v>
      </c>
      <c r="R373" s="419" t="n">
        <f aca="false">Poussee/(g*ISP)</f>
        <v>0</v>
      </c>
      <c r="S373" s="420" t="n">
        <f aca="false">S372-Débit*pas</f>
        <v>1.4843</v>
      </c>
      <c r="T373" s="418" t="n">
        <f aca="false">m*g</f>
        <v>14.560983</v>
      </c>
      <c r="U373" s="422" t="n">
        <f aca="false">IF(pos_xz&lt;L_rampe,Poids*COS(Beta),0)</f>
        <v>0</v>
      </c>
      <c r="V373" s="419" t="n">
        <f aca="false">Rho_moyen*(20000-Alt_rampe-pos_z)/(20000+Alt_rampe+pos_z)</f>
        <v>1.22556399598951</v>
      </c>
      <c r="W373" s="418" t="n">
        <f aca="false">1/2*Rho*Sref*Cx*vit_xz^2</f>
        <v>5.54392537781716</v>
      </c>
      <c r="X373" s="402"/>
      <c r="Y373" s="423" t="str">
        <f aca="false">IF(AND(pos_z&lt;=0,K372&gt;0),"Impact balistique","") &amp; IF(AND(H374&lt;0,vit_z&gt;=0),"Apogée","") &amp; IF(AND(Poussee=0,Q372&gt;0),"Fin de propulsion","") &amp; IF(AND(L374&gt;L_rampe,pos_xz&lt;=L_rampe),"Sortie de rampe","")</f>
        <v/>
      </c>
      <c r="Z373" s="424" t="str">
        <f aca="false">IF(ABS(t-T_para)&lt;pas/2,"Para","")</f>
        <v/>
      </c>
      <c r="AA373" s="425" t="str">
        <f aca="false">IF(ABS(t-T_satellite)&lt;pas/2,"Satellite","")</f>
        <v/>
      </c>
      <c r="AB373" s="413"/>
      <c r="AC373" s="421" t="e">
        <f aca="false">IF(ABS(t-ROUND(t,0))&lt;0.001,t,NA())</f>
        <v>#N/A</v>
      </c>
      <c r="AD373" s="426" t="e">
        <f aca="false">IF(ABS(t-ROUND(t,0))&lt;0.001,pos_x,NA())</f>
        <v>#N/A</v>
      </c>
      <c r="AE373" s="427" t="e">
        <f aca="false">IF(t&lt;T_para, pos_z, NA())</f>
        <v>#N/A</v>
      </c>
      <c r="AF373" s="413"/>
      <c r="AG373" s="419" t="n">
        <f aca="false">IF(AND(L372&lt;L_rampe,Poussee&lt;Poids*SIN(M372)),0,(-W372+Poussee)/m-Poids*SIN(M372)/m)</f>
        <v>5.97336528074534</v>
      </c>
      <c r="AH373" s="418" t="n">
        <f aca="false">IF(AND(L372&lt;L_rampe,Poussee&lt;Poids*SIN(M372)), g*SIN(M372), (-W372+Poussee)/m)</f>
        <v>-3.73497877246234</v>
      </c>
    </row>
    <row r="374" customFormat="false" ht="12" hidden="false" customHeight="false" outlineLevel="0" collapsed="false">
      <c r="A374" s="417" t="n">
        <f aca="false">IF(B373+0.01&lt;=T_ini+ROUNDUP(Temps_fin_propu,0), 0.01, IF(K373&gt;0, 0.1, 0.0001))</f>
        <v>0.0001</v>
      </c>
      <c r="B374" s="418" t="n">
        <f aca="false">B373+pas</f>
        <v>16.5025</v>
      </c>
      <c r="C374" s="402"/>
      <c r="D374" s="419" t="n">
        <f aca="false">IF(AND(L373&lt;L_rampe,Poussee&lt;Poids*SIN(M373)),0,(-W373+Poussee)/m*COS(M373)-U373/m*SIN(M373))</f>
        <v>-0.536301083961884</v>
      </c>
      <c r="E374" s="420" t="n">
        <f aca="false">IF(AND(L373&lt;L_rampe,Poussee&lt;Poids*SIN(M373)),0,(-W373+Poussee)/m*SIN(M373)+U373/m*COS(M373)-Poids/m)</f>
        <v>-6.11365955866589</v>
      </c>
      <c r="F374" s="418" t="n">
        <f aca="false">SQRT(acc_x^2+acc_z^2)</f>
        <v>6.13713712181221</v>
      </c>
      <c r="G374" s="419" t="n">
        <f aca="false">G373+acc_x*pas</f>
        <v>10.285893896436</v>
      </c>
      <c r="H374" s="420" t="n">
        <f aca="false">H373+acc_z*pas</f>
        <v>-70.8943032804566</v>
      </c>
      <c r="I374" s="418" t="n">
        <f aca="false">SQRT(vit_x^2+vit_z^2)</f>
        <v>71.6365957515438</v>
      </c>
      <c r="J374" s="419" t="n">
        <f aca="false">J373+0.5*(vit_x+G373)*pas*(K373&gt;=0)</f>
        <v>211.791153319536</v>
      </c>
      <c r="K374" s="420" t="n">
        <f aca="false">K373+0.5*(vit_z+H373)*pas</f>
        <v>-4.61007867433529</v>
      </c>
      <c r="L374" s="418" t="n">
        <f aca="false">SQRT(pos_x^2+pos_z^2)</f>
        <v>211.841321393638</v>
      </c>
      <c r="M374" s="419" t="n">
        <f aca="false">IF(AND(L373&gt;L_rampe,G374&gt;0),ATAN2(G374,H374),$M$4)</f>
        <v>-1.42671397767521</v>
      </c>
      <c r="N374" s="418" t="n">
        <f aca="false">DEGREES(Beta)</f>
        <v>-81.7446894931114</v>
      </c>
      <c r="O374" s="402"/>
      <c r="P374" s="421" t="n">
        <f aca="false">MATCH(t-pas/2-T_ini,CdP_t)</f>
        <v>23</v>
      </c>
      <c r="Q374" s="418" t="n">
        <f aca="false">(INDEX(CdP,2,i_P+1)-INDEX(CdP,2,i_P+0))/(INDEX(CdP,1,i_P+1)-INDEX(CdP,1,i_P+0))*(t-pas/2-T_ini-INDEX(CdP,1,i_P+0))+INDEX(CdP,2,i_P+0)</f>
        <v>0</v>
      </c>
      <c r="R374" s="419" t="n">
        <f aca="false">Poussee/(g*ISP)</f>
        <v>0</v>
      </c>
      <c r="S374" s="420" t="n">
        <f aca="false">S373-Débit*pas</f>
        <v>1.4843</v>
      </c>
      <c r="T374" s="418" t="n">
        <f aca="false">m*g</f>
        <v>14.560983</v>
      </c>
      <c r="U374" s="422" t="n">
        <f aca="false">IF(pos_xz&lt;L_rampe,Poids*COS(Beta),0)</f>
        <v>0</v>
      </c>
      <c r="V374" s="419" t="n">
        <f aca="false">Rho_moyen*(20000-Alt_rampe-pos_z)/(20000+Alt_rampe+pos_z)</f>
        <v>1.22556486484117</v>
      </c>
      <c r="W374" s="418" t="n">
        <f aca="false">1/2*Rho*Sref*Cx*vit_xz^2</f>
        <v>5.54402176364494</v>
      </c>
      <c r="X374" s="402"/>
      <c r="Y374" s="423" t="str">
        <f aca="false">IF(AND(pos_z&lt;=0,K373&gt;0),"Impact balistique","") &amp; IF(AND(H375&lt;0,vit_z&gt;=0),"Apogée","") &amp; IF(AND(Poussee=0,Q373&gt;0),"Fin de propulsion","") &amp; IF(AND(L375&gt;L_rampe,pos_xz&lt;=L_rampe),"Sortie de rampe","")</f>
        <v/>
      </c>
      <c r="Z374" s="424" t="str">
        <f aca="false">IF(ABS(t-T_para)&lt;pas/2,"Para","")</f>
        <v/>
      </c>
      <c r="AA374" s="425" t="str">
        <f aca="false">IF(ABS(t-T_satellite)&lt;pas/2,"Satellite","")</f>
        <v/>
      </c>
      <c r="AB374" s="413"/>
      <c r="AC374" s="421" t="e">
        <f aca="false">IF(ABS(t-ROUND(t,0))&lt;0.001,t,NA())</f>
        <v>#N/A</v>
      </c>
      <c r="AD374" s="426" t="e">
        <f aca="false">IF(ABS(t-ROUND(t,0))&lt;0.001,pos_x,NA())</f>
        <v>#N/A</v>
      </c>
      <c r="AE374" s="427" t="e">
        <f aca="false">IF(t&lt;T_para, pos_z, NA())</f>
        <v>#N/A</v>
      </c>
      <c r="AF374" s="413"/>
      <c r="AG374" s="419" t="n">
        <f aca="false">IF(AND(L373&lt;L_rampe,Poussee&lt;Poids*SIN(M373)),0,(-W373+Poussee)/m-Poids*SIN(M373)/m)</f>
        <v>5.97330311359408</v>
      </c>
      <c r="AH374" s="418" t="n">
        <f aca="false">IF(AND(L373&lt;L_rampe,Poussee&lt;Poids*SIN(M373)), g*SIN(M373), (-W373+Poussee)/m)</f>
        <v>-3.73504370936951</v>
      </c>
    </row>
    <row r="375" customFormat="false" ht="12" hidden="false" customHeight="false" outlineLevel="0" collapsed="false">
      <c r="A375" s="417" t="n">
        <f aca="false">IF(B374+0.01&lt;=T_ini+ROUNDUP(Temps_fin_propu,0), 0.01, IF(K374&gt;0, 0.1, 0.0001))</f>
        <v>0.0001</v>
      </c>
      <c r="B375" s="418" t="n">
        <f aca="false">B374+pas</f>
        <v>16.5026</v>
      </c>
      <c r="C375" s="402"/>
      <c r="D375" s="419" t="n">
        <f aca="false">IF(AND(L374&lt;L_rampe,Poussee&lt;Poids*SIN(M374)),0,(-W374+Poussee)/m*COS(M374)-U374/m*SIN(M374))</f>
        <v>-0.536303139813447</v>
      </c>
      <c r="E375" s="420" t="n">
        <f aca="false">IF(AND(L374&lt;L_rampe,Poussee&lt;Poids*SIN(M374)),0,(-W374+Poussee)/m*SIN(M374)+U374/m*COS(M374)-Poids/m)</f>
        <v>-6.1135942401302</v>
      </c>
      <c r="F375" s="418" t="n">
        <f aca="false">SQRT(acc_x^2+acc_z^2)</f>
        <v>6.13707223280995</v>
      </c>
      <c r="G375" s="419" t="n">
        <f aca="false">G374+acc_x*pas</f>
        <v>10.285840266122</v>
      </c>
      <c r="H375" s="420" t="n">
        <f aca="false">H374+acc_z*pas</f>
        <v>-70.8949146398806</v>
      </c>
      <c r="I375" s="418" t="n">
        <f aca="false">SQRT(vit_x^2+vit_z^2)</f>
        <v>71.6371930757769</v>
      </c>
      <c r="J375" s="419" t="n">
        <f aca="false">J374+0.5*(vit_x+G374)*pas*(K374&gt;=0)</f>
        <v>211.791153319536</v>
      </c>
      <c r="K375" s="420" t="n">
        <f aca="false">K374+0.5*(vit_z+H374)*pas</f>
        <v>-4.61716813523131</v>
      </c>
      <c r="L375" s="418" t="n">
        <f aca="false">SQRT(pos_x^2+pos_z^2)</f>
        <v>211.841475792651</v>
      </c>
      <c r="M375" s="419" t="n">
        <f aca="false">IF(AND(L374&gt;L_rampe,G375&gt;0),ATAN2(G375,H375),$M$4)</f>
        <v>-1.42671594391983</v>
      </c>
      <c r="N375" s="418" t="n">
        <f aca="false">DEGREES(Beta)</f>
        <v>-81.7448021506296</v>
      </c>
      <c r="O375" s="402"/>
      <c r="P375" s="421" t="n">
        <f aca="false">MATCH(t-pas/2-T_ini,CdP_t)</f>
        <v>23</v>
      </c>
      <c r="Q375" s="418" t="n">
        <f aca="false">(INDEX(CdP,2,i_P+1)-INDEX(CdP,2,i_P+0))/(INDEX(CdP,1,i_P+1)-INDEX(CdP,1,i_P+0))*(t-pas/2-T_ini-INDEX(CdP,1,i_P+0))+INDEX(CdP,2,i_P+0)</f>
        <v>0</v>
      </c>
      <c r="R375" s="419" t="n">
        <f aca="false">Poussee/(g*ISP)</f>
        <v>0</v>
      </c>
      <c r="S375" s="420" t="n">
        <f aca="false">S374-Débit*pas</f>
        <v>1.4843</v>
      </c>
      <c r="T375" s="418" t="n">
        <f aca="false">m*g</f>
        <v>14.560983</v>
      </c>
      <c r="U375" s="422" t="n">
        <f aca="false">IF(pos_xz&lt;L_rampe,Poids*COS(Beta),0)</f>
        <v>0</v>
      </c>
      <c r="V375" s="419" t="n">
        <f aca="false">Rho_moyen*(20000-Alt_rampe-pos_z)/(20000+Alt_rampe+pos_z)</f>
        <v>1.22556573370095</v>
      </c>
      <c r="W375" s="418" t="n">
        <f aca="false">1/2*Rho*Sref*Cx*vit_xz^2</f>
        <v>5.54411814944918</v>
      </c>
      <c r="X375" s="402"/>
      <c r="Y375" s="423" t="str">
        <f aca="false">IF(AND(pos_z&lt;=0,K374&gt;0),"Impact balistique","") &amp; IF(AND(H376&lt;0,vit_z&gt;=0),"Apogée","") &amp; IF(AND(Poussee=0,Q374&gt;0),"Fin de propulsion","") &amp; IF(AND(L376&gt;L_rampe,pos_xz&lt;=L_rampe),"Sortie de rampe","")</f>
        <v/>
      </c>
      <c r="Z375" s="424" t="str">
        <f aca="false">IF(ABS(t-T_para)&lt;pas/2,"Para","")</f>
        <v/>
      </c>
      <c r="AA375" s="425" t="str">
        <f aca="false">IF(ABS(t-T_satellite)&lt;pas/2,"Satellite","")</f>
        <v/>
      </c>
      <c r="AB375" s="413"/>
      <c r="AC375" s="421" t="e">
        <f aca="false">IF(ABS(t-ROUND(t,0))&lt;0.001,t,NA())</f>
        <v>#N/A</v>
      </c>
      <c r="AD375" s="426" t="e">
        <f aca="false">IF(ABS(t-ROUND(t,0))&lt;0.001,pos_x,NA())</f>
        <v>#N/A</v>
      </c>
      <c r="AE375" s="427" t="e">
        <f aca="false">IF(t&lt;T_para, pos_z, NA())</f>
        <v>#N/A</v>
      </c>
      <c r="AF375" s="413"/>
      <c r="AG375" s="419" t="n">
        <f aca="false">IF(AND(L374&lt;L_rampe,Poussee&lt;Poids*SIN(M374)),0,(-W374+Poussee)/m-Poids*SIN(M374)/m)</f>
        <v>5.97324094636051</v>
      </c>
      <c r="AH375" s="418" t="n">
        <f aca="false">IF(AND(L374&lt;L_rampe,Poussee&lt;Poids*SIN(M374)), g*SIN(M374), (-W374+Poussee)/m)</f>
        <v>-3.73510864626083</v>
      </c>
    </row>
    <row r="376" customFormat="false" ht="12" hidden="false" customHeight="false" outlineLevel="0" collapsed="false">
      <c r="A376" s="417" t="n">
        <f aca="false">IF(B375+0.01&lt;=T_ini+ROUNDUP(Temps_fin_propu,0), 0.01, IF(K375&gt;0, 0.1, 0.0001))</f>
        <v>0.0001</v>
      </c>
      <c r="B376" s="418" t="n">
        <f aca="false">B375+pas</f>
        <v>16.5027</v>
      </c>
      <c r="C376" s="402"/>
      <c r="D376" s="419" t="n">
        <f aca="false">IF(AND(L375&lt;L_rampe,Poussee&lt;Poids*SIN(M375)),0,(-W375+Poussee)/m*COS(M375)-U375/m*SIN(M375))</f>
        <v>-0.536305195567041</v>
      </c>
      <c r="E376" s="420" t="n">
        <f aca="false">IF(AND(L375&lt;L_rampe,Poussee&lt;Poids*SIN(M375)),0,(-W375+Poussee)/m*SIN(M375)+U375/m*COS(M375)-Poids/m)</f>
        <v>-6.11352892161092</v>
      </c>
      <c r="F376" s="418" t="n">
        <f aca="false">SQRT(acc_x^2+acc_z^2)</f>
        <v>6.13700734382527</v>
      </c>
      <c r="G376" s="419" t="n">
        <f aca="false">G375+acc_x*pas</f>
        <v>10.2857866356024</v>
      </c>
      <c r="H376" s="420" t="n">
        <f aca="false">H375+acc_z*pas</f>
        <v>-70.8955259927728</v>
      </c>
      <c r="I376" s="418" t="n">
        <f aca="false">SQRT(vit_x^2+vit_z^2)</f>
        <v>71.6377903937933</v>
      </c>
      <c r="J376" s="419" t="n">
        <f aca="false">J375+0.5*(vit_x+G375)*pas*(K375&gt;=0)</f>
        <v>211.791153319536</v>
      </c>
      <c r="K376" s="420" t="n">
        <f aca="false">K375+0.5*(vit_z+H375)*pas</f>
        <v>-4.62425765726294</v>
      </c>
      <c r="L376" s="418" t="n">
        <f aca="false">SQRT(pos_x^2+pos_z^2)</f>
        <v>211.84163043014</v>
      </c>
      <c r="M376" s="419" t="n">
        <f aca="false">IF(AND(L375&gt;L_rampe,G376&gt;0),ATAN2(G376,H376),$M$4)</f>
        <v>-1.42671791012141</v>
      </c>
      <c r="N376" s="418" t="n">
        <f aca="false">DEGREES(Beta)</f>
        <v>-81.7449148056817</v>
      </c>
      <c r="O376" s="402"/>
      <c r="P376" s="421" t="n">
        <f aca="false">MATCH(t-pas/2-T_ini,CdP_t)</f>
        <v>23</v>
      </c>
      <c r="Q376" s="418" t="n">
        <f aca="false">(INDEX(CdP,2,i_P+1)-INDEX(CdP,2,i_P+0))/(INDEX(CdP,1,i_P+1)-INDEX(CdP,1,i_P+0))*(t-pas/2-T_ini-INDEX(CdP,1,i_P+0))+INDEX(CdP,2,i_P+0)</f>
        <v>0</v>
      </c>
      <c r="R376" s="419" t="n">
        <f aca="false">Poussee/(g*ISP)</f>
        <v>0</v>
      </c>
      <c r="S376" s="420" t="n">
        <f aca="false">S375-Débit*pas</f>
        <v>1.4843</v>
      </c>
      <c r="T376" s="418" t="n">
        <f aca="false">m*g</f>
        <v>14.560983</v>
      </c>
      <c r="U376" s="422" t="n">
        <f aca="false">IF(pos_xz&lt;L_rampe,Poids*COS(Beta),0)</f>
        <v>0</v>
      </c>
      <c r="V376" s="419" t="n">
        <f aca="false">Rho_moyen*(20000-Alt_rampe-pos_z)/(20000+Alt_rampe+pos_z)</f>
        <v>1.22556660256883</v>
      </c>
      <c r="W376" s="418" t="n">
        <f aca="false">1/2*Rho*Sref*Cx*vit_xz^2</f>
        <v>5.54421453522986</v>
      </c>
      <c r="X376" s="402"/>
      <c r="Y376" s="423" t="str">
        <f aca="false">IF(AND(pos_z&lt;=0,K375&gt;0),"Impact balistique","") &amp; IF(AND(H377&lt;0,vit_z&gt;=0),"Apogée","") &amp; IF(AND(Poussee=0,Q375&gt;0),"Fin de propulsion","") &amp; IF(AND(L377&gt;L_rampe,pos_xz&lt;=L_rampe),"Sortie de rampe","")</f>
        <v/>
      </c>
      <c r="Z376" s="424" t="str">
        <f aca="false">IF(ABS(t-T_para)&lt;pas/2,"Para","")</f>
        <v/>
      </c>
      <c r="AA376" s="425" t="str">
        <f aca="false">IF(ABS(t-T_satellite)&lt;pas/2,"Satellite","")</f>
        <v/>
      </c>
      <c r="AB376" s="413"/>
      <c r="AC376" s="421" t="e">
        <f aca="false">IF(ABS(t-ROUND(t,0))&lt;0.001,t,NA())</f>
        <v>#N/A</v>
      </c>
      <c r="AD376" s="426" t="e">
        <f aca="false">IF(ABS(t-ROUND(t,0))&lt;0.001,pos_x,NA())</f>
        <v>#N/A</v>
      </c>
      <c r="AE376" s="427" t="e">
        <f aca="false">IF(t&lt;T_para, pos_z, NA())</f>
        <v>#N/A</v>
      </c>
      <c r="AF376" s="413"/>
      <c r="AG376" s="419" t="n">
        <f aca="false">IF(AND(L375&lt;L_rampe,Poussee&lt;Poids*SIN(M375)),0,(-W375+Poussee)/m-Poids*SIN(M375)/m)</f>
        <v>5.97317877904463</v>
      </c>
      <c r="AH376" s="418" t="n">
        <f aca="false">IF(AND(L375&lt;L_rampe,Poussee&lt;Poids*SIN(M375)), g*SIN(M375), (-W375+Poussee)/m)</f>
        <v>-3.73517358313629</v>
      </c>
    </row>
    <row r="377" customFormat="false" ht="12" hidden="false" customHeight="false" outlineLevel="0" collapsed="false">
      <c r="A377" s="417" t="n">
        <f aca="false">IF(B376+0.01&lt;=T_ini+ROUNDUP(Temps_fin_propu,0), 0.01, IF(K376&gt;0, 0.1, 0.0001))</f>
        <v>0.0001</v>
      </c>
      <c r="B377" s="418" t="n">
        <f aca="false">B376+pas</f>
        <v>16.5028</v>
      </c>
      <c r="C377" s="402"/>
      <c r="D377" s="419" t="n">
        <f aca="false">IF(AND(L376&lt;L_rampe,Poussee&lt;Poids*SIN(M376)),0,(-W376+Poussee)/m*COS(M376)-U376/m*SIN(M376))</f>
        <v>-0.536307251222669</v>
      </c>
      <c r="E377" s="420" t="n">
        <f aca="false">IF(AND(L376&lt;L_rampe,Poussee&lt;Poids*SIN(M376)),0,(-W376+Poussee)/m*SIN(M376)+U376/m*COS(M376)-Poids/m)</f>
        <v>-6.11346360310805</v>
      </c>
      <c r="F377" s="418" t="n">
        <f aca="false">SQRT(acc_x^2+acc_z^2)</f>
        <v>6.13694245485819</v>
      </c>
      <c r="G377" s="419" t="n">
        <f aca="false">G376+acc_x*pas</f>
        <v>10.2857330048773</v>
      </c>
      <c r="H377" s="420" t="n">
        <f aca="false">H376+acc_z*pas</f>
        <v>-70.8961373391331</v>
      </c>
      <c r="I377" s="418" t="n">
        <f aca="false">SQRT(vit_x^2+vit_z^2)</f>
        <v>71.6383877055929</v>
      </c>
      <c r="J377" s="419" t="n">
        <f aca="false">J376+0.5*(vit_x+G376)*pas*(K376&gt;=0)</f>
        <v>211.791153319536</v>
      </c>
      <c r="K377" s="420" t="n">
        <f aca="false">K376+0.5*(vit_z+H376)*pas</f>
        <v>-4.63134724042953</v>
      </c>
      <c r="L377" s="418" t="n">
        <f aca="false">SQRT(pos_x^2+pos_z^2)</f>
        <v>211.841785306112</v>
      </c>
      <c r="M377" s="419" t="n">
        <f aca="false">IF(AND(L376&gt;L_rampe,G377&gt;0),ATAN2(G377,H377),$M$4)</f>
        <v>-1.42671987627994</v>
      </c>
      <c r="N377" s="418" t="n">
        <f aca="false">DEGREES(Beta)</f>
        <v>-81.7450274582678</v>
      </c>
      <c r="O377" s="402"/>
      <c r="P377" s="421" t="n">
        <f aca="false">MATCH(t-pas/2-T_ini,CdP_t)</f>
        <v>23</v>
      </c>
      <c r="Q377" s="418" t="n">
        <f aca="false">(INDEX(CdP,2,i_P+1)-INDEX(CdP,2,i_P+0))/(INDEX(CdP,1,i_P+1)-INDEX(CdP,1,i_P+0))*(t-pas/2-T_ini-INDEX(CdP,1,i_P+0))+INDEX(CdP,2,i_P+0)</f>
        <v>0</v>
      </c>
      <c r="R377" s="419" t="n">
        <f aca="false">Poussee/(g*ISP)</f>
        <v>0</v>
      </c>
      <c r="S377" s="420" t="n">
        <f aca="false">S376-Débit*pas</f>
        <v>1.4843</v>
      </c>
      <c r="T377" s="418" t="n">
        <f aca="false">m*g</f>
        <v>14.560983</v>
      </c>
      <c r="U377" s="422" t="n">
        <f aca="false">IF(pos_xz&lt;L_rampe,Poids*COS(Beta),0)</f>
        <v>0</v>
      </c>
      <c r="V377" s="419" t="n">
        <f aca="false">Rho_moyen*(20000-Alt_rampe-pos_z)/(20000+Alt_rampe+pos_z)</f>
        <v>1.22556747144482</v>
      </c>
      <c r="W377" s="418" t="n">
        <f aca="false">1/2*Rho*Sref*Cx*vit_xz^2</f>
        <v>5.54431092098694</v>
      </c>
      <c r="X377" s="402"/>
      <c r="Y377" s="423" t="str">
        <f aca="false">IF(AND(pos_z&lt;=0,K376&gt;0),"Impact balistique","") &amp; IF(AND(H378&lt;0,vit_z&gt;=0),"Apogée","") &amp; IF(AND(Poussee=0,Q376&gt;0),"Fin de propulsion","") &amp; IF(AND(L378&gt;L_rampe,pos_xz&lt;=L_rampe),"Sortie de rampe","")</f>
        <v/>
      </c>
      <c r="Z377" s="424" t="str">
        <f aca="false">IF(ABS(t-T_para)&lt;pas/2,"Para","")</f>
        <v/>
      </c>
      <c r="AA377" s="425" t="str">
        <f aca="false">IF(ABS(t-T_satellite)&lt;pas/2,"Satellite","")</f>
        <v/>
      </c>
      <c r="AB377" s="413"/>
      <c r="AC377" s="421" t="e">
        <f aca="false">IF(ABS(t-ROUND(t,0))&lt;0.001,t,NA())</f>
        <v>#N/A</v>
      </c>
      <c r="AD377" s="426" t="e">
        <f aca="false">IF(ABS(t-ROUND(t,0))&lt;0.001,pos_x,NA())</f>
        <v>#N/A</v>
      </c>
      <c r="AE377" s="427" t="e">
        <f aca="false">IF(t&lt;T_para, pos_z, NA())</f>
        <v>#N/A</v>
      </c>
      <c r="AF377" s="413"/>
      <c r="AG377" s="419" t="n">
        <f aca="false">IF(AND(L376&lt;L_rampe,Poussee&lt;Poids*SIN(M376)),0,(-W376+Poussee)/m-Poids*SIN(M376)/m)</f>
        <v>5.97311661164647</v>
      </c>
      <c r="AH377" s="418" t="n">
        <f aca="false">IF(AND(L376&lt;L_rampe,Poussee&lt;Poids*SIN(M376)), g*SIN(M376), (-W376+Poussee)/m)</f>
        <v>-3.73523851999587</v>
      </c>
    </row>
    <row r="378" customFormat="false" ht="12" hidden="false" customHeight="false" outlineLevel="0" collapsed="false">
      <c r="A378" s="417" t="n">
        <f aca="false">IF(B377+0.01&lt;=T_ini+ROUNDUP(Temps_fin_propu,0), 0.01, IF(K377&gt;0, 0.1, 0.0001))</f>
        <v>0.0001</v>
      </c>
      <c r="B378" s="418" t="n">
        <f aca="false">B377+pas</f>
        <v>16.5029</v>
      </c>
      <c r="C378" s="402"/>
      <c r="D378" s="419" t="n">
        <f aca="false">IF(AND(L377&lt;L_rampe,Poussee&lt;Poids*SIN(M377)),0,(-W377+Poussee)/m*COS(M377)-U377/m*SIN(M377))</f>
        <v>-0.536309306780329</v>
      </c>
      <c r="E378" s="420" t="n">
        <f aca="false">IF(AND(L377&lt;L_rampe,Poussee&lt;Poids*SIN(M377)),0,(-W377+Poussee)/m*SIN(M377)+U377/m*COS(M377)-Poids/m)</f>
        <v>-6.11339828462163</v>
      </c>
      <c r="F378" s="418" t="n">
        <f aca="false">SQRT(acc_x^2+acc_z^2)</f>
        <v>6.13687756590873</v>
      </c>
      <c r="G378" s="419" t="n">
        <f aca="false">G377+acc_x*pas</f>
        <v>10.2856793739466</v>
      </c>
      <c r="H378" s="420" t="n">
        <f aca="false">H377+acc_z*pas</f>
        <v>-70.8967486789616</v>
      </c>
      <c r="I378" s="418" t="n">
        <f aca="false">SQRT(vit_x^2+vit_z^2)</f>
        <v>71.6389850111758</v>
      </c>
      <c r="J378" s="419" t="n">
        <f aca="false">J377+0.5*(vit_x+G377)*pas*(K377&gt;=0)</f>
        <v>211.791153319536</v>
      </c>
      <c r="K378" s="420" t="n">
        <f aca="false">K377+0.5*(vit_z+H377)*pas</f>
        <v>-4.63843688473044</v>
      </c>
      <c r="L378" s="418" t="n">
        <f aca="false">SQRT(pos_x^2+pos_z^2)</f>
        <v>211.841940420571</v>
      </c>
      <c r="M378" s="419" t="n">
        <f aca="false">IF(AND(L377&gt;L_rampe,G378&gt;0),ATAN2(G378,H378),$M$4)</f>
        <v>-1.42672184239544</v>
      </c>
      <c r="N378" s="418" t="n">
        <f aca="false">DEGREES(Beta)</f>
        <v>-81.745140108388</v>
      </c>
      <c r="O378" s="402"/>
      <c r="P378" s="421" t="n">
        <f aca="false">MATCH(t-pas/2-T_ini,CdP_t)</f>
        <v>23</v>
      </c>
      <c r="Q378" s="418" t="n">
        <f aca="false">(INDEX(CdP,2,i_P+1)-INDEX(CdP,2,i_P+0))/(INDEX(CdP,1,i_P+1)-INDEX(CdP,1,i_P+0))*(t-pas/2-T_ini-INDEX(CdP,1,i_P+0))+INDEX(CdP,2,i_P+0)</f>
        <v>0</v>
      </c>
      <c r="R378" s="419" t="n">
        <f aca="false">Poussee/(g*ISP)</f>
        <v>0</v>
      </c>
      <c r="S378" s="420" t="n">
        <f aca="false">S377-Débit*pas</f>
        <v>1.4843</v>
      </c>
      <c r="T378" s="418" t="n">
        <f aca="false">m*g</f>
        <v>14.560983</v>
      </c>
      <c r="U378" s="422" t="n">
        <f aca="false">IF(pos_xz&lt;L_rampe,Poids*COS(Beta),0)</f>
        <v>0</v>
      </c>
      <c r="V378" s="419" t="n">
        <f aca="false">Rho_moyen*(20000-Alt_rampe-pos_z)/(20000+Alt_rampe+pos_z)</f>
        <v>1.22556834032892</v>
      </c>
      <c r="W378" s="418" t="n">
        <f aca="false">1/2*Rho*Sref*Cx*vit_xz^2</f>
        <v>5.54440730672041</v>
      </c>
      <c r="X378" s="402"/>
      <c r="Y378" s="423" t="str">
        <f aca="false">IF(AND(pos_z&lt;=0,K377&gt;0),"Impact balistique","") &amp; IF(AND(H379&lt;0,vit_z&gt;=0),"Apogée","") &amp; IF(AND(Poussee=0,Q377&gt;0),"Fin de propulsion","") &amp; IF(AND(L379&gt;L_rampe,pos_xz&lt;=L_rampe),"Sortie de rampe","")</f>
        <v/>
      </c>
      <c r="Z378" s="424" t="str">
        <f aca="false">IF(ABS(t-T_para)&lt;pas/2,"Para","")</f>
        <v/>
      </c>
      <c r="AA378" s="425" t="str">
        <f aca="false">IF(ABS(t-T_satellite)&lt;pas/2,"Satellite","")</f>
        <v/>
      </c>
      <c r="AB378" s="413"/>
      <c r="AC378" s="421" t="e">
        <f aca="false">IF(ABS(t-ROUND(t,0))&lt;0.001,t,NA())</f>
        <v>#N/A</v>
      </c>
      <c r="AD378" s="426" t="e">
        <f aca="false">IF(ABS(t-ROUND(t,0))&lt;0.001,pos_x,NA())</f>
        <v>#N/A</v>
      </c>
      <c r="AE378" s="427" t="e">
        <f aca="false">IF(t&lt;T_para, pos_z, NA())</f>
        <v>#N/A</v>
      </c>
      <c r="AF378" s="413"/>
      <c r="AG378" s="419" t="n">
        <f aca="false">IF(AND(L377&lt;L_rampe,Poussee&lt;Poids*SIN(M377)),0,(-W377+Poussee)/m-Poids*SIN(M377)/m)</f>
        <v>5.97305444416605</v>
      </c>
      <c r="AH378" s="418" t="n">
        <f aca="false">IF(AND(L377&lt;L_rampe,Poussee&lt;Poids*SIN(M377)), g*SIN(M377), (-W377+Poussee)/m)</f>
        <v>-3.73530345683955</v>
      </c>
    </row>
    <row r="379" customFormat="false" ht="12" hidden="false" customHeight="false" outlineLevel="0" collapsed="false">
      <c r="A379" s="417" t="n">
        <f aca="false">IF(B378+0.01&lt;=T_ini+ROUNDUP(Temps_fin_propu,0), 0.01, IF(K378&gt;0, 0.1, 0.0001))</f>
        <v>0.0001</v>
      </c>
      <c r="B379" s="418" t="n">
        <f aca="false">B378+pas</f>
        <v>16.503</v>
      </c>
      <c r="C379" s="402"/>
      <c r="D379" s="419" t="n">
        <f aca="false">IF(AND(L378&lt;L_rampe,Poussee&lt;Poids*SIN(M378)),0,(-W378+Poussee)/m*COS(M378)-U378/m*SIN(M378))</f>
        <v>-0.536311362240023</v>
      </c>
      <c r="E379" s="420" t="n">
        <f aca="false">IF(AND(L378&lt;L_rampe,Poussee&lt;Poids*SIN(M378)),0,(-W378+Poussee)/m*SIN(M378)+U378/m*COS(M378)-Poids/m)</f>
        <v>-6.11333296615166</v>
      </c>
      <c r="F379" s="418" t="n">
        <f aca="false">SQRT(acc_x^2+acc_z^2)</f>
        <v>6.1368126769769</v>
      </c>
      <c r="G379" s="419" t="n">
        <f aca="false">G378+acc_x*pas</f>
        <v>10.2856257428104</v>
      </c>
      <c r="H379" s="420" t="n">
        <f aca="false">H378+acc_z*pas</f>
        <v>-70.8973600122582</v>
      </c>
      <c r="I379" s="418" t="n">
        <f aca="false">SQRT(vit_x^2+vit_z^2)</f>
        <v>71.6395823105419</v>
      </c>
      <c r="J379" s="419" t="n">
        <f aca="false">J378+0.5*(vit_x+G378)*pas*(K378&gt;=0)</f>
        <v>211.791153319536</v>
      </c>
      <c r="K379" s="420" t="n">
        <f aca="false">K378+0.5*(vit_z+H378)*pas</f>
        <v>-4.645526590165</v>
      </c>
      <c r="L379" s="418" t="n">
        <f aca="false">SQRT(pos_x^2+pos_z^2)</f>
        <v>211.842095773525</v>
      </c>
      <c r="M379" s="419" t="n">
        <f aca="false">IF(AND(L378&gt;L_rampe,G379&gt;0),ATAN2(G379,H379),$M$4)</f>
        <v>-1.42672380846791</v>
      </c>
      <c r="N379" s="418" t="n">
        <f aca="false">DEGREES(Beta)</f>
        <v>-81.7452527560424</v>
      </c>
      <c r="O379" s="402"/>
      <c r="P379" s="421" t="n">
        <f aca="false">MATCH(t-pas/2-T_ini,CdP_t)</f>
        <v>23</v>
      </c>
      <c r="Q379" s="418" t="n">
        <f aca="false">(INDEX(CdP,2,i_P+1)-INDEX(CdP,2,i_P+0))/(INDEX(CdP,1,i_P+1)-INDEX(CdP,1,i_P+0))*(t-pas/2-T_ini-INDEX(CdP,1,i_P+0))+INDEX(CdP,2,i_P+0)</f>
        <v>0</v>
      </c>
      <c r="R379" s="419" t="n">
        <f aca="false">Poussee/(g*ISP)</f>
        <v>0</v>
      </c>
      <c r="S379" s="420" t="n">
        <f aca="false">S378-Débit*pas</f>
        <v>1.4843</v>
      </c>
      <c r="T379" s="418" t="n">
        <f aca="false">m*g</f>
        <v>14.560983</v>
      </c>
      <c r="U379" s="422" t="n">
        <f aca="false">IF(pos_xz&lt;L_rampe,Poids*COS(Beta),0)</f>
        <v>0</v>
      </c>
      <c r="V379" s="419" t="n">
        <f aca="false">Rho_moyen*(20000-Alt_rampe-pos_z)/(20000+Alt_rampe+pos_z)</f>
        <v>1.22556920922112</v>
      </c>
      <c r="W379" s="418" t="n">
        <f aca="false">1/2*Rho*Sref*Cx*vit_xz^2</f>
        <v>5.54450369243024</v>
      </c>
      <c r="X379" s="402"/>
      <c r="Y379" s="423" t="str">
        <f aca="false">IF(AND(pos_z&lt;=0,K378&gt;0),"Impact balistique","") &amp; IF(AND(H380&lt;0,vit_z&gt;=0),"Apogée","") &amp; IF(AND(Poussee=0,Q378&gt;0),"Fin de propulsion","") &amp; IF(AND(L380&gt;L_rampe,pos_xz&lt;=L_rampe),"Sortie de rampe","")</f>
        <v/>
      </c>
      <c r="Z379" s="424" t="str">
        <f aca="false">IF(ABS(t-T_para)&lt;pas/2,"Para","")</f>
        <v/>
      </c>
      <c r="AA379" s="425" t="str">
        <f aca="false">IF(ABS(t-T_satellite)&lt;pas/2,"Satellite","")</f>
        <v/>
      </c>
      <c r="AB379" s="413"/>
      <c r="AC379" s="421" t="e">
        <f aca="false">IF(ABS(t-ROUND(t,0))&lt;0.001,t,NA())</f>
        <v>#N/A</v>
      </c>
      <c r="AD379" s="426" t="e">
        <f aca="false">IF(ABS(t-ROUND(t,0))&lt;0.001,pos_x,NA())</f>
        <v>#N/A</v>
      </c>
      <c r="AE379" s="427" t="e">
        <f aca="false">IF(t&lt;T_para, pos_z, NA())</f>
        <v>#N/A</v>
      </c>
      <c r="AF379" s="413"/>
      <c r="AG379" s="419" t="n">
        <f aca="false">IF(AND(L378&lt;L_rampe,Poussee&lt;Poids*SIN(M378)),0,(-W378+Poussee)/m-Poids*SIN(M378)/m)</f>
        <v>5.9729922766034</v>
      </c>
      <c r="AH379" s="418" t="n">
        <f aca="false">IF(AND(L378&lt;L_rampe,Poussee&lt;Poids*SIN(M378)), g*SIN(M378), (-W378+Poussee)/m)</f>
        <v>-3.73536839366733</v>
      </c>
    </row>
    <row r="380" customFormat="false" ht="12" hidden="false" customHeight="false" outlineLevel="0" collapsed="false">
      <c r="A380" s="417" t="n">
        <f aca="false">IF(B379+0.01&lt;=T_ini+ROUNDUP(Temps_fin_propu,0), 0.01, IF(K379&gt;0, 0.1, 0.0001))</f>
        <v>0.0001</v>
      </c>
      <c r="B380" s="418" t="n">
        <f aca="false">B379+pas</f>
        <v>16.5031</v>
      </c>
      <c r="C380" s="402"/>
      <c r="D380" s="419" t="n">
        <f aca="false">IF(AND(L379&lt;L_rampe,Poussee&lt;Poids*SIN(M379)),0,(-W379+Poussee)/m*COS(M379)-U379/m*SIN(M379))</f>
        <v>-0.536313417601752</v>
      </c>
      <c r="E380" s="420" t="n">
        <f aca="false">IF(AND(L379&lt;L_rampe,Poussee&lt;Poids*SIN(M379)),0,(-W379+Poussee)/m*SIN(M379)+U379/m*COS(M379)-Poids/m)</f>
        <v>-6.11326764769816</v>
      </c>
      <c r="F380" s="418" t="n">
        <f aca="false">SQRT(acc_x^2+acc_z^2)</f>
        <v>6.13674778806272</v>
      </c>
      <c r="G380" s="419" t="n">
        <f aca="false">G379+acc_x*pas</f>
        <v>10.2855721114687</v>
      </c>
      <c r="H380" s="420" t="n">
        <f aca="false">H379+acc_z*pas</f>
        <v>-70.8979713390229</v>
      </c>
      <c r="I380" s="418" t="n">
        <f aca="false">SQRT(vit_x^2+vit_z^2)</f>
        <v>71.6401796036913</v>
      </c>
      <c r="J380" s="419" t="n">
        <f aca="false">J379+0.5*(vit_x+G379)*pas*(K379&gt;=0)</f>
        <v>211.791153319536</v>
      </c>
      <c r="K380" s="420" t="n">
        <f aca="false">K379+0.5*(vit_z+H379)*pas</f>
        <v>-4.65261635673256</v>
      </c>
      <c r="L380" s="418" t="n">
        <f aca="false">SQRT(pos_x^2+pos_z^2)</f>
        <v>211.842251364977</v>
      </c>
      <c r="M380" s="419" t="n">
        <f aca="false">IF(AND(L379&gt;L_rampe,G380&gt;0),ATAN2(G380,H380),$M$4)</f>
        <v>-1.42672577449734</v>
      </c>
      <c r="N380" s="418" t="n">
        <f aca="false">DEGREES(Beta)</f>
        <v>-81.745365401231</v>
      </c>
      <c r="O380" s="402"/>
      <c r="P380" s="421" t="n">
        <f aca="false">MATCH(t-pas/2-T_ini,CdP_t)</f>
        <v>23</v>
      </c>
      <c r="Q380" s="418" t="n">
        <f aca="false">(INDEX(CdP,2,i_P+1)-INDEX(CdP,2,i_P+0))/(INDEX(CdP,1,i_P+1)-INDEX(CdP,1,i_P+0))*(t-pas/2-T_ini-INDEX(CdP,1,i_P+0))+INDEX(CdP,2,i_P+0)</f>
        <v>0</v>
      </c>
      <c r="R380" s="419" t="n">
        <f aca="false">Poussee/(g*ISP)</f>
        <v>0</v>
      </c>
      <c r="S380" s="420" t="n">
        <f aca="false">S379-Débit*pas</f>
        <v>1.4843</v>
      </c>
      <c r="T380" s="418" t="n">
        <f aca="false">m*g</f>
        <v>14.560983</v>
      </c>
      <c r="U380" s="422" t="n">
        <f aca="false">IF(pos_xz&lt;L_rampe,Poids*COS(Beta),0)</f>
        <v>0</v>
      </c>
      <c r="V380" s="419" t="n">
        <f aca="false">Rho_moyen*(20000-Alt_rampe-pos_z)/(20000+Alt_rampe+pos_z)</f>
        <v>1.22557007812144</v>
      </c>
      <c r="W380" s="418" t="n">
        <f aca="false">1/2*Rho*Sref*Cx*vit_xz^2</f>
        <v>5.5446000781164</v>
      </c>
      <c r="X380" s="402"/>
      <c r="Y380" s="423" t="str">
        <f aca="false">IF(AND(pos_z&lt;=0,K379&gt;0),"Impact balistique","") &amp; IF(AND(H381&lt;0,vit_z&gt;=0),"Apogée","") &amp; IF(AND(Poussee=0,Q379&gt;0),"Fin de propulsion","") &amp; IF(AND(L381&gt;L_rampe,pos_xz&lt;=L_rampe),"Sortie de rampe","")</f>
        <v/>
      </c>
      <c r="Z380" s="424" t="str">
        <f aca="false">IF(ABS(t-T_para)&lt;pas/2,"Para","")</f>
        <v/>
      </c>
      <c r="AA380" s="425" t="str">
        <f aca="false">IF(ABS(t-T_satellite)&lt;pas/2,"Satellite","")</f>
        <v/>
      </c>
      <c r="AB380" s="413"/>
      <c r="AC380" s="421" t="e">
        <f aca="false">IF(ABS(t-ROUND(t,0))&lt;0.001,t,NA())</f>
        <v>#N/A</v>
      </c>
      <c r="AD380" s="426" t="e">
        <f aca="false">IF(ABS(t-ROUND(t,0))&lt;0.001,pos_x,NA())</f>
        <v>#N/A</v>
      </c>
      <c r="AE380" s="427" t="e">
        <f aca="false">IF(t&lt;T_para, pos_z, NA())</f>
        <v>#N/A</v>
      </c>
      <c r="AF380" s="413"/>
      <c r="AG380" s="419" t="n">
        <f aca="false">IF(AND(L379&lt;L_rampe,Poussee&lt;Poids*SIN(M379)),0,(-W379+Poussee)/m-Poids*SIN(M379)/m)</f>
        <v>5.97293010895852</v>
      </c>
      <c r="AH380" s="418" t="n">
        <f aca="false">IF(AND(L379&lt;L_rampe,Poussee&lt;Poids*SIN(M379)), g*SIN(M379), (-W379+Poussee)/m)</f>
        <v>-3.73543333047918</v>
      </c>
    </row>
    <row r="381" customFormat="false" ht="12" hidden="false" customHeight="false" outlineLevel="0" collapsed="false">
      <c r="A381" s="417" t="n">
        <f aca="false">IF(B380+0.01&lt;=T_ini+ROUNDUP(Temps_fin_propu,0), 0.01, IF(K380&gt;0, 0.1, 0.0001))</f>
        <v>0.0001</v>
      </c>
      <c r="B381" s="418" t="n">
        <f aca="false">B380+pas</f>
        <v>16.5032</v>
      </c>
      <c r="C381" s="402"/>
      <c r="D381" s="419" t="n">
        <f aca="false">IF(AND(L380&lt;L_rampe,Poussee&lt;Poids*SIN(M380)),0,(-W380+Poussee)/m*COS(M380)-U380/m*SIN(M380))</f>
        <v>-0.536315472865515</v>
      </c>
      <c r="E381" s="420" t="n">
        <f aca="false">IF(AND(L380&lt;L_rampe,Poussee&lt;Poids*SIN(M380)),0,(-W380+Poussee)/m*SIN(M380)+U380/m*COS(M380)-Poids/m)</f>
        <v>-6.11320232926115</v>
      </c>
      <c r="F381" s="418" t="n">
        <f aca="false">SQRT(acc_x^2+acc_z^2)</f>
        <v>6.1366828991662</v>
      </c>
      <c r="G381" s="419" t="n">
        <f aca="false">G380+acc_x*pas</f>
        <v>10.2855184799214</v>
      </c>
      <c r="H381" s="420" t="n">
        <f aca="false">H380+acc_z*pas</f>
        <v>-70.8985826592559</v>
      </c>
      <c r="I381" s="418" t="n">
        <f aca="false">SQRT(vit_x^2+vit_z^2)</f>
        <v>71.6407768906238</v>
      </c>
      <c r="J381" s="419" t="n">
        <f aca="false">J380+0.5*(vit_x+G380)*pas*(K380&gt;=0)</f>
        <v>211.791153319536</v>
      </c>
      <c r="K381" s="420" t="n">
        <f aca="false">K380+0.5*(vit_z+H380)*pas</f>
        <v>-4.65970618443248</v>
      </c>
      <c r="L381" s="418" t="n">
        <f aca="false">SQRT(pos_x^2+pos_z^2)</f>
        <v>211.842407194935</v>
      </c>
      <c r="M381" s="419" t="n">
        <f aca="false">IF(AND(L380&gt;L_rampe,G381&gt;0),ATAN2(G381,H381),$M$4)</f>
        <v>-1.42672774048373</v>
      </c>
      <c r="N381" s="418" t="n">
        <f aca="false">DEGREES(Beta)</f>
        <v>-81.745478043954</v>
      </c>
      <c r="O381" s="402"/>
      <c r="P381" s="421" t="n">
        <f aca="false">MATCH(t-pas/2-T_ini,CdP_t)</f>
        <v>23</v>
      </c>
      <c r="Q381" s="418" t="n">
        <f aca="false">(INDEX(CdP,2,i_P+1)-INDEX(CdP,2,i_P+0))/(INDEX(CdP,1,i_P+1)-INDEX(CdP,1,i_P+0))*(t-pas/2-T_ini-INDEX(CdP,1,i_P+0))+INDEX(CdP,2,i_P+0)</f>
        <v>0</v>
      </c>
      <c r="R381" s="419" t="n">
        <f aca="false">Poussee/(g*ISP)</f>
        <v>0</v>
      </c>
      <c r="S381" s="420" t="n">
        <f aca="false">S380-Débit*pas</f>
        <v>1.4843</v>
      </c>
      <c r="T381" s="418" t="n">
        <f aca="false">m*g</f>
        <v>14.560983</v>
      </c>
      <c r="U381" s="422" t="n">
        <f aca="false">IF(pos_xz&lt;L_rampe,Poids*COS(Beta),0)</f>
        <v>0</v>
      </c>
      <c r="V381" s="419" t="n">
        <f aca="false">Rho_moyen*(20000-Alt_rampe-pos_z)/(20000+Alt_rampe+pos_z)</f>
        <v>1.22557094702986</v>
      </c>
      <c r="W381" s="418" t="n">
        <f aca="false">1/2*Rho*Sref*Cx*vit_xz^2</f>
        <v>5.54469646377888</v>
      </c>
      <c r="X381" s="402"/>
      <c r="Y381" s="423" t="str">
        <f aca="false">IF(AND(pos_z&lt;=0,K380&gt;0),"Impact balistique","") &amp; IF(AND(H382&lt;0,vit_z&gt;=0),"Apogée","") &amp; IF(AND(Poussee=0,Q380&gt;0),"Fin de propulsion","") &amp; IF(AND(L382&gt;L_rampe,pos_xz&lt;=L_rampe),"Sortie de rampe","")</f>
        <v/>
      </c>
      <c r="Z381" s="424" t="str">
        <f aca="false">IF(ABS(t-T_para)&lt;pas/2,"Para","")</f>
        <v/>
      </c>
      <c r="AA381" s="425" t="str">
        <f aca="false">IF(ABS(t-T_satellite)&lt;pas/2,"Satellite","")</f>
        <v/>
      </c>
      <c r="AB381" s="413"/>
      <c r="AC381" s="421" t="e">
        <f aca="false">IF(ABS(t-ROUND(t,0))&lt;0.001,t,NA())</f>
        <v>#N/A</v>
      </c>
      <c r="AD381" s="426" t="e">
        <f aca="false">IF(ABS(t-ROUND(t,0))&lt;0.001,pos_x,NA())</f>
        <v>#N/A</v>
      </c>
      <c r="AE381" s="427" t="e">
        <f aca="false">IF(t&lt;T_para, pos_z, NA())</f>
        <v>#N/A</v>
      </c>
      <c r="AF381" s="413"/>
      <c r="AG381" s="419" t="n">
        <f aca="false">IF(AND(L380&lt;L_rampe,Poussee&lt;Poids*SIN(M380)),0,(-W380+Poussee)/m-Poids*SIN(M380)/m)</f>
        <v>5.97286794123145</v>
      </c>
      <c r="AH381" s="418" t="n">
        <f aca="false">IF(AND(L380&lt;L_rampe,Poussee&lt;Poids*SIN(M380)), g*SIN(M380), (-W380+Poussee)/m)</f>
        <v>-3.73549826727509</v>
      </c>
    </row>
    <row r="382" customFormat="false" ht="12" hidden="false" customHeight="false" outlineLevel="0" collapsed="false">
      <c r="A382" s="417" t="n">
        <f aca="false">IF(B381+0.01&lt;=T_ini+ROUNDUP(Temps_fin_propu,0), 0.01, IF(K381&gt;0, 0.1, 0.0001))</f>
        <v>0.0001</v>
      </c>
      <c r="B382" s="418" t="n">
        <f aca="false">B381+pas</f>
        <v>16.5033</v>
      </c>
      <c r="C382" s="402"/>
      <c r="D382" s="419" t="n">
        <f aca="false">IF(AND(L381&lt;L_rampe,Poussee&lt;Poids*SIN(M381)),0,(-W381+Poussee)/m*COS(M381)-U381/m*SIN(M381))</f>
        <v>-0.536317528031315</v>
      </c>
      <c r="E382" s="420" t="n">
        <f aca="false">IF(AND(L381&lt;L_rampe,Poussee&lt;Poids*SIN(M381)),0,(-W381+Poussee)/m*SIN(M381)+U381/m*COS(M381)-Poids/m)</f>
        <v>-6.11313701084064</v>
      </c>
      <c r="F382" s="418" t="n">
        <f aca="false">SQRT(acc_x^2+acc_z^2)</f>
        <v>6.13661801028737</v>
      </c>
      <c r="G382" s="419" t="n">
        <f aca="false">G381+acc_x*pas</f>
        <v>10.2854648481686</v>
      </c>
      <c r="H382" s="420" t="n">
        <f aca="false">H381+acc_z*pas</f>
        <v>-70.899193972957</v>
      </c>
      <c r="I382" s="418" t="n">
        <f aca="false">SQRT(vit_x^2+vit_z^2)</f>
        <v>71.6413741713396</v>
      </c>
      <c r="J382" s="419" t="n">
        <f aca="false">J381+0.5*(vit_x+G381)*pas*(K381&gt;=0)</f>
        <v>211.791153319536</v>
      </c>
      <c r="K382" s="420" t="n">
        <f aca="false">K381+0.5*(vit_z+H381)*pas</f>
        <v>-4.66679607326409</v>
      </c>
      <c r="L382" s="418" t="n">
        <f aca="false">SQRT(pos_x^2+pos_z^2)</f>
        <v>211.842563263403</v>
      </c>
      <c r="M382" s="419" t="n">
        <f aca="false">IF(AND(L381&gt;L_rampe,G382&gt;0),ATAN2(G382,H382),$M$4)</f>
        <v>-1.42672970642709</v>
      </c>
      <c r="N382" s="418" t="n">
        <f aca="false">DEGREES(Beta)</f>
        <v>-81.7455906842114</v>
      </c>
      <c r="O382" s="402"/>
      <c r="P382" s="421" t="n">
        <f aca="false">MATCH(t-pas/2-T_ini,CdP_t)</f>
        <v>23</v>
      </c>
      <c r="Q382" s="418" t="n">
        <f aca="false">(INDEX(CdP,2,i_P+1)-INDEX(CdP,2,i_P+0))/(INDEX(CdP,1,i_P+1)-INDEX(CdP,1,i_P+0))*(t-pas/2-T_ini-INDEX(CdP,1,i_P+0))+INDEX(CdP,2,i_P+0)</f>
        <v>0</v>
      </c>
      <c r="R382" s="419" t="n">
        <f aca="false">Poussee/(g*ISP)</f>
        <v>0</v>
      </c>
      <c r="S382" s="420" t="n">
        <f aca="false">S381-Débit*pas</f>
        <v>1.4843</v>
      </c>
      <c r="T382" s="418" t="n">
        <f aca="false">m*g</f>
        <v>14.560983</v>
      </c>
      <c r="U382" s="422" t="n">
        <f aca="false">IF(pos_xz&lt;L_rampe,Poids*COS(Beta),0)</f>
        <v>0</v>
      </c>
      <c r="V382" s="419" t="n">
        <f aca="false">Rho_moyen*(20000-Alt_rampe-pos_z)/(20000+Alt_rampe+pos_z)</f>
        <v>1.2255718159464</v>
      </c>
      <c r="W382" s="418" t="n">
        <f aca="false">1/2*Rho*Sref*Cx*vit_xz^2</f>
        <v>5.54479284941764</v>
      </c>
      <c r="X382" s="402"/>
      <c r="Y382" s="423" t="str">
        <f aca="false">IF(AND(pos_z&lt;=0,K381&gt;0),"Impact balistique","") &amp; IF(AND(H383&lt;0,vit_z&gt;=0),"Apogée","") &amp; IF(AND(Poussee=0,Q381&gt;0),"Fin de propulsion","") &amp; IF(AND(L383&gt;L_rampe,pos_xz&lt;=L_rampe),"Sortie de rampe","")</f>
        <v/>
      </c>
      <c r="Z382" s="424" t="str">
        <f aca="false">IF(ABS(t-T_para)&lt;pas/2,"Para","")</f>
        <v/>
      </c>
      <c r="AA382" s="425" t="str">
        <f aca="false">IF(ABS(t-T_satellite)&lt;pas/2,"Satellite","")</f>
        <v/>
      </c>
      <c r="AB382" s="413"/>
      <c r="AC382" s="421" t="e">
        <f aca="false">IF(ABS(t-ROUND(t,0))&lt;0.001,t,NA())</f>
        <v>#N/A</v>
      </c>
      <c r="AD382" s="426" t="e">
        <f aca="false">IF(ABS(t-ROUND(t,0))&lt;0.001,pos_x,NA())</f>
        <v>#N/A</v>
      </c>
      <c r="AE382" s="427" t="e">
        <f aca="false">IF(t&lt;T_para, pos_z, NA())</f>
        <v>#N/A</v>
      </c>
      <c r="AF382" s="413"/>
      <c r="AG382" s="419" t="n">
        <f aca="false">IF(AND(L381&lt;L_rampe,Poussee&lt;Poids*SIN(M381)),0,(-W381+Poussee)/m-Poids*SIN(M381)/m)</f>
        <v>5.9728057734222</v>
      </c>
      <c r="AH382" s="418" t="n">
        <f aca="false">IF(AND(L381&lt;L_rampe,Poussee&lt;Poids*SIN(M381)), g*SIN(M381), (-W381+Poussee)/m)</f>
        <v>-3.73556320405503</v>
      </c>
    </row>
    <row r="383" customFormat="false" ht="12" hidden="false" customHeight="false" outlineLevel="0" collapsed="false">
      <c r="A383" s="417" t="n">
        <f aca="false">IF(B382+0.01&lt;=T_ini+ROUNDUP(Temps_fin_propu,0), 0.01, IF(K382&gt;0, 0.1, 0.0001))</f>
        <v>0.0001</v>
      </c>
      <c r="B383" s="418" t="n">
        <f aca="false">B382+pas</f>
        <v>16.5034</v>
      </c>
      <c r="C383" s="402"/>
      <c r="D383" s="419" t="n">
        <f aca="false">IF(AND(L382&lt;L_rampe,Poussee&lt;Poids*SIN(M382)),0,(-W382+Poussee)/m*COS(M382)-U382/m*SIN(M382))</f>
        <v>-0.536319583099151</v>
      </c>
      <c r="E383" s="420" t="n">
        <f aca="false">IF(AND(L382&lt;L_rampe,Poussee&lt;Poids*SIN(M382)),0,(-W382+Poussee)/m*SIN(M382)+U382/m*COS(M382)-Poids/m)</f>
        <v>-6.11307169243665</v>
      </c>
      <c r="F383" s="418" t="n">
        <f aca="false">SQRT(acc_x^2+acc_z^2)</f>
        <v>6.13655312142623</v>
      </c>
      <c r="G383" s="419" t="n">
        <f aca="false">G382+acc_x*pas</f>
        <v>10.2854112162103</v>
      </c>
      <c r="H383" s="420" t="n">
        <f aca="false">H382+acc_z*pas</f>
        <v>-70.8998052801262</v>
      </c>
      <c r="I383" s="418" t="n">
        <f aca="false">SQRT(vit_x^2+vit_z^2)</f>
        <v>71.6419714458386</v>
      </c>
      <c r="J383" s="419" t="n">
        <f aca="false">J382+0.5*(vit_x+G382)*pas*(K382&gt;=0)</f>
        <v>211.791153319536</v>
      </c>
      <c r="K383" s="420" t="n">
        <f aca="false">K382+0.5*(vit_z+H382)*pas</f>
        <v>-4.67388602322674</v>
      </c>
      <c r="L383" s="418" t="n">
        <f aca="false">SQRT(pos_x^2+pos_z^2)</f>
        <v>211.842719570386</v>
      </c>
      <c r="M383" s="419" t="n">
        <f aca="false">IF(AND(L382&gt;L_rampe,G383&gt;0),ATAN2(G383,H383),$M$4)</f>
        <v>-1.42673167232742</v>
      </c>
      <c r="N383" s="418" t="n">
        <f aca="false">DEGREES(Beta)</f>
        <v>-81.7457033220033</v>
      </c>
      <c r="O383" s="402"/>
      <c r="P383" s="421" t="n">
        <f aca="false">MATCH(t-pas/2-T_ini,CdP_t)</f>
        <v>23</v>
      </c>
      <c r="Q383" s="418" t="n">
        <f aca="false">(INDEX(CdP,2,i_P+1)-INDEX(CdP,2,i_P+0))/(INDEX(CdP,1,i_P+1)-INDEX(CdP,1,i_P+0))*(t-pas/2-T_ini-INDEX(CdP,1,i_P+0))+INDEX(CdP,2,i_P+0)</f>
        <v>0</v>
      </c>
      <c r="R383" s="419" t="n">
        <f aca="false">Poussee/(g*ISP)</f>
        <v>0</v>
      </c>
      <c r="S383" s="420" t="n">
        <f aca="false">S382-Débit*pas</f>
        <v>1.4843</v>
      </c>
      <c r="T383" s="418" t="n">
        <f aca="false">m*g</f>
        <v>14.560983</v>
      </c>
      <c r="U383" s="422" t="n">
        <f aca="false">IF(pos_xz&lt;L_rampe,Poids*COS(Beta),0)</f>
        <v>0</v>
      </c>
      <c r="V383" s="419" t="n">
        <f aca="false">Rho_moyen*(20000-Alt_rampe-pos_z)/(20000+Alt_rampe+pos_z)</f>
        <v>1.22557268487104</v>
      </c>
      <c r="W383" s="418" t="n">
        <f aca="false">1/2*Rho*Sref*Cx*vit_xz^2</f>
        <v>5.54488923503266</v>
      </c>
      <c r="X383" s="402"/>
      <c r="Y383" s="423" t="str">
        <f aca="false">IF(AND(pos_z&lt;=0,K382&gt;0),"Impact balistique","") &amp; IF(AND(H384&lt;0,vit_z&gt;=0),"Apogée","") &amp; IF(AND(Poussee=0,Q382&gt;0),"Fin de propulsion","") &amp; IF(AND(L384&gt;L_rampe,pos_xz&lt;=L_rampe),"Sortie de rampe","")</f>
        <v/>
      </c>
      <c r="Z383" s="424" t="str">
        <f aca="false">IF(ABS(t-T_para)&lt;pas/2,"Para","")</f>
        <v/>
      </c>
      <c r="AA383" s="425" t="str">
        <f aca="false">IF(ABS(t-T_satellite)&lt;pas/2,"Satellite","")</f>
        <v/>
      </c>
      <c r="AB383" s="413"/>
      <c r="AC383" s="421" t="e">
        <f aca="false">IF(ABS(t-ROUND(t,0))&lt;0.001,t,NA())</f>
        <v>#N/A</v>
      </c>
      <c r="AD383" s="426" t="e">
        <f aca="false">IF(ABS(t-ROUND(t,0))&lt;0.001,pos_x,NA())</f>
        <v>#N/A</v>
      </c>
      <c r="AE383" s="427" t="e">
        <f aca="false">IF(t&lt;T_para, pos_z, NA())</f>
        <v>#N/A</v>
      </c>
      <c r="AF383" s="413"/>
      <c r="AG383" s="419" t="n">
        <f aca="false">IF(AND(L382&lt;L_rampe,Poussee&lt;Poids*SIN(M382)),0,(-W382+Poussee)/m-Poids*SIN(M382)/m)</f>
        <v>5.9727436055308</v>
      </c>
      <c r="AH383" s="418" t="n">
        <f aca="false">IF(AND(L382&lt;L_rampe,Poussee&lt;Poids*SIN(M382)), g*SIN(M382), (-W382+Poussee)/m)</f>
        <v>-3.735628140819</v>
      </c>
    </row>
    <row r="384" customFormat="false" ht="12" hidden="false" customHeight="false" outlineLevel="0" collapsed="false">
      <c r="A384" s="417" t="n">
        <f aca="false">IF(B383+0.01&lt;=T_ini+ROUNDUP(Temps_fin_propu,0), 0.01, IF(K383&gt;0, 0.1, 0.0001))</f>
        <v>0.0001</v>
      </c>
      <c r="B384" s="418" t="n">
        <f aca="false">B383+pas</f>
        <v>16.5035</v>
      </c>
      <c r="C384" s="402"/>
      <c r="D384" s="419" t="n">
        <f aca="false">IF(AND(L383&lt;L_rampe,Poussee&lt;Poids*SIN(M383)),0,(-W383+Poussee)/m*COS(M383)-U383/m*SIN(M383))</f>
        <v>-0.536321638069025</v>
      </c>
      <c r="E384" s="420" t="n">
        <f aca="false">IF(AND(L383&lt;L_rampe,Poussee&lt;Poids*SIN(M383)),0,(-W383+Poussee)/m*SIN(M383)+U383/m*COS(M383)-Poids/m)</f>
        <v>-6.1130063740492</v>
      </c>
      <c r="F384" s="418" t="n">
        <f aca="false">SQRT(acc_x^2+acc_z^2)</f>
        <v>6.1364882325828</v>
      </c>
      <c r="G384" s="419" t="n">
        <f aca="false">G383+acc_x*pas</f>
        <v>10.2853575840465</v>
      </c>
      <c r="H384" s="420" t="n">
        <f aca="false">H383+acc_z*pas</f>
        <v>-70.9004165807636</v>
      </c>
      <c r="I384" s="418" t="n">
        <f aca="false">SQRT(vit_x^2+vit_z^2)</f>
        <v>71.6425687141208</v>
      </c>
      <c r="J384" s="419" t="n">
        <f aca="false">J383+0.5*(vit_x+G383)*pas*(K383&gt;=0)</f>
        <v>211.791153319536</v>
      </c>
      <c r="K384" s="420" t="n">
        <f aca="false">K383+0.5*(vit_z+H383)*pas</f>
        <v>-4.68097603431979</v>
      </c>
      <c r="L384" s="418" t="n">
        <f aca="false">SQRT(pos_x^2+pos_z^2)</f>
        <v>211.842876115892</v>
      </c>
      <c r="M384" s="419" t="n">
        <f aca="false">IF(AND(L383&gt;L_rampe,G384&gt;0),ATAN2(G384,H384),$M$4)</f>
        <v>-1.42673363818472</v>
      </c>
      <c r="N384" s="418" t="n">
        <f aca="false">DEGREES(Beta)</f>
        <v>-81.7458159573298</v>
      </c>
      <c r="O384" s="402"/>
      <c r="P384" s="421" t="n">
        <f aca="false">MATCH(t-pas/2-T_ini,CdP_t)</f>
        <v>23</v>
      </c>
      <c r="Q384" s="418" t="n">
        <f aca="false">(INDEX(CdP,2,i_P+1)-INDEX(CdP,2,i_P+0))/(INDEX(CdP,1,i_P+1)-INDEX(CdP,1,i_P+0))*(t-pas/2-T_ini-INDEX(CdP,1,i_P+0))+INDEX(CdP,2,i_P+0)</f>
        <v>0</v>
      </c>
      <c r="R384" s="419" t="n">
        <f aca="false">Poussee/(g*ISP)</f>
        <v>0</v>
      </c>
      <c r="S384" s="420" t="n">
        <f aca="false">S383-Débit*pas</f>
        <v>1.4843</v>
      </c>
      <c r="T384" s="418" t="n">
        <f aca="false">m*g</f>
        <v>14.560983</v>
      </c>
      <c r="U384" s="422" t="n">
        <f aca="false">IF(pos_xz&lt;L_rampe,Poids*COS(Beta),0)</f>
        <v>0</v>
      </c>
      <c r="V384" s="419" t="n">
        <f aca="false">Rho_moyen*(20000-Alt_rampe-pos_z)/(20000+Alt_rampe+pos_z)</f>
        <v>1.22557355380378</v>
      </c>
      <c r="W384" s="418" t="n">
        <f aca="false">1/2*Rho*Sref*Cx*vit_xz^2</f>
        <v>5.54498562062393</v>
      </c>
      <c r="X384" s="402"/>
      <c r="Y384" s="423" t="str">
        <f aca="false">IF(AND(pos_z&lt;=0,K383&gt;0),"Impact balistique","") &amp; IF(AND(H385&lt;0,vit_z&gt;=0),"Apogée","") &amp; IF(AND(Poussee=0,Q383&gt;0),"Fin de propulsion","") &amp; IF(AND(L385&gt;L_rampe,pos_xz&lt;=L_rampe),"Sortie de rampe","")</f>
        <v/>
      </c>
      <c r="Z384" s="424" t="str">
        <f aca="false">IF(ABS(t-T_para)&lt;pas/2,"Para","")</f>
        <v/>
      </c>
      <c r="AA384" s="425" t="str">
        <f aca="false">IF(ABS(t-T_satellite)&lt;pas/2,"Satellite","")</f>
        <v/>
      </c>
      <c r="AB384" s="413"/>
      <c r="AC384" s="421" t="e">
        <f aca="false">IF(ABS(t-ROUND(t,0))&lt;0.001,t,NA())</f>
        <v>#N/A</v>
      </c>
      <c r="AD384" s="426" t="e">
        <f aca="false">IF(ABS(t-ROUND(t,0))&lt;0.001,pos_x,NA())</f>
        <v>#N/A</v>
      </c>
      <c r="AE384" s="427" t="e">
        <f aca="false">IF(t&lt;T_para, pos_z, NA())</f>
        <v>#N/A</v>
      </c>
      <c r="AF384" s="413"/>
      <c r="AG384" s="419" t="n">
        <f aca="false">IF(AND(L383&lt;L_rampe,Poussee&lt;Poids*SIN(M383)),0,(-W383+Poussee)/m-Poids*SIN(M383)/m)</f>
        <v>5.97268143755726</v>
      </c>
      <c r="AH384" s="418" t="n">
        <f aca="false">IF(AND(L383&lt;L_rampe,Poussee&lt;Poids*SIN(M383)), g*SIN(M383), (-W383+Poussee)/m)</f>
        <v>-3.73569307756698</v>
      </c>
    </row>
    <row r="385" customFormat="false" ht="12" hidden="false" customHeight="false" outlineLevel="0" collapsed="false">
      <c r="A385" s="417" t="n">
        <f aca="false">IF(B384+0.01&lt;=T_ini+ROUNDUP(Temps_fin_propu,0), 0.01, IF(K384&gt;0, 0.1, 0.0001))</f>
        <v>0.0001</v>
      </c>
      <c r="B385" s="418" t="n">
        <f aca="false">B384+pas</f>
        <v>16.5036</v>
      </c>
      <c r="C385" s="402"/>
      <c r="D385" s="419" t="n">
        <f aca="false">IF(AND(L384&lt;L_rampe,Poussee&lt;Poids*SIN(M384)),0,(-W384+Poussee)/m*COS(M384)-U384/m*SIN(M384))</f>
        <v>-0.536323692940937</v>
      </c>
      <c r="E385" s="420" t="n">
        <f aca="false">IF(AND(L384&lt;L_rampe,Poussee&lt;Poids*SIN(M384)),0,(-W384+Poussee)/m*SIN(M384)+U384/m*COS(M384)-Poids/m)</f>
        <v>-6.11294105567831</v>
      </c>
      <c r="F385" s="418" t="n">
        <f aca="false">SQRT(acc_x^2+acc_z^2)</f>
        <v>6.13642334375711</v>
      </c>
      <c r="G385" s="419" t="n">
        <f aca="false">G384+acc_x*pas</f>
        <v>10.2853039516772</v>
      </c>
      <c r="H385" s="420" t="n">
        <f aca="false">H384+acc_z*pas</f>
        <v>-70.9010278748692</v>
      </c>
      <c r="I385" s="418" t="n">
        <f aca="false">SQRT(vit_x^2+vit_z^2)</f>
        <v>71.6431659761862</v>
      </c>
      <c r="J385" s="419" t="n">
        <f aca="false">J384+0.5*(vit_x+G384)*pas*(K384&gt;=0)</f>
        <v>211.791153319536</v>
      </c>
      <c r="K385" s="420" t="n">
        <f aca="false">K384+0.5*(vit_z+H384)*pas</f>
        <v>-4.68806610654257</v>
      </c>
      <c r="L385" s="418" t="n">
        <f aca="false">SQRT(pos_x^2+pos_z^2)</f>
        <v>211.843032899925</v>
      </c>
      <c r="M385" s="419" t="n">
        <f aca="false">IF(AND(L384&gt;L_rampe,G385&gt;0),ATAN2(G385,H385),$M$4)</f>
        <v>-1.426735603999</v>
      </c>
      <c r="N385" s="418" t="n">
        <f aca="false">DEGREES(Beta)</f>
        <v>-81.7459285901909</v>
      </c>
      <c r="O385" s="402"/>
      <c r="P385" s="421" t="n">
        <f aca="false">MATCH(t-pas/2-T_ini,CdP_t)</f>
        <v>23</v>
      </c>
      <c r="Q385" s="418" t="n">
        <f aca="false">(INDEX(CdP,2,i_P+1)-INDEX(CdP,2,i_P+0))/(INDEX(CdP,1,i_P+1)-INDEX(CdP,1,i_P+0))*(t-pas/2-T_ini-INDEX(CdP,1,i_P+0))+INDEX(CdP,2,i_P+0)</f>
        <v>0</v>
      </c>
      <c r="R385" s="419" t="n">
        <f aca="false">Poussee/(g*ISP)</f>
        <v>0</v>
      </c>
      <c r="S385" s="420" t="n">
        <f aca="false">S384-Débit*pas</f>
        <v>1.4843</v>
      </c>
      <c r="T385" s="418" t="n">
        <f aca="false">m*g</f>
        <v>14.560983</v>
      </c>
      <c r="U385" s="422" t="n">
        <f aca="false">IF(pos_xz&lt;L_rampe,Poids*COS(Beta),0)</f>
        <v>0</v>
      </c>
      <c r="V385" s="419" t="n">
        <f aca="false">Rho_moyen*(20000-Alt_rampe-pos_z)/(20000+Alt_rampe+pos_z)</f>
        <v>1.22557442274464</v>
      </c>
      <c r="W385" s="418" t="n">
        <f aca="false">1/2*Rho*Sref*Cx*vit_xz^2</f>
        <v>5.54508200619141</v>
      </c>
      <c r="X385" s="402"/>
      <c r="Y385" s="423" t="str">
        <f aca="false">IF(AND(pos_z&lt;=0,K384&gt;0),"Impact balistique","") &amp; IF(AND(H386&lt;0,vit_z&gt;=0),"Apogée","") &amp; IF(AND(Poussee=0,Q384&gt;0),"Fin de propulsion","") &amp; IF(AND(L386&gt;L_rampe,pos_xz&lt;=L_rampe),"Sortie de rampe","")</f>
        <v/>
      </c>
      <c r="Z385" s="424" t="str">
        <f aca="false">IF(ABS(t-T_para)&lt;pas/2,"Para","")</f>
        <v/>
      </c>
      <c r="AA385" s="425" t="str">
        <f aca="false">IF(ABS(t-T_satellite)&lt;pas/2,"Satellite","")</f>
        <v/>
      </c>
      <c r="AB385" s="413"/>
      <c r="AC385" s="421" t="e">
        <f aca="false">IF(ABS(t-ROUND(t,0))&lt;0.001,t,NA())</f>
        <v>#N/A</v>
      </c>
      <c r="AD385" s="426" t="e">
        <f aca="false">IF(ABS(t-ROUND(t,0))&lt;0.001,pos_x,NA())</f>
        <v>#N/A</v>
      </c>
      <c r="AE385" s="427" t="e">
        <f aca="false">IF(t&lt;T_para, pos_z, NA())</f>
        <v>#N/A</v>
      </c>
      <c r="AF385" s="413"/>
      <c r="AG385" s="419" t="n">
        <f aca="false">IF(AND(L384&lt;L_rampe,Poussee&lt;Poids*SIN(M384)),0,(-W384+Poussee)/m-Poids*SIN(M384)/m)</f>
        <v>5.97261926950161</v>
      </c>
      <c r="AH385" s="418" t="n">
        <f aca="false">IF(AND(L384&lt;L_rampe,Poussee&lt;Poids*SIN(M384)), g*SIN(M384), (-W384+Poussee)/m)</f>
        <v>-3.73575801429895</v>
      </c>
    </row>
    <row r="386" customFormat="false" ht="12" hidden="false" customHeight="false" outlineLevel="0" collapsed="false">
      <c r="A386" s="417" t="n">
        <f aca="false">IF(B385+0.01&lt;=T_ini+ROUNDUP(Temps_fin_propu,0), 0.01, IF(K385&gt;0, 0.1, 0.0001))</f>
        <v>0.0001</v>
      </c>
      <c r="B386" s="418" t="n">
        <f aca="false">B385+pas</f>
        <v>16.5037</v>
      </c>
      <c r="C386" s="402"/>
      <c r="D386" s="419" t="n">
        <f aca="false">IF(AND(L385&lt;L_rampe,Poussee&lt;Poids*SIN(M385)),0,(-W385+Poussee)/m*COS(M385)-U385/m*SIN(M385))</f>
        <v>-0.536325747714887</v>
      </c>
      <c r="E386" s="420" t="n">
        <f aca="false">IF(AND(L385&lt;L_rampe,Poussee&lt;Poids*SIN(M385)),0,(-W385+Poussee)/m*SIN(M385)+U385/m*COS(M385)-Poids/m)</f>
        <v>-6.11287573732398</v>
      </c>
      <c r="F386" s="418" t="n">
        <f aca="false">SQRT(acc_x^2+acc_z^2)</f>
        <v>6.13635845494916</v>
      </c>
      <c r="G386" s="419" t="n">
        <f aca="false">G385+acc_x*pas</f>
        <v>10.2852503191024</v>
      </c>
      <c r="H386" s="420" t="n">
        <f aca="false">H385+acc_z*pas</f>
        <v>-70.9016391624429</v>
      </c>
      <c r="I386" s="418" t="n">
        <f aca="false">SQRT(vit_x^2+vit_z^2)</f>
        <v>71.6437632320347</v>
      </c>
      <c r="J386" s="419" t="n">
        <f aca="false">J385+0.5*(vit_x+G385)*pas*(K385&gt;=0)</f>
        <v>211.791153319536</v>
      </c>
      <c r="K386" s="420" t="n">
        <f aca="false">K385+0.5*(vit_z+H385)*pas</f>
        <v>-4.69515623989443</v>
      </c>
      <c r="L386" s="418" t="n">
        <f aca="false">SQRT(pos_x^2+pos_z^2)</f>
        <v>211.84318992249</v>
      </c>
      <c r="M386" s="419" t="n">
        <f aca="false">IF(AND(L385&gt;L_rampe,G386&gt;0),ATAN2(G386,H386),$M$4)</f>
        <v>-1.42673756977025</v>
      </c>
      <c r="N386" s="418" t="n">
        <f aca="false">DEGREES(Beta)</f>
        <v>-81.7460412205869</v>
      </c>
      <c r="O386" s="402"/>
      <c r="P386" s="421" t="n">
        <f aca="false">MATCH(t-pas/2-T_ini,CdP_t)</f>
        <v>23</v>
      </c>
      <c r="Q386" s="418" t="n">
        <f aca="false">(INDEX(CdP,2,i_P+1)-INDEX(CdP,2,i_P+0))/(INDEX(CdP,1,i_P+1)-INDEX(CdP,1,i_P+0))*(t-pas/2-T_ini-INDEX(CdP,1,i_P+0))+INDEX(CdP,2,i_P+0)</f>
        <v>0</v>
      </c>
      <c r="R386" s="419" t="n">
        <f aca="false">Poussee/(g*ISP)</f>
        <v>0</v>
      </c>
      <c r="S386" s="420" t="n">
        <f aca="false">S385-Débit*pas</f>
        <v>1.4843</v>
      </c>
      <c r="T386" s="418" t="n">
        <f aca="false">m*g</f>
        <v>14.560983</v>
      </c>
      <c r="U386" s="422" t="n">
        <f aca="false">IF(pos_xz&lt;L_rampe,Poids*COS(Beta),0)</f>
        <v>0</v>
      </c>
      <c r="V386" s="419" t="n">
        <f aca="false">Rho_moyen*(20000-Alt_rampe-pos_z)/(20000+Alt_rampe+pos_z)</f>
        <v>1.22557529169361</v>
      </c>
      <c r="W386" s="418" t="n">
        <f aca="false">1/2*Rho*Sref*Cx*vit_xz^2</f>
        <v>5.54517839173508</v>
      </c>
      <c r="X386" s="402"/>
      <c r="Y386" s="423" t="str">
        <f aca="false">IF(AND(pos_z&lt;=0,K385&gt;0),"Impact balistique","") &amp; IF(AND(H387&lt;0,vit_z&gt;=0),"Apogée","") &amp; IF(AND(Poussee=0,Q385&gt;0),"Fin de propulsion","") &amp; IF(AND(L387&gt;L_rampe,pos_xz&lt;=L_rampe),"Sortie de rampe","")</f>
        <v/>
      </c>
      <c r="Z386" s="424" t="str">
        <f aca="false">IF(ABS(t-T_para)&lt;pas/2,"Para","")</f>
        <v/>
      </c>
      <c r="AA386" s="425" t="str">
        <f aca="false">IF(ABS(t-T_satellite)&lt;pas/2,"Satellite","")</f>
        <v/>
      </c>
      <c r="AB386" s="413"/>
      <c r="AC386" s="421" t="e">
        <f aca="false">IF(ABS(t-ROUND(t,0))&lt;0.001,t,NA())</f>
        <v>#N/A</v>
      </c>
      <c r="AD386" s="426" t="e">
        <f aca="false">IF(ABS(t-ROUND(t,0))&lt;0.001,pos_x,NA())</f>
        <v>#N/A</v>
      </c>
      <c r="AE386" s="427" t="e">
        <f aca="false">IF(t&lt;T_para, pos_z, NA())</f>
        <v>#N/A</v>
      </c>
      <c r="AF386" s="413"/>
      <c r="AG386" s="419" t="n">
        <f aca="false">IF(AND(L385&lt;L_rampe,Poussee&lt;Poids*SIN(M385)),0,(-W385+Poussee)/m-Poids*SIN(M385)/m)</f>
        <v>5.97255710136386</v>
      </c>
      <c r="AH386" s="418" t="n">
        <f aca="false">IF(AND(L385&lt;L_rampe,Poussee&lt;Poids*SIN(M385)), g*SIN(M385), (-W385+Poussee)/m)</f>
        <v>-3.7358229510149</v>
      </c>
    </row>
    <row r="387" customFormat="false" ht="12" hidden="false" customHeight="false" outlineLevel="0" collapsed="false">
      <c r="A387" s="417" t="n">
        <f aca="false">IF(B386+0.01&lt;=T_ini+ROUNDUP(Temps_fin_propu,0), 0.01, IF(K386&gt;0, 0.1, 0.0001))</f>
        <v>0.0001</v>
      </c>
      <c r="B387" s="418" t="n">
        <f aca="false">B386+pas</f>
        <v>16.5038</v>
      </c>
      <c r="C387" s="402"/>
      <c r="D387" s="419" t="n">
        <f aca="false">IF(AND(L386&lt;L_rampe,Poussee&lt;Poids*SIN(M386)),0,(-W386+Poussee)/m*COS(M386)-U386/m*SIN(M386))</f>
        <v>-0.536327802390876</v>
      </c>
      <c r="E387" s="420" t="n">
        <f aca="false">IF(AND(L386&lt;L_rampe,Poussee&lt;Poids*SIN(M386)),0,(-W386+Poussee)/m*SIN(M386)+U386/m*COS(M386)-Poids/m)</f>
        <v>-6.11281041898624</v>
      </c>
      <c r="F387" s="418" t="n">
        <f aca="false">SQRT(acc_x^2+acc_z^2)</f>
        <v>6.13629356615898</v>
      </c>
      <c r="G387" s="419" t="n">
        <f aca="false">G386+acc_x*pas</f>
        <v>10.2851966863222</v>
      </c>
      <c r="H387" s="420" t="n">
        <f aca="false">H386+acc_z*pas</f>
        <v>-70.9022504434848</v>
      </c>
      <c r="I387" s="418" t="n">
        <f aca="false">SQRT(vit_x^2+vit_z^2)</f>
        <v>71.6443604816665</v>
      </c>
      <c r="J387" s="419" t="n">
        <f aca="false">J386+0.5*(vit_x+G386)*pas*(K386&gt;=0)</f>
        <v>211.791153319536</v>
      </c>
      <c r="K387" s="420" t="n">
        <f aca="false">K386+0.5*(vit_z+H386)*pas</f>
        <v>-4.70224643437473</v>
      </c>
      <c r="L387" s="418" t="n">
        <f aca="false">SQRT(pos_x^2+pos_z^2)</f>
        <v>211.843347183594</v>
      </c>
      <c r="M387" s="419" t="n">
        <f aca="false">IF(AND(L386&gt;L_rampe,G387&gt;0),ATAN2(G387,H387),$M$4)</f>
        <v>-1.42673953549847</v>
      </c>
      <c r="N387" s="418" t="n">
        <f aca="false">DEGREES(Beta)</f>
        <v>-81.7461538485177</v>
      </c>
      <c r="O387" s="402"/>
      <c r="P387" s="421" t="n">
        <f aca="false">MATCH(t-pas/2-T_ini,CdP_t)</f>
        <v>23</v>
      </c>
      <c r="Q387" s="418" t="n">
        <f aca="false">(INDEX(CdP,2,i_P+1)-INDEX(CdP,2,i_P+0))/(INDEX(CdP,1,i_P+1)-INDEX(CdP,1,i_P+0))*(t-pas/2-T_ini-INDEX(CdP,1,i_P+0))+INDEX(CdP,2,i_P+0)</f>
        <v>0</v>
      </c>
      <c r="R387" s="419" t="n">
        <f aca="false">Poussee/(g*ISP)</f>
        <v>0</v>
      </c>
      <c r="S387" s="420" t="n">
        <f aca="false">S386-Débit*pas</f>
        <v>1.4843</v>
      </c>
      <c r="T387" s="418" t="n">
        <f aca="false">m*g</f>
        <v>14.560983</v>
      </c>
      <c r="U387" s="422" t="n">
        <f aca="false">IF(pos_xz&lt;L_rampe,Poids*COS(Beta),0)</f>
        <v>0</v>
      </c>
      <c r="V387" s="419" t="n">
        <f aca="false">Rho_moyen*(20000-Alt_rampe-pos_z)/(20000+Alt_rampe+pos_z)</f>
        <v>1.22557616065068</v>
      </c>
      <c r="W387" s="418" t="n">
        <f aca="false">1/2*Rho*Sref*Cx*vit_xz^2</f>
        <v>5.54527477725491</v>
      </c>
      <c r="X387" s="402"/>
      <c r="Y387" s="423" t="str">
        <f aca="false">IF(AND(pos_z&lt;=0,K386&gt;0),"Impact balistique","") &amp; IF(AND(H388&lt;0,vit_z&gt;=0),"Apogée","") &amp; IF(AND(Poussee=0,Q386&gt;0),"Fin de propulsion","") &amp; IF(AND(L388&gt;L_rampe,pos_xz&lt;=L_rampe),"Sortie de rampe","")</f>
        <v/>
      </c>
      <c r="Z387" s="424" t="str">
        <f aca="false">IF(ABS(t-T_para)&lt;pas/2,"Para","")</f>
        <v/>
      </c>
      <c r="AA387" s="425" t="str">
        <f aca="false">IF(ABS(t-T_satellite)&lt;pas/2,"Satellite","")</f>
        <v/>
      </c>
      <c r="AB387" s="413"/>
      <c r="AC387" s="421" t="e">
        <f aca="false">IF(ABS(t-ROUND(t,0))&lt;0.001,t,NA())</f>
        <v>#N/A</v>
      </c>
      <c r="AD387" s="426" t="e">
        <f aca="false">IF(ABS(t-ROUND(t,0))&lt;0.001,pos_x,NA())</f>
        <v>#N/A</v>
      </c>
      <c r="AE387" s="427" t="e">
        <f aca="false">IF(t&lt;T_para, pos_z, NA())</f>
        <v>#N/A</v>
      </c>
      <c r="AF387" s="413"/>
      <c r="AG387" s="419" t="n">
        <f aca="false">IF(AND(L386&lt;L_rampe,Poussee&lt;Poids*SIN(M386)),0,(-W386+Poussee)/m-Poids*SIN(M386)/m)</f>
        <v>5.97249493314405</v>
      </c>
      <c r="AH387" s="418" t="n">
        <f aca="false">IF(AND(L386&lt;L_rampe,Poussee&lt;Poids*SIN(M386)), g*SIN(M386), (-W386+Poussee)/m)</f>
        <v>-3.7358878877148</v>
      </c>
    </row>
    <row r="388" customFormat="false" ht="12" hidden="false" customHeight="false" outlineLevel="0" collapsed="false">
      <c r="A388" s="417" t="n">
        <f aca="false">IF(B387+0.01&lt;=T_ini+ROUNDUP(Temps_fin_propu,0), 0.01, IF(K387&gt;0, 0.1, 0.0001))</f>
        <v>0.0001</v>
      </c>
      <c r="B388" s="418" t="n">
        <f aca="false">B387+pas</f>
        <v>16.5039</v>
      </c>
      <c r="C388" s="402"/>
      <c r="D388" s="419" t="n">
        <f aca="false">IF(AND(L387&lt;L_rampe,Poussee&lt;Poids*SIN(M387)),0,(-W387+Poussee)/m*COS(M387)-U387/m*SIN(M387))</f>
        <v>-0.536329856968906</v>
      </c>
      <c r="E388" s="420" t="n">
        <f aca="false">IF(AND(L387&lt;L_rampe,Poussee&lt;Poids*SIN(M387)),0,(-W387+Poussee)/m*SIN(M387)+U387/m*COS(M387)-Poids/m)</f>
        <v>-6.11274510066509</v>
      </c>
      <c r="F388" s="418" t="n">
        <f aca="false">SQRT(acc_x^2+acc_z^2)</f>
        <v>6.13622867738657</v>
      </c>
      <c r="G388" s="419" t="n">
        <f aca="false">G387+acc_x*pas</f>
        <v>10.2851430533365</v>
      </c>
      <c r="H388" s="420" t="n">
        <f aca="false">H387+acc_z*pas</f>
        <v>-70.9028617179949</v>
      </c>
      <c r="I388" s="418" t="n">
        <f aca="false">SQRT(vit_x^2+vit_z^2)</f>
        <v>71.6449577250814</v>
      </c>
      <c r="J388" s="419" t="n">
        <f aca="false">J387+0.5*(vit_x+G387)*pas*(K387&gt;=0)</f>
        <v>211.791153319536</v>
      </c>
      <c r="K388" s="420" t="n">
        <f aca="false">K387+0.5*(vit_z+H387)*pas</f>
        <v>-4.7093366899828</v>
      </c>
      <c r="L388" s="418" t="n">
        <f aca="false">SQRT(pos_x^2+pos_z^2)</f>
        <v>211.843504683242</v>
      </c>
      <c r="M388" s="419" t="n">
        <f aca="false">IF(AND(L387&gt;L_rampe,G388&gt;0),ATAN2(G388,H388),$M$4)</f>
        <v>-1.42674150118367</v>
      </c>
      <c r="N388" s="418" t="n">
        <f aca="false">DEGREES(Beta)</f>
        <v>-81.7462664739834</v>
      </c>
      <c r="O388" s="402"/>
      <c r="P388" s="421" t="n">
        <f aca="false">MATCH(t-pas/2-T_ini,CdP_t)</f>
        <v>23</v>
      </c>
      <c r="Q388" s="418" t="n">
        <f aca="false">(INDEX(CdP,2,i_P+1)-INDEX(CdP,2,i_P+0))/(INDEX(CdP,1,i_P+1)-INDEX(CdP,1,i_P+0))*(t-pas/2-T_ini-INDEX(CdP,1,i_P+0))+INDEX(CdP,2,i_P+0)</f>
        <v>0</v>
      </c>
      <c r="R388" s="419" t="n">
        <f aca="false">Poussee/(g*ISP)</f>
        <v>0</v>
      </c>
      <c r="S388" s="420" t="n">
        <f aca="false">S387-Débit*pas</f>
        <v>1.4843</v>
      </c>
      <c r="T388" s="418" t="n">
        <f aca="false">m*g</f>
        <v>14.560983</v>
      </c>
      <c r="U388" s="422" t="n">
        <f aca="false">IF(pos_xz&lt;L_rampe,Poids*COS(Beta),0)</f>
        <v>0</v>
      </c>
      <c r="V388" s="419" t="n">
        <f aca="false">Rho_moyen*(20000-Alt_rampe-pos_z)/(20000+Alt_rampe+pos_z)</f>
        <v>1.22557702961586</v>
      </c>
      <c r="W388" s="418" t="n">
        <f aca="false">1/2*Rho*Sref*Cx*vit_xz^2</f>
        <v>5.54537116275089</v>
      </c>
      <c r="X388" s="402"/>
      <c r="Y388" s="423" t="str">
        <f aca="false">IF(AND(pos_z&lt;=0,K387&gt;0),"Impact balistique","") &amp; IF(AND(H389&lt;0,vit_z&gt;=0),"Apogée","") &amp; IF(AND(Poussee=0,Q387&gt;0),"Fin de propulsion","") &amp; IF(AND(L389&gt;L_rampe,pos_xz&lt;=L_rampe),"Sortie de rampe","")</f>
        <v/>
      </c>
      <c r="Z388" s="424" t="str">
        <f aca="false">IF(ABS(t-T_para)&lt;pas/2,"Para","")</f>
        <v/>
      </c>
      <c r="AA388" s="425" t="str">
        <f aca="false">IF(ABS(t-T_satellite)&lt;pas/2,"Satellite","")</f>
        <v/>
      </c>
      <c r="AB388" s="413"/>
      <c r="AC388" s="421" t="e">
        <f aca="false">IF(ABS(t-ROUND(t,0))&lt;0.001,t,NA())</f>
        <v>#N/A</v>
      </c>
      <c r="AD388" s="426" t="e">
        <f aca="false">IF(ABS(t-ROUND(t,0))&lt;0.001,pos_x,NA())</f>
        <v>#N/A</v>
      </c>
      <c r="AE388" s="427" t="e">
        <f aca="false">IF(t&lt;T_para, pos_z, NA())</f>
        <v>#N/A</v>
      </c>
      <c r="AF388" s="413"/>
      <c r="AG388" s="419" t="n">
        <f aca="false">IF(AND(L387&lt;L_rampe,Poussee&lt;Poids*SIN(M387)),0,(-W387+Poussee)/m-Poids*SIN(M387)/m)</f>
        <v>5.97243276484218</v>
      </c>
      <c r="AH388" s="418" t="n">
        <f aca="false">IF(AND(L387&lt;L_rampe,Poussee&lt;Poids*SIN(M387)), g*SIN(M387), (-W387+Poussee)/m)</f>
        <v>-3.73595282439865</v>
      </c>
    </row>
    <row r="389" customFormat="false" ht="12" hidden="false" customHeight="false" outlineLevel="0" collapsed="false">
      <c r="A389" s="417" t="n">
        <f aca="false">IF(B388+0.01&lt;=T_ini+ROUNDUP(Temps_fin_propu,0), 0.01, IF(K388&gt;0, 0.1, 0.0001))</f>
        <v>0.0001</v>
      </c>
      <c r="B389" s="418" t="n">
        <f aca="false">B388+pas</f>
        <v>16.504</v>
      </c>
      <c r="C389" s="402"/>
      <c r="D389" s="419" t="n">
        <f aca="false">IF(AND(L388&lt;L_rampe,Poussee&lt;Poids*SIN(M388)),0,(-W388+Poussee)/m*COS(M388)-U388/m*SIN(M388))</f>
        <v>-0.536331911448976</v>
      </c>
      <c r="E389" s="420" t="n">
        <f aca="false">IF(AND(L388&lt;L_rampe,Poussee&lt;Poids*SIN(M388)),0,(-W388+Poussee)/m*SIN(M388)+U388/m*COS(M388)-Poids/m)</f>
        <v>-6.11267978236057</v>
      </c>
      <c r="F389" s="418" t="n">
        <f aca="false">SQRT(acc_x^2+acc_z^2)</f>
        <v>6.13616378863196</v>
      </c>
      <c r="G389" s="419" t="n">
        <f aca="false">G388+acc_x*pas</f>
        <v>10.2850894201453</v>
      </c>
      <c r="H389" s="420" t="n">
        <f aca="false">H388+acc_z*pas</f>
        <v>-70.9034729859731</v>
      </c>
      <c r="I389" s="418" t="n">
        <f aca="false">SQRT(vit_x^2+vit_z^2)</f>
        <v>71.6455549622794</v>
      </c>
      <c r="J389" s="419" t="n">
        <f aca="false">J388+0.5*(vit_x+G388)*pas*(K388&gt;=0)</f>
        <v>211.791153319536</v>
      </c>
      <c r="K389" s="420" t="n">
        <f aca="false">K388+0.5*(vit_z+H388)*pas</f>
        <v>-4.716427006718</v>
      </c>
      <c r="L389" s="418" t="n">
        <f aca="false">SQRT(pos_x^2+pos_z^2)</f>
        <v>211.84366242144</v>
      </c>
      <c r="M389" s="419" t="n">
        <f aca="false">IF(AND(L388&gt;L_rampe,G389&gt;0),ATAN2(G389,H389),$M$4)</f>
        <v>-1.42674346682584</v>
      </c>
      <c r="N389" s="418" t="n">
        <f aca="false">DEGREES(Beta)</f>
        <v>-81.7463790969842</v>
      </c>
      <c r="O389" s="402"/>
      <c r="P389" s="421" t="n">
        <f aca="false">MATCH(t-pas/2-T_ini,CdP_t)</f>
        <v>23</v>
      </c>
      <c r="Q389" s="418" t="n">
        <f aca="false">(INDEX(CdP,2,i_P+1)-INDEX(CdP,2,i_P+0))/(INDEX(CdP,1,i_P+1)-INDEX(CdP,1,i_P+0))*(t-pas/2-T_ini-INDEX(CdP,1,i_P+0))+INDEX(CdP,2,i_P+0)</f>
        <v>0</v>
      </c>
      <c r="R389" s="419" t="n">
        <f aca="false">Poussee/(g*ISP)</f>
        <v>0</v>
      </c>
      <c r="S389" s="420" t="n">
        <f aca="false">S388-Débit*pas</f>
        <v>1.4843</v>
      </c>
      <c r="T389" s="418" t="n">
        <f aca="false">m*g</f>
        <v>14.560983</v>
      </c>
      <c r="U389" s="422" t="n">
        <f aca="false">IF(pos_xz&lt;L_rampe,Poids*COS(Beta),0)</f>
        <v>0</v>
      </c>
      <c r="V389" s="419" t="n">
        <f aca="false">Rho_moyen*(20000-Alt_rampe-pos_z)/(20000+Alt_rampe+pos_z)</f>
        <v>1.22557789858915</v>
      </c>
      <c r="W389" s="418" t="n">
        <f aca="false">1/2*Rho*Sref*Cx*vit_xz^2</f>
        <v>5.54546754822299</v>
      </c>
      <c r="X389" s="402"/>
      <c r="Y389" s="423" t="str">
        <f aca="false">IF(AND(pos_z&lt;=0,K388&gt;0),"Impact balistique","") &amp; IF(AND(H390&lt;0,vit_z&gt;=0),"Apogée","") &amp; IF(AND(Poussee=0,Q388&gt;0),"Fin de propulsion","") &amp; IF(AND(L390&gt;L_rampe,pos_xz&lt;=L_rampe),"Sortie de rampe","")</f>
        <v/>
      </c>
      <c r="Z389" s="424" t="str">
        <f aca="false">IF(ABS(t-T_para)&lt;pas/2,"Para","")</f>
        <v/>
      </c>
      <c r="AA389" s="425" t="str">
        <f aca="false">IF(ABS(t-T_satellite)&lt;pas/2,"Satellite","")</f>
        <v/>
      </c>
      <c r="AB389" s="413"/>
      <c r="AC389" s="421" t="e">
        <f aca="false">IF(ABS(t-ROUND(t,0))&lt;0.001,t,NA())</f>
        <v>#N/A</v>
      </c>
      <c r="AD389" s="426" t="e">
        <f aca="false">IF(ABS(t-ROUND(t,0))&lt;0.001,pos_x,NA())</f>
        <v>#N/A</v>
      </c>
      <c r="AE389" s="427" t="e">
        <f aca="false">IF(t&lt;T_para, pos_z, NA())</f>
        <v>#N/A</v>
      </c>
      <c r="AF389" s="413"/>
      <c r="AG389" s="419" t="n">
        <f aca="false">IF(AND(L388&lt;L_rampe,Poussee&lt;Poids*SIN(M388)),0,(-W388+Poussee)/m-Poids*SIN(M388)/m)</f>
        <v>5.97237059645828</v>
      </c>
      <c r="AH389" s="418" t="n">
        <f aca="false">IF(AND(L388&lt;L_rampe,Poussee&lt;Poids*SIN(M388)), g*SIN(M388), (-W388+Poussee)/m)</f>
        <v>-3.73601776106643</v>
      </c>
    </row>
    <row r="390" customFormat="false" ht="12" hidden="false" customHeight="false" outlineLevel="0" collapsed="false">
      <c r="A390" s="417" t="n">
        <f aca="false">IF(B389+0.01&lt;=T_ini+ROUNDUP(Temps_fin_propu,0), 0.01, IF(K389&gt;0, 0.1, 0.0001))</f>
        <v>0.0001</v>
      </c>
      <c r="B390" s="418" t="n">
        <f aca="false">B389+pas</f>
        <v>16.5041</v>
      </c>
      <c r="C390" s="402"/>
      <c r="D390" s="419" t="n">
        <f aca="false">IF(AND(L389&lt;L_rampe,Poussee&lt;Poids*SIN(M389)),0,(-W389+Poussee)/m*COS(M389)-U389/m*SIN(M389))</f>
        <v>-0.536333965831088</v>
      </c>
      <c r="E390" s="420" t="n">
        <f aca="false">IF(AND(L389&lt;L_rampe,Poussee&lt;Poids*SIN(M389)),0,(-W389+Poussee)/m*SIN(M389)+U389/m*COS(M389)-Poids/m)</f>
        <v>-6.11261446407268</v>
      </c>
      <c r="F390" s="418" t="n">
        <f aca="false">SQRT(acc_x^2+acc_z^2)</f>
        <v>6.13609889989517</v>
      </c>
      <c r="G390" s="419" t="n">
        <f aca="false">G389+acc_x*pas</f>
        <v>10.2850357867487</v>
      </c>
      <c r="H390" s="420" t="n">
        <f aca="false">H389+acc_z*pas</f>
        <v>-70.9040842474195</v>
      </c>
      <c r="I390" s="418" t="n">
        <f aca="false">SQRT(vit_x^2+vit_z^2)</f>
        <v>71.6461521932606</v>
      </c>
      <c r="J390" s="419" t="n">
        <f aca="false">J389+0.5*(vit_x+G389)*pas*(K389&gt;=0)</f>
        <v>211.791153319536</v>
      </c>
      <c r="K390" s="420" t="n">
        <f aca="false">K389+0.5*(vit_z+H389)*pas</f>
        <v>-4.72351738457967</v>
      </c>
      <c r="L390" s="418" t="n">
        <f aca="false">SQRT(pos_x^2+pos_z^2)</f>
        <v>211.843820398193</v>
      </c>
      <c r="M390" s="419" t="n">
        <f aca="false">IF(AND(L389&gt;L_rampe,G390&gt;0),ATAN2(G390,H390),$M$4)</f>
        <v>-1.426745432425</v>
      </c>
      <c r="N390" s="418" t="n">
        <f aca="false">DEGREES(Beta)</f>
        <v>-81.74649171752</v>
      </c>
      <c r="O390" s="402"/>
      <c r="P390" s="421" t="n">
        <f aca="false">MATCH(t-pas/2-T_ini,CdP_t)</f>
        <v>23</v>
      </c>
      <c r="Q390" s="418" t="n">
        <f aca="false">(INDEX(CdP,2,i_P+1)-INDEX(CdP,2,i_P+0))/(INDEX(CdP,1,i_P+1)-INDEX(CdP,1,i_P+0))*(t-pas/2-T_ini-INDEX(CdP,1,i_P+0))+INDEX(CdP,2,i_P+0)</f>
        <v>0</v>
      </c>
      <c r="R390" s="419" t="n">
        <f aca="false">Poussee/(g*ISP)</f>
        <v>0</v>
      </c>
      <c r="S390" s="420" t="n">
        <f aca="false">S389-Débit*pas</f>
        <v>1.4843</v>
      </c>
      <c r="T390" s="418" t="n">
        <f aca="false">m*g</f>
        <v>14.560983</v>
      </c>
      <c r="U390" s="422" t="n">
        <f aca="false">IF(pos_xz&lt;L_rampe,Poids*COS(Beta),0)</f>
        <v>0</v>
      </c>
      <c r="V390" s="419" t="n">
        <f aca="false">Rho_moyen*(20000-Alt_rampe-pos_z)/(20000+Alt_rampe+pos_z)</f>
        <v>1.22557876757055</v>
      </c>
      <c r="W390" s="418" t="n">
        <f aca="false">1/2*Rho*Sref*Cx*vit_xz^2</f>
        <v>5.54556393367118</v>
      </c>
      <c r="X390" s="402"/>
      <c r="Y390" s="423" t="str">
        <f aca="false">IF(AND(pos_z&lt;=0,K389&gt;0),"Impact balistique","") &amp; IF(AND(H391&lt;0,vit_z&gt;=0),"Apogée","") &amp; IF(AND(Poussee=0,Q389&gt;0),"Fin de propulsion","") &amp; IF(AND(L391&gt;L_rampe,pos_xz&lt;=L_rampe),"Sortie de rampe","")</f>
        <v/>
      </c>
      <c r="Z390" s="424" t="str">
        <f aca="false">IF(ABS(t-T_para)&lt;pas/2,"Para","")</f>
        <v/>
      </c>
      <c r="AA390" s="425" t="str">
        <f aca="false">IF(ABS(t-T_satellite)&lt;pas/2,"Satellite","")</f>
        <v/>
      </c>
      <c r="AB390" s="413"/>
      <c r="AC390" s="421" t="e">
        <f aca="false">IF(ABS(t-ROUND(t,0))&lt;0.001,t,NA())</f>
        <v>#N/A</v>
      </c>
      <c r="AD390" s="426" t="e">
        <f aca="false">IF(ABS(t-ROUND(t,0))&lt;0.001,pos_x,NA())</f>
        <v>#N/A</v>
      </c>
      <c r="AE390" s="427" t="e">
        <f aca="false">IF(t&lt;T_para, pos_z, NA())</f>
        <v>#N/A</v>
      </c>
      <c r="AF390" s="413"/>
      <c r="AG390" s="419" t="n">
        <f aca="false">IF(AND(L389&lt;L_rampe,Poussee&lt;Poids*SIN(M389)),0,(-W389+Poussee)/m-Poids*SIN(M389)/m)</f>
        <v>5.97230842799237</v>
      </c>
      <c r="AH390" s="418" t="n">
        <f aca="false">IF(AND(L389&lt;L_rampe,Poussee&lt;Poids*SIN(M389)), g*SIN(M389), (-W389+Poussee)/m)</f>
        <v>-3.73608269771811</v>
      </c>
    </row>
    <row r="391" customFormat="false" ht="12" hidden="false" customHeight="false" outlineLevel="0" collapsed="false">
      <c r="A391" s="417" t="n">
        <f aca="false">IF(B390+0.01&lt;=T_ini+ROUNDUP(Temps_fin_propu,0), 0.01, IF(K390&gt;0, 0.1, 0.0001))</f>
        <v>0.0001</v>
      </c>
      <c r="B391" s="418" t="n">
        <f aca="false">B390+pas</f>
        <v>16.5042</v>
      </c>
      <c r="C391" s="402"/>
      <c r="D391" s="419" t="n">
        <f aca="false">IF(AND(L390&lt;L_rampe,Poussee&lt;Poids*SIN(M390)),0,(-W390+Poussee)/m*COS(M390)-U390/m*SIN(M390))</f>
        <v>-0.536336020115242</v>
      </c>
      <c r="E391" s="420" t="n">
        <f aca="false">IF(AND(L390&lt;L_rampe,Poussee&lt;Poids*SIN(M390)),0,(-W390+Poussee)/m*SIN(M390)+U390/m*COS(M390)-Poids/m)</f>
        <v>-6.11254914580145</v>
      </c>
      <c r="F391" s="418" t="n">
        <f aca="false">SQRT(acc_x^2+acc_z^2)</f>
        <v>6.1360340111762</v>
      </c>
      <c r="G391" s="419" t="n">
        <f aca="false">G390+acc_x*pas</f>
        <v>10.2849821531467</v>
      </c>
      <c r="H391" s="420" t="n">
        <f aca="false">H390+acc_z*pas</f>
        <v>-70.9046955023341</v>
      </c>
      <c r="I391" s="418" t="n">
        <f aca="false">SQRT(vit_x^2+vit_z^2)</f>
        <v>71.646749418025</v>
      </c>
      <c r="J391" s="419" t="n">
        <f aca="false">J390+0.5*(vit_x+G390)*pas*(K390&gt;=0)</f>
        <v>211.791153319536</v>
      </c>
      <c r="K391" s="420" t="n">
        <f aca="false">K390+0.5*(vit_z+H390)*pas</f>
        <v>-4.73060782356716</v>
      </c>
      <c r="L391" s="418" t="n">
        <f aca="false">SQRT(pos_x^2+pos_z^2)</f>
        <v>211.843978613506</v>
      </c>
      <c r="M391" s="419" t="n">
        <f aca="false">IF(AND(L390&gt;L_rampe,G391&gt;0),ATAN2(G391,H391),$M$4)</f>
        <v>-1.42674739798114</v>
      </c>
      <c r="N391" s="418" t="n">
        <f aca="false">DEGREES(Beta)</f>
        <v>-81.746604335591</v>
      </c>
      <c r="O391" s="402"/>
      <c r="P391" s="421" t="n">
        <f aca="false">MATCH(t-pas/2-T_ini,CdP_t)</f>
        <v>23</v>
      </c>
      <c r="Q391" s="418" t="n">
        <f aca="false">(INDEX(CdP,2,i_P+1)-INDEX(CdP,2,i_P+0))/(INDEX(CdP,1,i_P+1)-INDEX(CdP,1,i_P+0))*(t-pas/2-T_ini-INDEX(CdP,1,i_P+0))+INDEX(CdP,2,i_P+0)</f>
        <v>0</v>
      </c>
      <c r="R391" s="419" t="n">
        <f aca="false">Poussee/(g*ISP)</f>
        <v>0</v>
      </c>
      <c r="S391" s="420" t="n">
        <f aca="false">S390-Débit*pas</f>
        <v>1.4843</v>
      </c>
      <c r="T391" s="418" t="n">
        <f aca="false">m*g</f>
        <v>14.560983</v>
      </c>
      <c r="U391" s="422" t="n">
        <f aca="false">IF(pos_xz&lt;L_rampe,Poids*COS(Beta),0)</f>
        <v>0</v>
      </c>
      <c r="V391" s="419" t="n">
        <f aca="false">Rho_moyen*(20000-Alt_rampe-pos_z)/(20000+Alt_rampe+pos_z)</f>
        <v>1.22557963656005</v>
      </c>
      <c r="W391" s="418" t="n">
        <f aca="false">1/2*Rho*Sref*Cx*vit_xz^2</f>
        <v>5.54566031909543</v>
      </c>
      <c r="X391" s="402"/>
      <c r="Y391" s="423" t="str">
        <f aca="false">IF(AND(pos_z&lt;=0,K390&gt;0),"Impact balistique","") &amp; IF(AND(H392&lt;0,vit_z&gt;=0),"Apogée","") &amp; IF(AND(Poussee=0,Q390&gt;0),"Fin de propulsion","") &amp; IF(AND(L392&gt;L_rampe,pos_xz&lt;=L_rampe),"Sortie de rampe","")</f>
        <v/>
      </c>
      <c r="Z391" s="424" t="str">
        <f aca="false">IF(ABS(t-T_para)&lt;pas/2,"Para","")</f>
        <v/>
      </c>
      <c r="AA391" s="425" t="str">
        <f aca="false">IF(ABS(t-T_satellite)&lt;pas/2,"Satellite","")</f>
        <v/>
      </c>
      <c r="AB391" s="413"/>
      <c r="AC391" s="421" t="e">
        <f aca="false">IF(ABS(t-ROUND(t,0))&lt;0.001,t,NA())</f>
        <v>#N/A</v>
      </c>
      <c r="AD391" s="426" t="e">
        <f aca="false">IF(ABS(t-ROUND(t,0))&lt;0.001,pos_x,NA())</f>
        <v>#N/A</v>
      </c>
      <c r="AE391" s="427" t="e">
        <f aca="false">IF(t&lt;T_para, pos_z, NA())</f>
        <v>#N/A</v>
      </c>
      <c r="AF391" s="413"/>
      <c r="AG391" s="419" t="n">
        <f aca="false">IF(AND(L390&lt;L_rampe,Poussee&lt;Poids*SIN(M390)),0,(-W390+Poussee)/m-Poids*SIN(M390)/m)</f>
        <v>5.97224625944447</v>
      </c>
      <c r="AH391" s="418" t="n">
        <f aca="false">IF(AND(L390&lt;L_rampe,Poussee&lt;Poids*SIN(M390)), g*SIN(M390), (-W390+Poussee)/m)</f>
        <v>-3.73614763435369</v>
      </c>
    </row>
    <row r="392" customFormat="false" ht="12" hidden="false" customHeight="false" outlineLevel="0" collapsed="false">
      <c r="A392" s="417" t="n">
        <f aca="false">IF(B391+0.01&lt;=T_ini+ROUNDUP(Temps_fin_propu,0), 0.01, IF(K391&gt;0, 0.1, 0.0001))</f>
        <v>0.0001</v>
      </c>
      <c r="B392" s="418" t="n">
        <f aca="false">B391+pas</f>
        <v>16.5043</v>
      </c>
      <c r="C392" s="402"/>
      <c r="D392" s="419" t="n">
        <f aca="false">IF(AND(L391&lt;L_rampe,Poussee&lt;Poids*SIN(M391)),0,(-W391+Poussee)/m*COS(M391)-U391/m*SIN(M391))</f>
        <v>-0.536338074301439</v>
      </c>
      <c r="E392" s="420" t="n">
        <f aca="false">IF(AND(L391&lt;L_rampe,Poussee&lt;Poids*SIN(M391)),0,(-W391+Poussee)/m*SIN(M391)+U391/m*COS(M391)-Poids/m)</f>
        <v>-6.11248382754688</v>
      </c>
      <c r="F392" s="418" t="n">
        <f aca="false">SQRT(acc_x^2+acc_z^2)</f>
        <v>6.13596912247507</v>
      </c>
      <c r="G392" s="419" t="n">
        <f aca="false">G391+acc_x*pas</f>
        <v>10.2849285193393</v>
      </c>
      <c r="H392" s="420" t="n">
        <f aca="false">H391+acc_z*pas</f>
        <v>-70.9053067507168</v>
      </c>
      <c r="I392" s="418" t="n">
        <f aca="false">SQRT(vit_x^2+vit_z^2)</f>
        <v>71.6473466365724</v>
      </c>
      <c r="J392" s="419" t="n">
        <f aca="false">J391+0.5*(vit_x+G391)*pas*(K391&gt;=0)</f>
        <v>211.791153319536</v>
      </c>
      <c r="K392" s="420" t="n">
        <f aca="false">K391+0.5*(vit_z+H391)*pas</f>
        <v>-4.73769832367981</v>
      </c>
      <c r="L392" s="418" t="n">
        <f aca="false">SQRT(pos_x^2+pos_z^2)</f>
        <v>211.844137067386</v>
      </c>
      <c r="M392" s="419" t="n">
        <f aca="false">IF(AND(L391&gt;L_rampe,G392&gt;0),ATAN2(G392,H392),$M$4)</f>
        <v>-1.42674936349425</v>
      </c>
      <c r="N392" s="418" t="n">
        <f aca="false">DEGREES(Beta)</f>
        <v>-81.7467169511973</v>
      </c>
      <c r="O392" s="402"/>
      <c r="P392" s="421" t="n">
        <f aca="false">MATCH(t-pas/2-T_ini,CdP_t)</f>
        <v>23</v>
      </c>
      <c r="Q392" s="418" t="n">
        <f aca="false">(INDEX(CdP,2,i_P+1)-INDEX(CdP,2,i_P+0))/(INDEX(CdP,1,i_P+1)-INDEX(CdP,1,i_P+0))*(t-pas/2-T_ini-INDEX(CdP,1,i_P+0))+INDEX(CdP,2,i_P+0)</f>
        <v>0</v>
      </c>
      <c r="R392" s="419" t="n">
        <f aca="false">Poussee/(g*ISP)</f>
        <v>0</v>
      </c>
      <c r="S392" s="420" t="n">
        <f aca="false">S391-Débit*pas</f>
        <v>1.4843</v>
      </c>
      <c r="T392" s="418" t="n">
        <f aca="false">m*g</f>
        <v>14.560983</v>
      </c>
      <c r="U392" s="422" t="n">
        <f aca="false">IF(pos_xz&lt;L_rampe,Poids*COS(Beta),0)</f>
        <v>0</v>
      </c>
      <c r="V392" s="419" t="n">
        <f aca="false">Rho_moyen*(20000-Alt_rampe-pos_z)/(20000+Alt_rampe+pos_z)</f>
        <v>1.22558050555766</v>
      </c>
      <c r="W392" s="418" t="n">
        <f aca="false">1/2*Rho*Sref*Cx*vit_xz^2</f>
        <v>5.54575670449574</v>
      </c>
      <c r="X392" s="402"/>
      <c r="Y392" s="423" t="str">
        <f aca="false">IF(AND(pos_z&lt;=0,K391&gt;0),"Impact balistique","") &amp; IF(AND(H393&lt;0,vit_z&gt;=0),"Apogée","") &amp; IF(AND(Poussee=0,Q391&gt;0),"Fin de propulsion","") &amp; IF(AND(L393&gt;L_rampe,pos_xz&lt;=L_rampe),"Sortie de rampe","")</f>
        <v/>
      </c>
      <c r="Z392" s="424" t="str">
        <f aca="false">IF(ABS(t-T_para)&lt;pas/2,"Para","")</f>
        <v/>
      </c>
      <c r="AA392" s="425" t="str">
        <f aca="false">IF(ABS(t-T_satellite)&lt;pas/2,"Satellite","")</f>
        <v/>
      </c>
      <c r="AB392" s="413"/>
      <c r="AC392" s="421" t="e">
        <f aca="false">IF(ABS(t-ROUND(t,0))&lt;0.001,t,NA())</f>
        <v>#N/A</v>
      </c>
      <c r="AD392" s="426" t="e">
        <f aca="false">IF(ABS(t-ROUND(t,0))&lt;0.001,pos_x,NA())</f>
        <v>#N/A</v>
      </c>
      <c r="AE392" s="427" t="e">
        <f aca="false">IF(t&lt;T_para, pos_z, NA())</f>
        <v>#N/A</v>
      </c>
      <c r="AF392" s="413"/>
      <c r="AG392" s="419" t="n">
        <f aca="false">IF(AND(L391&lt;L_rampe,Poussee&lt;Poids*SIN(M391)),0,(-W391+Poussee)/m-Poids*SIN(M391)/m)</f>
        <v>5.97218409081461</v>
      </c>
      <c r="AH392" s="418" t="n">
        <f aca="false">IF(AND(L391&lt;L_rampe,Poussee&lt;Poids*SIN(M391)), g*SIN(M391), (-W391+Poussee)/m)</f>
        <v>-3.73621257097315</v>
      </c>
    </row>
    <row r="393" customFormat="false" ht="12" hidden="false" customHeight="false" outlineLevel="0" collapsed="false">
      <c r="A393" s="417" t="n">
        <f aca="false">IF(B392+0.01&lt;=T_ini+ROUNDUP(Temps_fin_propu,0), 0.01, IF(K392&gt;0, 0.1, 0.0001))</f>
        <v>0.0001</v>
      </c>
      <c r="B393" s="418" t="n">
        <f aca="false">B392+pas</f>
        <v>16.5044</v>
      </c>
      <c r="C393" s="402"/>
      <c r="D393" s="419" t="n">
        <f aca="false">IF(AND(L392&lt;L_rampe,Poussee&lt;Poids*SIN(M392)),0,(-W392+Poussee)/m*COS(M392)-U392/m*SIN(M392))</f>
        <v>-0.536340128389679</v>
      </c>
      <c r="E393" s="420" t="n">
        <f aca="false">IF(AND(L392&lt;L_rampe,Poussee&lt;Poids*SIN(M392)),0,(-W392+Poussee)/m*SIN(M392)+U392/m*COS(M392)-Poids/m)</f>
        <v>-6.11241850930899</v>
      </c>
      <c r="F393" s="418" t="n">
        <f aca="false">SQRT(acc_x^2+acc_z^2)</f>
        <v>6.13590423379181</v>
      </c>
      <c r="G393" s="419" t="n">
        <f aca="false">G392+acc_x*pas</f>
        <v>10.2848748853264</v>
      </c>
      <c r="H393" s="420" t="n">
        <f aca="false">H392+acc_z*pas</f>
        <v>-70.9059179925678</v>
      </c>
      <c r="I393" s="418" t="n">
        <f aca="false">SQRT(vit_x^2+vit_z^2)</f>
        <v>71.647943848903</v>
      </c>
      <c r="J393" s="419" t="n">
        <f aca="false">J392+0.5*(vit_x+G392)*pas*(K392&gt;=0)</f>
        <v>211.791153319536</v>
      </c>
      <c r="K393" s="420" t="n">
        <f aca="false">K392+0.5*(vit_z+H392)*pas</f>
        <v>-4.74478888491698</v>
      </c>
      <c r="L393" s="418" t="n">
        <f aca="false">SQRT(pos_x^2+pos_z^2)</f>
        <v>211.844295759838</v>
      </c>
      <c r="M393" s="419" t="n">
        <f aca="false">IF(AND(L392&gt;L_rampe,G393&gt;0),ATAN2(G393,H393),$M$4)</f>
        <v>-1.42675132896436</v>
      </c>
      <c r="N393" s="418" t="n">
        <f aca="false">DEGREES(Beta)</f>
        <v>-81.746829564339</v>
      </c>
      <c r="O393" s="402"/>
      <c r="P393" s="421" t="n">
        <f aca="false">MATCH(t-pas/2-T_ini,CdP_t)</f>
        <v>23</v>
      </c>
      <c r="Q393" s="418" t="n">
        <f aca="false">(INDEX(CdP,2,i_P+1)-INDEX(CdP,2,i_P+0))/(INDEX(CdP,1,i_P+1)-INDEX(CdP,1,i_P+0))*(t-pas/2-T_ini-INDEX(CdP,1,i_P+0))+INDEX(CdP,2,i_P+0)</f>
        <v>0</v>
      </c>
      <c r="R393" s="419" t="n">
        <f aca="false">Poussee/(g*ISP)</f>
        <v>0</v>
      </c>
      <c r="S393" s="420" t="n">
        <f aca="false">S392-Débit*pas</f>
        <v>1.4843</v>
      </c>
      <c r="T393" s="418" t="n">
        <f aca="false">m*g</f>
        <v>14.560983</v>
      </c>
      <c r="U393" s="422" t="n">
        <f aca="false">IF(pos_xz&lt;L_rampe,Poids*COS(Beta),0)</f>
        <v>0</v>
      </c>
      <c r="V393" s="419" t="n">
        <f aca="false">Rho_moyen*(20000-Alt_rampe-pos_z)/(20000+Alt_rampe+pos_z)</f>
        <v>1.22558137456338</v>
      </c>
      <c r="W393" s="418" t="n">
        <f aca="false">1/2*Rho*Sref*Cx*vit_xz^2</f>
        <v>5.54585308987206</v>
      </c>
      <c r="X393" s="402"/>
      <c r="Y393" s="423" t="str">
        <f aca="false">IF(AND(pos_z&lt;=0,K392&gt;0),"Impact balistique","") &amp; IF(AND(H394&lt;0,vit_z&gt;=0),"Apogée","") &amp; IF(AND(Poussee=0,Q392&gt;0),"Fin de propulsion","") &amp; IF(AND(L394&gt;L_rampe,pos_xz&lt;=L_rampe),"Sortie de rampe","")</f>
        <v/>
      </c>
      <c r="Z393" s="424" t="str">
        <f aca="false">IF(ABS(t-T_para)&lt;pas/2,"Para","")</f>
        <v/>
      </c>
      <c r="AA393" s="425" t="str">
        <f aca="false">IF(ABS(t-T_satellite)&lt;pas/2,"Satellite","")</f>
        <v/>
      </c>
      <c r="AB393" s="413"/>
      <c r="AC393" s="421" t="e">
        <f aca="false">IF(ABS(t-ROUND(t,0))&lt;0.001,t,NA())</f>
        <v>#N/A</v>
      </c>
      <c r="AD393" s="426" t="e">
        <f aca="false">IF(ABS(t-ROUND(t,0))&lt;0.001,pos_x,NA())</f>
        <v>#N/A</v>
      </c>
      <c r="AE393" s="427" t="e">
        <f aca="false">IF(t&lt;T_para, pos_z, NA())</f>
        <v>#N/A</v>
      </c>
      <c r="AF393" s="413"/>
      <c r="AG393" s="419" t="n">
        <f aca="false">IF(AND(L392&lt;L_rampe,Poussee&lt;Poids*SIN(M392)),0,(-W392+Poussee)/m-Poids*SIN(M392)/m)</f>
        <v>5.9721219221028</v>
      </c>
      <c r="AH393" s="418" t="n">
        <f aca="false">IF(AND(L392&lt;L_rampe,Poussee&lt;Poids*SIN(M392)), g*SIN(M392), (-W392+Poussee)/m)</f>
        <v>-3.73627750757646</v>
      </c>
    </row>
    <row r="394" customFormat="false" ht="12" hidden="false" customHeight="false" outlineLevel="0" collapsed="false">
      <c r="A394" s="417" t="n">
        <f aca="false">IF(B393+0.01&lt;=T_ini+ROUNDUP(Temps_fin_propu,0), 0.01, IF(K393&gt;0, 0.1, 0.0001))</f>
        <v>0.0001</v>
      </c>
      <c r="B394" s="418" t="n">
        <f aca="false">B393+pas</f>
        <v>16.5045</v>
      </c>
      <c r="C394" s="402"/>
      <c r="D394" s="419" t="n">
        <f aca="false">IF(AND(L393&lt;L_rampe,Poussee&lt;Poids*SIN(M393)),0,(-W393+Poussee)/m*COS(M393)-U393/m*SIN(M393))</f>
        <v>-0.536342182379963</v>
      </c>
      <c r="E394" s="420" t="n">
        <f aca="false">IF(AND(L393&lt;L_rampe,Poussee&lt;Poids*SIN(M393)),0,(-W393+Poussee)/m*SIN(M393)+U393/m*COS(M393)-Poids/m)</f>
        <v>-6.11235319108781</v>
      </c>
      <c r="F394" s="418" t="n">
        <f aca="false">SQRT(acc_x^2+acc_z^2)</f>
        <v>6.13583934512642</v>
      </c>
      <c r="G394" s="419" t="n">
        <f aca="false">G393+acc_x*pas</f>
        <v>10.2848212511082</v>
      </c>
      <c r="H394" s="420" t="n">
        <f aca="false">H393+acc_z*pas</f>
        <v>-70.9065292278869</v>
      </c>
      <c r="I394" s="418" t="n">
        <f aca="false">SQRT(vit_x^2+vit_z^2)</f>
        <v>71.6485410550168</v>
      </c>
      <c r="J394" s="419" t="n">
        <f aca="false">J393+0.5*(vit_x+G393)*pas*(K393&gt;=0)</f>
        <v>211.791153319536</v>
      </c>
      <c r="K394" s="420" t="n">
        <f aca="false">K393+0.5*(vit_z+H393)*pas</f>
        <v>-4.751879507278</v>
      </c>
      <c r="L394" s="418" t="n">
        <f aca="false">SQRT(pos_x^2+pos_z^2)</f>
        <v>211.844454690867</v>
      </c>
      <c r="M394" s="419" t="n">
        <f aca="false">IF(AND(L393&gt;L_rampe,G394&gt;0),ATAN2(G394,H394),$M$4)</f>
        <v>-1.42675329439144</v>
      </c>
      <c r="N394" s="418" t="n">
        <f aca="false">DEGREES(Beta)</f>
        <v>-81.746942175016</v>
      </c>
      <c r="O394" s="402"/>
      <c r="P394" s="421" t="n">
        <f aca="false">MATCH(t-pas/2-T_ini,CdP_t)</f>
        <v>23</v>
      </c>
      <c r="Q394" s="418" t="n">
        <f aca="false">(INDEX(CdP,2,i_P+1)-INDEX(CdP,2,i_P+0))/(INDEX(CdP,1,i_P+1)-INDEX(CdP,1,i_P+0))*(t-pas/2-T_ini-INDEX(CdP,1,i_P+0))+INDEX(CdP,2,i_P+0)</f>
        <v>0</v>
      </c>
      <c r="R394" s="419" t="n">
        <f aca="false">Poussee/(g*ISP)</f>
        <v>0</v>
      </c>
      <c r="S394" s="420" t="n">
        <f aca="false">S393-Débit*pas</f>
        <v>1.4843</v>
      </c>
      <c r="T394" s="418" t="n">
        <f aca="false">m*g</f>
        <v>14.560983</v>
      </c>
      <c r="U394" s="422" t="n">
        <f aca="false">IF(pos_xz&lt;L_rampe,Poids*COS(Beta),0)</f>
        <v>0</v>
      </c>
      <c r="V394" s="419" t="n">
        <f aca="false">Rho_moyen*(20000-Alt_rampe-pos_z)/(20000+Alt_rampe+pos_z)</f>
        <v>1.22558224357721</v>
      </c>
      <c r="W394" s="418" t="n">
        <f aca="false">1/2*Rho*Sref*Cx*vit_xz^2</f>
        <v>5.54594947522439</v>
      </c>
      <c r="X394" s="402"/>
      <c r="Y394" s="423" t="str">
        <f aca="false">IF(AND(pos_z&lt;=0,K393&gt;0),"Impact balistique","") &amp; IF(AND(H395&lt;0,vit_z&gt;=0),"Apogée","") &amp; IF(AND(Poussee=0,Q393&gt;0),"Fin de propulsion","") &amp; IF(AND(L395&gt;L_rampe,pos_xz&lt;=L_rampe),"Sortie de rampe","")</f>
        <v/>
      </c>
      <c r="Z394" s="424" t="str">
        <f aca="false">IF(ABS(t-T_para)&lt;pas/2,"Para","")</f>
        <v/>
      </c>
      <c r="AA394" s="425" t="str">
        <f aca="false">IF(ABS(t-T_satellite)&lt;pas/2,"Satellite","")</f>
        <v/>
      </c>
      <c r="AB394" s="413"/>
      <c r="AC394" s="421" t="e">
        <f aca="false">IF(ABS(t-ROUND(t,0))&lt;0.001,t,NA())</f>
        <v>#N/A</v>
      </c>
      <c r="AD394" s="426" t="e">
        <f aca="false">IF(ABS(t-ROUND(t,0))&lt;0.001,pos_x,NA())</f>
        <v>#N/A</v>
      </c>
      <c r="AE394" s="427" t="e">
        <f aca="false">IF(t&lt;T_para, pos_z, NA())</f>
        <v>#N/A</v>
      </c>
      <c r="AF394" s="413"/>
      <c r="AG394" s="419" t="n">
        <f aca="false">IF(AND(L393&lt;L_rampe,Poussee&lt;Poids*SIN(M393)),0,(-W393+Poussee)/m-Poids*SIN(M393)/m)</f>
        <v>5.97205975330906</v>
      </c>
      <c r="AH394" s="418" t="n">
        <f aca="false">IF(AND(L393&lt;L_rampe,Poussee&lt;Poids*SIN(M393)), g*SIN(M393), (-W393+Poussee)/m)</f>
        <v>-3.73634244416363</v>
      </c>
    </row>
    <row r="395" customFormat="false" ht="12" hidden="false" customHeight="false" outlineLevel="0" collapsed="false">
      <c r="A395" s="417" t="n">
        <f aca="false">IF(B394+0.01&lt;=T_ini+ROUNDUP(Temps_fin_propu,0), 0.01, IF(K394&gt;0, 0.1, 0.0001))</f>
        <v>0.0001</v>
      </c>
      <c r="B395" s="418" t="n">
        <f aca="false">B394+pas</f>
        <v>16.5046</v>
      </c>
      <c r="C395" s="402"/>
      <c r="D395" s="419" t="n">
        <f aca="false">IF(AND(L394&lt;L_rampe,Poussee&lt;Poids*SIN(M394)),0,(-W394+Poussee)/m*COS(M394)-U394/m*SIN(M394))</f>
        <v>-0.536344236272293</v>
      </c>
      <c r="E395" s="420" t="n">
        <f aca="false">IF(AND(L394&lt;L_rampe,Poussee&lt;Poids*SIN(M394)),0,(-W394+Poussee)/m*SIN(M394)+U394/m*COS(M394)-Poids/m)</f>
        <v>-6.11228787288334</v>
      </c>
      <c r="F395" s="418" t="n">
        <f aca="false">SQRT(acc_x^2+acc_z^2)</f>
        <v>6.13577445647893</v>
      </c>
      <c r="G395" s="419" t="n">
        <f aca="false">G394+acc_x*pas</f>
        <v>10.2847676166846</v>
      </c>
      <c r="H395" s="420" t="n">
        <f aca="false">H394+acc_z*pas</f>
        <v>-70.9071404566742</v>
      </c>
      <c r="I395" s="418" t="n">
        <f aca="false">SQRT(vit_x^2+vit_z^2)</f>
        <v>71.6491382549136</v>
      </c>
      <c r="J395" s="419" t="n">
        <f aca="false">J394+0.5*(vit_x+G394)*pas*(K394&gt;=0)</f>
        <v>211.791153319536</v>
      </c>
      <c r="K395" s="420" t="n">
        <f aca="false">K394+0.5*(vit_z+H394)*pas</f>
        <v>-4.75897019076223</v>
      </c>
      <c r="L395" s="418" t="n">
        <f aca="false">SQRT(pos_x^2+pos_z^2)</f>
        <v>211.84461386048</v>
      </c>
      <c r="M395" s="419" t="n">
        <f aca="false">IF(AND(L394&gt;L_rampe,G395&gt;0),ATAN2(G395,H395),$M$4)</f>
        <v>-1.42675525977552</v>
      </c>
      <c r="N395" s="418" t="n">
        <f aca="false">DEGREES(Beta)</f>
        <v>-81.7470547832286</v>
      </c>
      <c r="O395" s="402"/>
      <c r="P395" s="421" t="n">
        <f aca="false">MATCH(t-pas/2-T_ini,CdP_t)</f>
        <v>23</v>
      </c>
      <c r="Q395" s="418" t="n">
        <f aca="false">(INDEX(CdP,2,i_P+1)-INDEX(CdP,2,i_P+0))/(INDEX(CdP,1,i_P+1)-INDEX(CdP,1,i_P+0))*(t-pas/2-T_ini-INDEX(CdP,1,i_P+0))+INDEX(CdP,2,i_P+0)</f>
        <v>0</v>
      </c>
      <c r="R395" s="419" t="n">
        <f aca="false">Poussee/(g*ISP)</f>
        <v>0</v>
      </c>
      <c r="S395" s="420" t="n">
        <f aca="false">S394-Débit*pas</f>
        <v>1.4843</v>
      </c>
      <c r="T395" s="418" t="n">
        <f aca="false">m*g</f>
        <v>14.560983</v>
      </c>
      <c r="U395" s="422" t="n">
        <f aca="false">IF(pos_xz&lt;L_rampe,Poids*COS(Beta),0)</f>
        <v>0</v>
      </c>
      <c r="V395" s="419" t="n">
        <f aca="false">Rho_moyen*(20000-Alt_rampe-pos_z)/(20000+Alt_rampe+pos_z)</f>
        <v>1.22558311259914</v>
      </c>
      <c r="W395" s="418" t="n">
        <f aca="false">1/2*Rho*Sref*Cx*vit_xz^2</f>
        <v>5.54604586055269</v>
      </c>
      <c r="X395" s="402"/>
      <c r="Y395" s="423" t="str">
        <f aca="false">IF(AND(pos_z&lt;=0,K394&gt;0),"Impact balistique","") &amp; IF(AND(H396&lt;0,vit_z&gt;=0),"Apogée","") &amp; IF(AND(Poussee=0,Q394&gt;0),"Fin de propulsion","") &amp; IF(AND(L396&gt;L_rampe,pos_xz&lt;=L_rampe),"Sortie de rampe","")</f>
        <v/>
      </c>
      <c r="Z395" s="424" t="str">
        <f aca="false">IF(ABS(t-T_para)&lt;pas/2,"Para","")</f>
        <v/>
      </c>
      <c r="AA395" s="425" t="str">
        <f aca="false">IF(ABS(t-T_satellite)&lt;pas/2,"Satellite","")</f>
        <v/>
      </c>
      <c r="AB395" s="413"/>
      <c r="AC395" s="421" t="e">
        <f aca="false">IF(ABS(t-ROUND(t,0))&lt;0.001,t,NA())</f>
        <v>#N/A</v>
      </c>
      <c r="AD395" s="426" t="e">
        <f aca="false">IF(ABS(t-ROUND(t,0))&lt;0.001,pos_x,NA())</f>
        <v>#N/A</v>
      </c>
      <c r="AE395" s="427" t="e">
        <f aca="false">IF(t&lt;T_para, pos_z, NA())</f>
        <v>#N/A</v>
      </c>
      <c r="AF395" s="413"/>
      <c r="AG395" s="419" t="n">
        <f aca="false">IF(AND(L394&lt;L_rampe,Poussee&lt;Poids*SIN(M394)),0,(-W394+Poussee)/m-Poids*SIN(M394)/m)</f>
        <v>5.97199758443341</v>
      </c>
      <c r="AH395" s="418" t="n">
        <f aca="false">IF(AND(L394&lt;L_rampe,Poussee&lt;Poids*SIN(M394)), g*SIN(M394), (-W394+Poussee)/m)</f>
        <v>-3.73640738073462</v>
      </c>
    </row>
    <row r="396" customFormat="false" ht="12" hidden="false" customHeight="false" outlineLevel="0" collapsed="false">
      <c r="A396" s="417" t="n">
        <f aca="false">IF(B395+0.01&lt;=T_ini+ROUNDUP(Temps_fin_propu,0), 0.01, IF(K395&gt;0, 0.1, 0.0001))</f>
        <v>0.0001</v>
      </c>
      <c r="B396" s="418" t="n">
        <f aca="false">B395+pas</f>
        <v>16.5047</v>
      </c>
      <c r="C396" s="402"/>
      <c r="D396" s="419" t="n">
        <f aca="false">IF(AND(L395&lt;L_rampe,Poussee&lt;Poids*SIN(M395)),0,(-W395+Poussee)/m*COS(M395)-U395/m*SIN(M395))</f>
        <v>-0.536346290066668</v>
      </c>
      <c r="E396" s="420" t="n">
        <f aca="false">IF(AND(L395&lt;L_rampe,Poussee&lt;Poids*SIN(M395)),0,(-W395+Poussee)/m*SIN(M395)+U395/m*COS(M395)-Poids/m)</f>
        <v>-6.1122225546956</v>
      </c>
      <c r="F396" s="418" t="n">
        <f aca="false">SQRT(acc_x^2+acc_z^2)</f>
        <v>6.13570956784934</v>
      </c>
      <c r="G396" s="419" t="n">
        <f aca="false">G395+acc_x*pas</f>
        <v>10.2847139820556</v>
      </c>
      <c r="H396" s="420" t="n">
        <f aca="false">H395+acc_z*pas</f>
        <v>-70.9077516789296</v>
      </c>
      <c r="I396" s="418" t="n">
        <f aca="false">SQRT(vit_x^2+vit_z^2)</f>
        <v>71.6497354485935</v>
      </c>
      <c r="J396" s="419" t="n">
        <f aca="false">J395+0.5*(vit_x+G395)*pas*(K395&gt;=0)</f>
        <v>211.791153319536</v>
      </c>
      <c r="K396" s="420" t="n">
        <f aca="false">K395+0.5*(vit_z+H395)*pas</f>
        <v>-4.76606093536901</v>
      </c>
      <c r="L396" s="418" t="n">
        <f aca="false">SQRT(pos_x^2+pos_z^2)</f>
        <v>211.844773268681</v>
      </c>
      <c r="M396" s="419" t="n">
        <f aca="false">IF(AND(L395&gt;L_rampe,G396&gt;0),ATAN2(G396,H396),$M$4)</f>
        <v>-1.42675722511658</v>
      </c>
      <c r="N396" s="418" t="n">
        <f aca="false">DEGREES(Beta)</f>
        <v>-81.7471673889768</v>
      </c>
      <c r="O396" s="402"/>
      <c r="P396" s="421" t="n">
        <f aca="false">MATCH(t-pas/2-T_ini,CdP_t)</f>
        <v>23</v>
      </c>
      <c r="Q396" s="418" t="n">
        <f aca="false">(INDEX(CdP,2,i_P+1)-INDEX(CdP,2,i_P+0))/(INDEX(CdP,1,i_P+1)-INDEX(CdP,1,i_P+0))*(t-pas/2-T_ini-INDEX(CdP,1,i_P+0))+INDEX(CdP,2,i_P+0)</f>
        <v>0</v>
      </c>
      <c r="R396" s="419" t="n">
        <f aca="false">Poussee/(g*ISP)</f>
        <v>0</v>
      </c>
      <c r="S396" s="420" t="n">
        <f aca="false">S395-Débit*pas</f>
        <v>1.4843</v>
      </c>
      <c r="T396" s="418" t="n">
        <f aca="false">m*g</f>
        <v>14.560983</v>
      </c>
      <c r="U396" s="422" t="n">
        <f aca="false">IF(pos_xz&lt;L_rampe,Poids*COS(Beta),0)</f>
        <v>0</v>
      </c>
      <c r="V396" s="419" t="n">
        <f aca="false">Rho_moyen*(20000-Alt_rampe-pos_z)/(20000+Alt_rampe+pos_z)</f>
        <v>1.22558398162918</v>
      </c>
      <c r="W396" s="418" t="n">
        <f aca="false">1/2*Rho*Sref*Cx*vit_xz^2</f>
        <v>5.54614224585693</v>
      </c>
      <c r="X396" s="402"/>
      <c r="Y396" s="423" t="str">
        <f aca="false">IF(AND(pos_z&lt;=0,K395&gt;0),"Impact balistique","") &amp; IF(AND(H397&lt;0,vit_z&gt;=0),"Apogée","") &amp; IF(AND(Poussee=0,Q395&gt;0),"Fin de propulsion","") &amp; IF(AND(L397&gt;L_rampe,pos_xz&lt;=L_rampe),"Sortie de rampe","")</f>
        <v/>
      </c>
      <c r="Z396" s="424" t="str">
        <f aca="false">IF(ABS(t-T_para)&lt;pas/2,"Para","")</f>
        <v/>
      </c>
      <c r="AA396" s="425" t="str">
        <f aca="false">IF(ABS(t-T_satellite)&lt;pas/2,"Satellite","")</f>
        <v/>
      </c>
      <c r="AB396" s="413"/>
      <c r="AC396" s="421" t="e">
        <f aca="false">IF(ABS(t-ROUND(t,0))&lt;0.001,t,NA())</f>
        <v>#N/A</v>
      </c>
      <c r="AD396" s="426" t="e">
        <f aca="false">IF(ABS(t-ROUND(t,0))&lt;0.001,pos_x,NA())</f>
        <v>#N/A</v>
      </c>
      <c r="AE396" s="427" t="e">
        <f aca="false">IF(t&lt;T_para, pos_z, NA())</f>
        <v>#N/A</v>
      </c>
      <c r="AF396" s="413"/>
      <c r="AG396" s="419" t="n">
        <f aca="false">IF(AND(L395&lt;L_rampe,Poussee&lt;Poids*SIN(M395)),0,(-W395+Poussee)/m-Poids*SIN(M395)/m)</f>
        <v>5.97193541547588</v>
      </c>
      <c r="AH396" s="418" t="n">
        <f aca="false">IF(AND(L395&lt;L_rampe,Poussee&lt;Poids*SIN(M395)), g*SIN(M395), (-W395+Poussee)/m)</f>
        <v>-3.73647231728942</v>
      </c>
    </row>
    <row r="397" customFormat="false" ht="12" hidden="false" customHeight="false" outlineLevel="0" collapsed="false">
      <c r="A397" s="417" t="n">
        <f aca="false">IF(B396+0.01&lt;=T_ini+ROUNDUP(Temps_fin_propu,0), 0.01, IF(K396&gt;0, 0.1, 0.0001))</f>
        <v>0.0001</v>
      </c>
      <c r="B397" s="418" t="n">
        <f aca="false">B396+pas</f>
        <v>16.5048</v>
      </c>
      <c r="C397" s="402"/>
      <c r="D397" s="419" t="n">
        <f aca="false">IF(AND(L396&lt;L_rampe,Poussee&lt;Poids*SIN(M396)),0,(-W396+Poussee)/m*COS(M396)-U396/m*SIN(M396))</f>
        <v>-0.536348343763089</v>
      </c>
      <c r="E397" s="420" t="n">
        <f aca="false">IF(AND(L396&lt;L_rampe,Poussee&lt;Poids*SIN(M396)),0,(-W396+Poussee)/m*SIN(M396)+U396/m*COS(M396)-Poids/m)</f>
        <v>-6.11215723652462</v>
      </c>
      <c r="F397" s="418" t="n">
        <f aca="false">SQRT(acc_x^2+acc_z^2)</f>
        <v>6.13564467923768</v>
      </c>
      <c r="G397" s="419" t="n">
        <f aca="false">G396+acc_x*pas</f>
        <v>10.2846603472212</v>
      </c>
      <c r="H397" s="420" t="n">
        <f aca="false">H396+acc_z*pas</f>
        <v>-70.9083628946533</v>
      </c>
      <c r="I397" s="418" t="n">
        <f aca="false">SQRT(vit_x^2+vit_z^2)</f>
        <v>71.6503326360565</v>
      </c>
      <c r="J397" s="419" t="n">
        <f aca="false">J396+0.5*(vit_x+G396)*pas*(K396&gt;=0)</f>
        <v>211.791153319536</v>
      </c>
      <c r="K397" s="420" t="n">
        <f aca="false">K396+0.5*(vit_z+H396)*pas</f>
        <v>-4.77315174109769</v>
      </c>
      <c r="L397" s="418" t="n">
        <f aca="false">SQRT(pos_x^2+pos_z^2)</f>
        <v>211.844932915477</v>
      </c>
      <c r="M397" s="419" t="n">
        <f aca="false">IF(AND(L396&gt;L_rampe,G397&gt;0),ATAN2(G397,H397),$M$4)</f>
        <v>-1.42675919041463</v>
      </c>
      <c r="N397" s="418" t="n">
        <f aca="false">DEGREES(Beta)</f>
        <v>-81.7472799922607</v>
      </c>
      <c r="O397" s="402"/>
      <c r="P397" s="421" t="n">
        <f aca="false">MATCH(t-pas/2-T_ini,CdP_t)</f>
        <v>23</v>
      </c>
      <c r="Q397" s="418" t="n">
        <f aca="false">(INDEX(CdP,2,i_P+1)-INDEX(CdP,2,i_P+0))/(INDEX(CdP,1,i_P+1)-INDEX(CdP,1,i_P+0))*(t-pas/2-T_ini-INDEX(CdP,1,i_P+0))+INDEX(CdP,2,i_P+0)</f>
        <v>0</v>
      </c>
      <c r="R397" s="419" t="n">
        <f aca="false">Poussee/(g*ISP)</f>
        <v>0</v>
      </c>
      <c r="S397" s="420" t="n">
        <f aca="false">S396-Débit*pas</f>
        <v>1.4843</v>
      </c>
      <c r="T397" s="418" t="n">
        <f aca="false">m*g</f>
        <v>14.560983</v>
      </c>
      <c r="U397" s="422" t="n">
        <f aca="false">IF(pos_xz&lt;L_rampe,Poids*COS(Beta),0)</f>
        <v>0</v>
      </c>
      <c r="V397" s="419" t="n">
        <f aca="false">Rho_moyen*(20000-Alt_rampe-pos_z)/(20000+Alt_rampe+pos_z)</f>
        <v>1.22558485066733</v>
      </c>
      <c r="W397" s="418" t="n">
        <f aca="false">1/2*Rho*Sref*Cx*vit_xz^2</f>
        <v>5.54623863113709</v>
      </c>
      <c r="X397" s="402"/>
      <c r="Y397" s="423" t="str">
        <f aca="false">IF(AND(pos_z&lt;=0,K396&gt;0),"Impact balistique","") &amp; IF(AND(H398&lt;0,vit_z&gt;=0),"Apogée","") &amp; IF(AND(Poussee=0,Q396&gt;0),"Fin de propulsion","") &amp; IF(AND(L398&gt;L_rampe,pos_xz&lt;=L_rampe),"Sortie de rampe","")</f>
        <v/>
      </c>
      <c r="Z397" s="424" t="str">
        <f aca="false">IF(ABS(t-T_para)&lt;pas/2,"Para","")</f>
        <v/>
      </c>
      <c r="AA397" s="425" t="str">
        <f aca="false">IF(ABS(t-T_satellite)&lt;pas/2,"Satellite","")</f>
        <v/>
      </c>
      <c r="AB397" s="413"/>
      <c r="AC397" s="421" t="e">
        <f aca="false">IF(ABS(t-ROUND(t,0))&lt;0.001,t,NA())</f>
        <v>#N/A</v>
      </c>
      <c r="AD397" s="426" t="e">
        <f aca="false">IF(ABS(t-ROUND(t,0))&lt;0.001,pos_x,NA())</f>
        <v>#N/A</v>
      </c>
      <c r="AE397" s="427" t="e">
        <f aca="false">IF(t&lt;T_para, pos_z, NA())</f>
        <v>#N/A</v>
      </c>
      <c r="AF397" s="413"/>
      <c r="AG397" s="419" t="n">
        <f aca="false">IF(AND(L396&lt;L_rampe,Poussee&lt;Poids*SIN(M396)),0,(-W396+Poussee)/m-Poids*SIN(M396)/m)</f>
        <v>5.97187324643649</v>
      </c>
      <c r="AH397" s="418" t="n">
        <f aca="false">IF(AND(L396&lt;L_rampe,Poussee&lt;Poids*SIN(M396)), g*SIN(M396), (-W396+Poussee)/m)</f>
        <v>-3.73653725382802</v>
      </c>
    </row>
    <row r="398" customFormat="false" ht="12" hidden="false" customHeight="false" outlineLevel="0" collapsed="false">
      <c r="A398" s="417" t="n">
        <f aca="false">IF(B397+0.01&lt;=T_ini+ROUNDUP(Temps_fin_propu,0), 0.01, IF(K397&gt;0, 0.1, 0.0001))</f>
        <v>0.0001</v>
      </c>
      <c r="B398" s="418" t="n">
        <f aca="false">B397+pas</f>
        <v>16.5049</v>
      </c>
      <c r="C398" s="402"/>
      <c r="D398" s="419" t="n">
        <f aca="false">IF(AND(L397&lt;L_rampe,Poussee&lt;Poids*SIN(M397)),0,(-W397+Poussee)/m*COS(M397)-U397/m*SIN(M397))</f>
        <v>-0.536350397361557</v>
      </c>
      <c r="E398" s="420" t="n">
        <f aca="false">IF(AND(L397&lt;L_rampe,Poussee&lt;Poids*SIN(M397)),0,(-W397+Poussee)/m*SIN(M397)+U397/m*COS(M397)-Poids/m)</f>
        <v>-6.1120919183704</v>
      </c>
      <c r="F398" s="418" t="n">
        <f aca="false">SQRT(acc_x^2+acc_z^2)</f>
        <v>6.13557979064397</v>
      </c>
      <c r="G398" s="419" t="n">
        <f aca="false">G397+acc_x*pas</f>
        <v>10.2846067121815</v>
      </c>
      <c r="H398" s="420" t="n">
        <f aca="false">H397+acc_z*pas</f>
        <v>-70.9089741038451</v>
      </c>
      <c r="I398" s="418" t="n">
        <f aca="false">SQRT(vit_x^2+vit_z^2)</f>
        <v>71.6509298173026</v>
      </c>
      <c r="J398" s="419" t="n">
        <f aca="false">J397+0.5*(vit_x+G397)*pas*(K397&gt;=0)</f>
        <v>211.791153319536</v>
      </c>
      <c r="K398" s="420" t="n">
        <f aca="false">K397+0.5*(vit_z+H397)*pas</f>
        <v>-4.78024260794761</v>
      </c>
      <c r="L398" s="418" t="n">
        <f aca="false">SQRT(pos_x^2+pos_z^2)</f>
        <v>211.845092800872</v>
      </c>
      <c r="M398" s="419" t="n">
        <f aca="false">IF(AND(L397&gt;L_rampe,G398&gt;0),ATAN2(G398,H398),$M$4)</f>
        <v>-1.42676115566968</v>
      </c>
      <c r="N398" s="418" t="n">
        <f aca="false">DEGREES(Beta)</f>
        <v>-81.7473925930803</v>
      </c>
      <c r="O398" s="402"/>
      <c r="P398" s="421" t="n">
        <f aca="false">MATCH(t-pas/2-T_ini,CdP_t)</f>
        <v>23</v>
      </c>
      <c r="Q398" s="418" t="n">
        <f aca="false">(INDEX(CdP,2,i_P+1)-INDEX(CdP,2,i_P+0))/(INDEX(CdP,1,i_P+1)-INDEX(CdP,1,i_P+0))*(t-pas/2-T_ini-INDEX(CdP,1,i_P+0))+INDEX(CdP,2,i_P+0)</f>
        <v>0</v>
      </c>
      <c r="R398" s="419" t="n">
        <f aca="false">Poussee/(g*ISP)</f>
        <v>0</v>
      </c>
      <c r="S398" s="420" t="n">
        <f aca="false">S397-Débit*pas</f>
        <v>1.4843</v>
      </c>
      <c r="T398" s="418" t="n">
        <f aca="false">m*g</f>
        <v>14.560983</v>
      </c>
      <c r="U398" s="422" t="n">
        <f aca="false">IF(pos_xz&lt;L_rampe,Poids*COS(Beta),0)</f>
        <v>0</v>
      </c>
      <c r="V398" s="419" t="n">
        <f aca="false">Rho_moyen*(20000-Alt_rampe-pos_z)/(20000+Alt_rampe+pos_z)</f>
        <v>1.22558571971359</v>
      </c>
      <c r="W398" s="418" t="n">
        <f aca="false">1/2*Rho*Sref*Cx*vit_xz^2</f>
        <v>5.54633501639316</v>
      </c>
      <c r="X398" s="402"/>
      <c r="Y398" s="423" t="str">
        <f aca="false">IF(AND(pos_z&lt;=0,K397&gt;0),"Impact balistique","") &amp; IF(AND(H399&lt;0,vit_z&gt;=0),"Apogée","") &amp; IF(AND(Poussee=0,Q397&gt;0),"Fin de propulsion","") &amp; IF(AND(L399&gt;L_rampe,pos_xz&lt;=L_rampe),"Sortie de rampe","")</f>
        <v/>
      </c>
      <c r="Z398" s="424" t="str">
        <f aca="false">IF(ABS(t-T_para)&lt;pas/2,"Para","")</f>
        <v/>
      </c>
      <c r="AA398" s="425" t="str">
        <f aca="false">IF(ABS(t-T_satellite)&lt;pas/2,"Satellite","")</f>
        <v/>
      </c>
      <c r="AB398" s="413"/>
      <c r="AC398" s="421" t="e">
        <f aca="false">IF(ABS(t-ROUND(t,0))&lt;0.001,t,NA())</f>
        <v>#N/A</v>
      </c>
      <c r="AD398" s="426" t="e">
        <f aca="false">IF(ABS(t-ROUND(t,0))&lt;0.001,pos_x,NA())</f>
        <v>#N/A</v>
      </c>
      <c r="AE398" s="427" t="e">
        <f aca="false">IF(t&lt;T_para, pos_z, NA())</f>
        <v>#N/A</v>
      </c>
      <c r="AF398" s="413"/>
      <c r="AG398" s="419" t="n">
        <f aca="false">IF(AND(L397&lt;L_rampe,Poussee&lt;Poids*SIN(M397)),0,(-W397+Poussee)/m-Poids*SIN(M397)/m)</f>
        <v>5.97181107731525</v>
      </c>
      <c r="AH398" s="418" t="n">
        <f aca="false">IF(AND(L397&lt;L_rampe,Poussee&lt;Poids*SIN(M397)), g*SIN(M397), (-W397+Poussee)/m)</f>
        <v>-3.7366021903504</v>
      </c>
    </row>
    <row r="399" customFormat="false" ht="12" hidden="false" customHeight="false" outlineLevel="0" collapsed="false">
      <c r="A399" s="417" t="n">
        <f aca="false">IF(B398+0.01&lt;=T_ini+ROUNDUP(Temps_fin_propu,0), 0.01, IF(K398&gt;0, 0.1, 0.0001))</f>
        <v>0.0001</v>
      </c>
      <c r="B399" s="418" t="n">
        <f aca="false">B398+pas</f>
        <v>16.505</v>
      </c>
      <c r="C399" s="402"/>
      <c r="D399" s="419" t="n">
        <f aca="false">IF(AND(L398&lt;L_rampe,Poussee&lt;Poids*SIN(M398)),0,(-W398+Poussee)/m*COS(M398)-U398/m*SIN(M398))</f>
        <v>-0.536352450862073</v>
      </c>
      <c r="E399" s="420" t="n">
        <f aca="false">IF(AND(L398&lt;L_rampe,Poussee&lt;Poids*SIN(M398)),0,(-W398+Poussee)/m*SIN(M398)+U398/m*COS(M398)-Poids/m)</f>
        <v>-6.11202660023296</v>
      </c>
      <c r="F399" s="418" t="n">
        <f aca="false">SQRT(acc_x^2+acc_z^2)</f>
        <v>6.13551490206821</v>
      </c>
      <c r="G399" s="419" t="n">
        <f aca="false">G398+acc_x*pas</f>
        <v>10.2845530769364</v>
      </c>
      <c r="H399" s="420" t="n">
        <f aca="false">H398+acc_z*pas</f>
        <v>-70.9095853065051</v>
      </c>
      <c r="I399" s="418" t="n">
        <f aca="false">SQRT(vit_x^2+vit_z^2)</f>
        <v>71.6515269923318</v>
      </c>
      <c r="J399" s="419" t="n">
        <f aca="false">J398+0.5*(vit_x+G398)*pas*(K398&gt;=0)</f>
        <v>211.791153319536</v>
      </c>
      <c r="K399" s="420" t="n">
        <f aca="false">K398+0.5*(vit_z+H398)*pas</f>
        <v>-4.78733353591813</v>
      </c>
      <c r="L399" s="418" t="n">
        <f aca="false">SQRT(pos_x^2+pos_z^2)</f>
        <v>211.845252924873</v>
      </c>
      <c r="M399" s="419" t="n">
        <f aca="false">IF(AND(L398&gt;L_rampe,G399&gt;0),ATAN2(G399,H399),$M$4)</f>
        <v>-1.42676312088171</v>
      </c>
      <c r="N399" s="418" t="n">
        <f aca="false">DEGREES(Beta)</f>
        <v>-81.7475051914358</v>
      </c>
      <c r="O399" s="402"/>
      <c r="P399" s="421" t="n">
        <f aca="false">MATCH(t-pas/2-T_ini,CdP_t)</f>
        <v>23</v>
      </c>
      <c r="Q399" s="418" t="n">
        <f aca="false">(INDEX(CdP,2,i_P+1)-INDEX(CdP,2,i_P+0))/(INDEX(CdP,1,i_P+1)-INDEX(CdP,1,i_P+0))*(t-pas/2-T_ini-INDEX(CdP,1,i_P+0))+INDEX(CdP,2,i_P+0)</f>
        <v>0</v>
      </c>
      <c r="R399" s="419" t="n">
        <f aca="false">Poussee/(g*ISP)</f>
        <v>0</v>
      </c>
      <c r="S399" s="420" t="n">
        <f aca="false">S398-Débit*pas</f>
        <v>1.4843</v>
      </c>
      <c r="T399" s="418" t="n">
        <f aca="false">m*g</f>
        <v>14.560983</v>
      </c>
      <c r="U399" s="422" t="n">
        <f aca="false">IF(pos_xz&lt;L_rampe,Poids*COS(Beta),0)</f>
        <v>0</v>
      </c>
      <c r="V399" s="419" t="n">
        <f aca="false">Rho_moyen*(20000-Alt_rampe-pos_z)/(20000+Alt_rampe+pos_z)</f>
        <v>1.22558658876795</v>
      </c>
      <c r="W399" s="418" t="n">
        <f aca="false">1/2*Rho*Sref*Cx*vit_xz^2</f>
        <v>5.54643140162511</v>
      </c>
      <c r="X399" s="402"/>
      <c r="Y399" s="423" t="str">
        <f aca="false">IF(AND(pos_z&lt;=0,K398&gt;0),"Impact balistique","") &amp; IF(AND(H400&lt;0,vit_z&gt;=0),"Apogée","") &amp; IF(AND(Poussee=0,Q398&gt;0),"Fin de propulsion","") &amp; IF(AND(L400&gt;L_rampe,pos_xz&lt;=L_rampe),"Sortie de rampe","")</f>
        <v/>
      </c>
      <c r="Z399" s="424" t="str">
        <f aca="false">IF(ABS(t-T_para)&lt;pas/2,"Para","")</f>
        <v/>
      </c>
      <c r="AA399" s="425" t="str">
        <f aca="false">IF(ABS(t-T_satellite)&lt;pas/2,"Satellite","")</f>
        <v/>
      </c>
      <c r="AB399" s="413"/>
      <c r="AC399" s="421" t="e">
        <f aca="false">IF(ABS(t-ROUND(t,0))&lt;0.001,t,NA())</f>
        <v>#N/A</v>
      </c>
      <c r="AD399" s="426" t="e">
        <f aca="false">IF(ABS(t-ROUND(t,0))&lt;0.001,pos_x,NA())</f>
        <v>#N/A</v>
      </c>
      <c r="AE399" s="427" t="e">
        <f aca="false">IF(t&lt;T_para, pos_z, NA())</f>
        <v>#N/A</v>
      </c>
      <c r="AF399" s="413"/>
      <c r="AG399" s="419" t="n">
        <f aca="false">IF(AND(L398&lt;L_rampe,Poussee&lt;Poids*SIN(M398)),0,(-W398+Poussee)/m-Poids*SIN(M398)/m)</f>
        <v>5.9717489081122</v>
      </c>
      <c r="AH399" s="418" t="n">
        <f aca="false">IF(AND(L398&lt;L_rampe,Poussee&lt;Poids*SIN(M398)), g*SIN(M398), (-W398+Poussee)/m)</f>
        <v>-3.73666712685655</v>
      </c>
    </row>
    <row r="400" customFormat="false" ht="12" hidden="false" customHeight="false" outlineLevel="0" collapsed="false">
      <c r="A400" s="417" t="n">
        <f aca="false">IF(B399+0.01&lt;=T_ini+ROUNDUP(Temps_fin_propu,0), 0.01, IF(K399&gt;0, 0.1, 0.0001))</f>
        <v>0.0001</v>
      </c>
      <c r="B400" s="418" t="n">
        <f aca="false">B399+pas</f>
        <v>16.5051</v>
      </c>
      <c r="C400" s="402"/>
      <c r="D400" s="419" t="n">
        <f aca="false">IF(AND(L399&lt;L_rampe,Poussee&lt;Poids*SIN(M399)),0,(-W399+Poussee)/m*COS(M399)-U399/m*SIN(M399))</f>
        <v>-0.536354504264638</v>
      </c>
      <c r="E400" s="420" t="n">
        <f aca="false">IF(AND(L399&lt;L_rampe,Poussee&lt;Poids*SIN(M399)),0,(-W399+Poussee)/m*SIN(M399)+U399/m*COS(M399)-Poids/m)</f>
        <v>-6.11196128211232</v>
      </c>
      <c r="F400" s="418" t="n">
        <f aca="false">SQRT(acc_x^2+acc_z^2)</f>
        <v>6.13545001351042</v>
      </c>
      <c r="G400" s="419" t="n">
        <f aca="false">G399+acc_x*pas</f>
        <v>10.284499441486</v>
      </c>
      <c r="H400" s="420" t="n">
        <f aca="false">H399+acc_z*pas</f>
        <v>-70.9101965026333</v>
      </c>
      <c r="I400" s="418" t="n">
        <f aca="false">SQRT(vit_x^2+vit_z^2)</f>
        <v>71.652124161144</v>
      </c>
      <c r="J400" s="419" t="n">
        <f aca="false">J399+0.5*(vit_x+G399)*pas*(K399&gt;=0)</f>
        <v>211.791153319536</v>
      </c>
      <c r="K400" s="420" t="n">
        <f aca="false">K399+0.5*(vit_z+H399)*pas</f>
        <v>-4.79442452500859</v>
      </c>
      <c r="L400" s="418" t="n">
        <f aca="false">SQRT(pos_x^2+pos_z^2)</f>
        <v>211.845413287485</v>
      </c>
      <c r="M400" s="419" t="n">
        <f aca="false">IF(AND(L399&gt;L_rampe,G400&gt;0),ATAN2(G400,H400),$M$4)</f>
        <v>-1.42676508605074</v>
      </c>
      <c r="N400" s="418" t="n">
        <f aca="false">DEGREES(Beta)</f>
        <v>-81.7476177873272</v>
      </c>
      <c r="O400" s="402"/>
      <c r="P400" s="421" t="n">
        <f aca="false">MATCH(t-pas/2-T_ini,CdP_t)</f>
        <v>23</v>
      </c>
      <c r="Q400" s="418" t="n">
        <f aca="false">(INDEX(CdP,2,i_P+1)-INDEX(CdP,2,i_P+0))/(INDEX(CdP,1,i_P+1)-INDEX(CdP,1,i_P+0))*(t-pas/2-T_ini-INDEX(CdP,1,i_P+0))+INDEX(CdP,2,i_P+0)</f>
        <v>0</v>
      </c>
      <c r="R400" s="419" t="n">
        <f aca="false">Poussee/(g*ISP)</f>
        <v>0</v>
      </c>
      <c r="S400" s="420" t="n">
        <f aca="false">S399-Débit*pas</f>
        <v>1.4843</v>
      </c>
      <c r="T400" s="418" t="n">
        <f aca="false">m*g</f>
        <v>14.560983</v>
      </c>
      <c r="U400" s="422" t="n">
        <f aca="false">IF(pos_xz&lt;L_rampe,Poids*COS(Beta),0)</f>
        <v>0</v>
      </c>
      <c r="V400" s="419" t="n">
        <f aca="false">Rho_moyen*(20000-Alt_rampe-pos_z)/(20000+Alt_rampe+pos_z)</f>
        <v>1.22558745783042</v>
      </c>
      <c r="W400" s="418" t="n">
        <f aca="false">1/2*Rho*Sref*Cx*vit_xz^2</f>
        <v>5.5465277868329</v>
      </c>
      <c r="X400" s="402"/>
      <c r="Y400" s="423" t="str">
        <f aca="false">IF(AND(pos_z&lt;=0,K399&gt;0),"Impact balistique","") &amp; IF(AND(H401&lt;0,vit_z&gt;=0),"Apogée","") &amp; IF(AND(Poussee=0,Q399&gt;0),"Fin de propulsion","") &amp; IF(AND(L401&gt;L_rampe,pos_xz&lt;=L_rampe),"Sortie de rampe","")</f>
        <v/>
      </c>
      <c r="Z400" s="424" t="str">
        <f aca="false">IF(ABS(t-T_para)&lt;pas/2,"Para","")</f>
        <v/>
      </c>
      <c r="AA400" s="425" t="str">
        <f aca="false">IF(ABS(t-T_satellite)&lt;pas/2,"Satellite","")</f>
        <v/>
      </c>
      <c r="AB400" s="413"/>
      <c r="AC400" s="421" t="e">
        <f aca="false">IF(ABS(t-ROUND(t,0))&lt;0.001,t,NA())</f>
        <v>#N/A</v>
      </c>
      <c r="AD400" s="426" t="e">
        <f aca="false">IF(ABS(t-ROUND(t,0))&lt;0.001,pos_x,NA())</f>
        <v>#N/A</v>
      </c>
      <c r="AE400" s="427" t="e">
        <f aca="false">IF(t&lt;T_para, pos_z, NA())</f>
        <v>#N/A</v>
      </c>
      <c r="AF400" s="413"/>
      <c r="AG400" s="419" t="n">
        <f aca="false">IF(AND(L399&lt;L_rampe,Poussee&lt;Poids*SIN(M399)),0,(-W399+Poussee)/m-Poids*SIN(M399)/m)</f>
        <v>5.97168673882733</v>
      </c>
      <c r="AH400" s="418" t="n">
        <f aca="false">IF(AND(L399&lt;L_rampe,Poussee&lt;Poids*SIN(M399)), g*SIN(M399), (-W399+Poussee)/m)</f>
        <v>-3.73673206334644</v>
      </c>
    </row>
    <row r="401" customFormat="false" ht="12" hidden="false" customHeight="false" outlineLevel="0" collapsed="false">
      <c r="A401" s="417" t="n">
        <f aca="false">IF(B400+0.01&lt;=T_ini+ROUNDUP(Temps_fin_propu,0), 0.01, IF(K400&gt;0, 0.1, 0.0001))</f>
        <v>0.0001</v>
      </c>
      <c r="B401" s="418" t="n">
        <f aca="false">B400+pas</f>
        <v>16.5052</v>
      </c>
      <c r="C401" s="402"/>
      <c r="D401" s="419" t="n">
        <f aca="false">IF(AND(L400&lt;L_rampe,Poussee&lt;Poids*SIN(M400)),0,(-W400+Poussee)/m*COS(M400)-U400/m*SIN(M400))</f>
        <v>-0.536356557569251</v>
      </c>
      <c r="E401" s="420" t="n">
        <f aca="false">IF(AND(L400&lt;L_rampe,Poussee&lt;Poids*SIN(M400)),0,(-W400+Poussee)/m*SIN(M400)+U400/m*COS(M400)-Poids/m)</f>
        <v>-6.1118959640085</v>
      </c>
      <c r="F401" s="418" t="n">
        <f aca="false">SQRT(acc_x^2+acc_z^2)</f>
        <v>6.13538512497063</v>
      </c>
      <c r="G401" s="419" t="n">
        <f aca="false">G400+acc_x*pas</f>
        <v>10.2844458058302</v>
      </c>
      <c r="H401" s="420" t="n">
        <f aca="false">H400+acc_z*pas</f>
        <v>-70.9108076922297</v>
      </c>
      <c r="I401" s="418" t="n">
        <f aca="false">SQRT(vit_x^2+vit_z^2)</f>
        <v>71.6527213237393</v>
      </c>
      <c r="J401" s="419" t="n">
        <f aca="false">J400+0.5*(vit_x+G400)*pas*(K400&gt;=0)</f>
        <v>211.791153319536</v>
      </c>
      <c r="K401" s="420" t="n">
        <f aca="false">K400+0.5*(vit_z+H400)*pas</f>
        <v>-4.80151557521833</v>
      </c>
      <c r="L401" s="418" t="n">
        <f aca="false">SQRT(pos_x^2+pos_z^2)</f>
        <v>211.845573888713</v>
      </c>
      <c r="M401" s="419" t="n">
        <f aca="false">IF(AND(L400&gt;L_rampe,G401&gt;0),ATAN2(G401,H401),$M$4)</f>
        <v>-1.42676705117677</v>
      </c>
      <c r="N401" s="418" t="n">
        <f aca="false">DEGREES(Beta)</f>
        <v>-81.7477303807547</v>
      </c>
      <c r="O401" s="402"/>
      <c r="P401" s="421" t="n">
        <f aca="false">MATCH(t-pas/2-T_ini,CdP_t)</f>
        <v>23</v>
      </c>
      <c r="Q401" s="418" t="n">
        <f aca="false">(INDEX(CdP,2,i_P+1)-INDEX(CdP,2,i_P+0))/(INDEX(CdP,1,i_P+1)-INDEX(CdP,1,i_P+0))*(t-pas/2-T_ini-INDEX(CdP,1,i_P+0))+INDEX(CdP,2,i_P+0)</f>
        <v>0</v>
      </c>
      <c r="R401" s="419" t="n">
        <f aca="false">Poussee/(g*ISP)</f>
        <v>0</v>
      </c>
      <c r="S401" s="420" t="n">
        <f aca="false">S400-Débit*pas</f>
        <v>1.4843</v>
      </c>
      <c r="T401" s="418" t="n">
        <f aca="false">m*g</f>
        <v>14.560983</v>
      </c>
      <c r="U401" s="422" t="n">
        <f aca="false">IF(pos_xz&lt;L_rampe,Poids*COS(Beta),0)</f>
        <v>0</v>
      </c>
      <c r="V401" s="419" t="n">
        <f aca="false">Rho_moyen*(20000-Alt_rampe-pos_z)/(20000+Alt_rampe+pos_z)</f>
        <v>1.225588326901</v>
      </c>
      <c r="W401" s="418" t="n">
        <f aca="false">1/2*Rho*Sref*Cx*vit_xz^2</f>
        <v>5.54662417201653</v>
      </c>
      <c r="X401" s="402"/>
      <c r="Y401" s="423" t="str">
        <f aca="false">IF(AND(pos_z&lt;=0,K400&gt;0),"Impact balistique","") &amp; IF(AND(H402&lt;0,vit_z&gt;=0),"Apogée","") &amp; IF(AND(Poussee=0,Q400&gt;0),"Fin de propulsion","") &amp; IF(AND(L402&gt;L_rampe,pos_xz&lt;=L_rampe),"Sortie de rampe","")</f>
        <v/>
      </c>
      <c r="Z401" s="424" t="str">
        <f aca="false">IF(ABS(t-T_para)&lt;pas/2,"Para","")</f>
        <v/>
      </c>
      <c r="AA401" s="425" t="str">
        <f aca="false">IF(ABS(t-T_satellite)&lt;pas/2,"Satellite","")</f>
        <v/>
      </c>
      <c r="AB401" s="413"/>
      <c r="AC401" s="421" t="e">
        <f aca="false">IF(ABS(t-ROUND(t,0))&lt;0.001,t,NA())</f>
        <v>#N/A</v>
      </c>
      <c r="AD401" s="426" t="e">
        <f aca="false">IF(ABS(t-ROUND(t,0))&lt;0.001,pos_x,NA())</f>
        <v>#N/A</v>
      </c>
      <c r="AE401" s="427" t="e">
        <f aca="false">IF(t&lt;T_para, pos_z, NA())</f>
        <v>#N/A</v>
      </c>
      <c r="AF401" s="413"/>
      <c r="AG401" s="419" t="n">
        <f aca="false">IF(AND(L400&lt;L_rampe,Poussee&lt;Poids*SIN(M400)),0,(-W400+Poussee)/m-Poids*SIN(M400)/m)</f>
        <v>5.9716245694607</v>
      </c>
      <c r="AH401" s="418" t="n">
        <f aca="false">IF(AND(L400&lt;L_rampe,Poussee&lt;Poids*SIN(M400)), g*SIN(M400), (-W400+Poussee)/m)</f>
        <v>-3.73679699982006</v>
      </c>
    </row>
    <row r="402" customFormat="false" ht="12" hidden="false" customHeight="false" outlineLevel="0" collapsed="false">
      <c r="A402" s="417" t="n">
        <f aca="false">IF(B401+0.01&lt;=T_ini+ROUNDUP(Temps_fin_propu,0), 0.01, IF(K401&gt;0, 0.1, 0.0001))</f>
        <v>0.0001</v>
      </c>
      <c r="B402" s="418" t="n">
        <f aca="false">B401+pas</f>
        <v>16.5053</v>
      </c>
      <c r="C402" s="402"/>
      <c r="D402" s="419" t="n">
        <f aca="false">IF(AND(L401&lt;L_rampe,Poussee&lt;Poids*SIN(M401)),0,(-W401+Poussee)/m*COS(M401)-U401/m*SIN(M401))</f>
        <v>-0.536358610775915</v>
      </c>
      <c r="E402" s="420" t="n">
        <f aca="false">IF(AND(L401&lt;L_rampe,Poussee&lt;Poids*SIN(M401)),0,(-W401+Poussee)/m*SIN(M401)+U401/m*COS(M401)-Poids/m)</f>
        <v>-6.1118306459215</v>
      </c>
      <c r="F402" s="418" t="n">
        <f aca="false">SQRT(acc_x^2+acc_z^2)</f>
        <v>6.13532023644885</v>
      </c>
      <c r="G402" s="419" t="n">
        <f aca="false">G401+acc_x*pas</f>
        <v>10.2843921699691</v>
      </c>
      <c r="H402" s="420" t="n">
        <f aca="false">H401+acc_z*pas</f>
        <v>-70.9114188752943</v>
      </c>
      <c r="I402" s="418" t="n">
        <f aca="false">SQRT(vit_x^2+vit_z^2)</f>
        <v>71.6533184801177</v>
      </c>
      <c r="J402" s="419" t="n">
        <f aca="false">J401+0.5*(vit_x+G401)*pas*(K401&gt;=0)</f>
        <v>211.791153319536</v>
      </c>
      <c r="K402" s="420" t="n">
        <f aca="false">K401+0.5*(vit_z+H401)*pas</f>
        <v>-4.80860668654671</v>
      </c>
      <c r="L402" s="418" t="n">
        <f aca="false">SQRT(pos_x^2+pos_z^2)</f>
        <v>211.845734728564</v>
      </c>
      <c r="M402" s="419" t="n">
        <f aca="false">IF(AND(L401&gt;L_rampe,G402&gt;0),ATAN2(G402,H402),$M$4)</f>
        <v>-1.42676901625979</v>
      </c>
      <c r="N402" s="418" t="n">
        <f aca="false">DEGREES(Beta)</f>
        <v>-81.7478429717182</v>
      </c>
      <c r="O402" s="402"/>
      <c r="P402" s="421" t="n">
        <f aca="false">MATCH(t-pas/2-T_ini,CdP_t)</f>
        <v>23</v>
      </c>
      <c r="Q402" s="418" t="n">
        <f aca="false">(INDEX(CdP,2,i_P+1)-INDEX(CdP,2,i_P+0))/(INDEX(CdP,1,i_P+1)-INDEX(CdP,1,i_P+0))*(t-pas/2-T_ini-INDEX(CdP,1,i_P+0))+INDEX(CdP,2,i_P+0)</f>
        <v>0</v>
      </c>
      <c r="R402" s="419" t="n">
        <f aca="false">Poussee/(g*ISP)</f>
        <v>0</v>
      </c>
      <c r="S402" s="420" t="n">
        <f aca="false">S401-Débit*pas</f>
        <v>1.4843</v>
      </c>
      <c r="T402" s="418" t="n">
        <f aca="false">m*g</f>
        <v>14.560983</v>
      </c>
      <c r="U402" s="422" t="n">
        <f aca="false">IF(pos_xz&lt;L_rampe,Poids*COS(Beta),0)</f>
        <v>0</v>
      </c>
      <c r="V402" s="419" t="n">
        <f aca="false">Rho_moyen*(20000-Alt_rampe-pos_z)/(20000+Alt_rampe+pos_z)</f>
        <v>1.22558919597969</v>
      </c>
      <c r="W402" s="418" t="n">
        <f aca="false">1/2*Rho*Sref*Cx*vit_xz^2</f>
        <v>5.54672055717596</v>
      </c>
      <c r="X402" s="402"/>
      <c r="Y402" s="423" t="str">
        <f aca="false">IF(AND(pos_z&lt;=0,K401&gt;0),"Impact balistique","") &amp; IF(AND(H403&lt;0,vit_z&gt;=0),"Apogée","") &amp; IF(AND(Poussee=0,Q401&gt;0),"Fin de propulsion","") &amp; IF(AND(L403&gt;L_rampe,pos_xz&lt;=L_rampe),"Sortie de rampe","")</f>
        <v/>
      </c>
      <c r="Z402" s="424" t="str">
        <f aca="false">IF(ABS(t-T_para)&lt;pas/2,"Para","")</f>
        <v/>
      </c>
      <c r="AA402" s="425" t="str">
        <f aca="false">IF(ABS(t-T_satellite)&lt;pas/2,"Satellite","")</f>
        <v/>
      </c>
      <c r="AB402" s="413"/>
      <c r="AC402" s="421" t="e">
        <f aca="false">IF(ABS(t-ROUND(t,0))&lt;0.001,t,NA())</f>
        <v>#N/A</v>
      </c>
      <c r="AD402" s="426" t="e">
        <f aca="false">IF(ABS(t-ROUND(t,0))&lt;0.001,pos_x,NA())</f>
        <v>#N/A</v>
      </c>
      <c r="AE402" s="427" t="e">
        <f aca="false">IF(t&lt;T_para, pos_z, NA())</f>
        <v>#N/A</v>
      </c>
      <c r="AF402" s="413"/>
      <c r="AG402" s="419" t="n">
        <f aca="false">IF(AND(L401&lt;L_rampe,Poussee&lt;Poids*SIN(M401)),0,(-W401+Poussee)/m-Poids*SIN(M401)/m)</f>
        <v>5.97156240001229</v>
      </c>
      <c r="AH402" s="418" t="n">
        <f aca="false">IF(AND(L401&lt;L_rampe,Poussee&lt;Poids*SIN(M401)), g*SIN(M401), (-W401+Poussee)/m)</f>
        <v>-3.73686193627739</v>
      </c>
    </row>
    <row r="403" customFormat="false" ht="12" hidden="false" customHeight="false" outlineLevel="0" collapsed="false">
      <c r="A403" s="417" t="n">
        <f aca="false">IF(B402+0.01&lt;=T_ini+ROUNDUP(Temps_fin_propu,0), 0.01, IF(K402&gt;0, 0.1, 0.0001))</f>
        <v>0.0001</v>
      </c>
      <c r="B403" s="418" t="n">
        <f aca="false">B402+pas</f>
        <v>16.5054</v>
      </c>
      <c r="C403" s="402"/>
      <c r="D403" s="419" t="n">
        <f aca="false">IF(AND(L402&lt;L_rampe,Poussee&lt;Poids*SIN(M402)),0,(-W402+Poussee)/m*COS(M402)-U402/m*SIN(M402))</f>
        <v>-0.536360663884628</v>
      </c>
      <c r="E403" s="420" t="n">
        <f aca="false">IF(AND(L402&lt;L_rampe,Poussee&lt;Poids*SIN(M402)),0,(-W402+Poussee)/m*SIN(M402)+U402/m*COS(M402)-Poids/m)</f>
        <v>-6.11176532785136</v>
      </c>
      <c r="F403" s="418" t="n">
        <f aca="false">SQRT(acc_x^2+acc_z^2)</f>
        <v>6.13525534794509</v>
      </c>
      <c r="G403" s="419" t="n">
        <f aca="false">G402+acc_x*pas</f>
        <v>10.2843385339027</v>
      </c>
      <c r="H403" s="420" t="n">
        <f aca="false">H402+acc_z*pas</f>
        <v>-70.9120300518271</v>
      </c>
      <c r="I403" s="418" t="n">
        <f aca="false">SQRT(vit_x^2+vit_z^2)</f>
        <v>71.6539156302791</v>
      </c>
      <c r="J403" s="419" t="n">
        <f aca="false">J402+0.5*(vit_x+G402)*pas*(K402&gt;=0)</f>
        <v>211.791153319536</v>
      </c>
      <c r="K403" s="420" t="n">
        <f aca="false">K402+0.5*(vit_z+H402)*pas</f>
        <v>-4.81569785899306</v>
      </c>
      <c r="L403" s="418" t="n">
        <f aca="false">SQRT(pos_x^2+pos_z^2)</f>
        <v>211.845895807043</v>
      </c>
      <c r="M403" s="419" t="n">
        <f aca="false">IF(AND(L402&gt;L_rampe,G403&gt;0),ATAN2(G403,H403),$M$4)</f>
        <v>-1.42677098129981</v>
      </c>
      <c r="N403" s="418" t="n">
        <f aca="false">DEGREES(Beta)</f>
        <v>-81.747955560218</v>
      </c>
      <c r="O403" s="402"/>
      <c r="P403" s="421" t="n">
        <f aca="false">MATCH(t-pas/2-T_ini,CdP_t)</f>
        <v>23</v>
      </c>
      <c r="Q403" s="418" t="n">
        <f aca="false">(INDEX(CdP,2,i_P+1)-INDEX(CdP,2,i_P+0))/(INDEX(CdP,1,i_P+1)-INDEX(CdP,1,i_P+0))*(t-pas/2-T_ini-INDEX(CdP,1,i_P+0))+INDEX(CdP,2,i_P+0)</f>
        <v>0</v>
      </c>
      <c r="R403" s="419" t="n">
        <f aca="false">Poussee/(g*ISP)</f>
        <v>0</v>
      </c>
      <c r="S403" s="420" t="n">
        <f aca="false">S402-Débit*pas</f>
        <v>1.4843</v>
      </c>
      <c r="T403" s="418" t="n">
        <f aca="false">m*g</f>
        <v>14.560983</v>
      </c>
      <c r="U403" s="422" t="n">
        <f aca="false">IF(pos_xz&lt;L_rampe,Poids*COS(Beta),0)</f>
        <v>0</v>
      </c>
      <c r="V403" s="419" t="n">
        <f aca="false">Rho_moyen*(20000-Alt_rampe-pos_z)/(20000+Alt_rampe+pos_z)</f>
        <v>1.22559006506648</v>
      </c>
      <c r="W403" s="418" t="n">
        <f aca="false">1/2*Rho*Sref*Cx*vit_xz^2</f>
        <v>5.54681694231116</v>
      </c>
      <c r="X403" s="402"/>
      <c r="Y403" s="423" t="str">
        <f aca="false">IF(AND(pos_z&lt;=0,K402&gt;0),"Impact balistique","") &amp; IF(AND(H404&lt;0,vit_z&gt;=0),"Apogée","") &amp; IF(AND(Poussee=0,Q402&gt;0),"Fin de propulsion","") &amp; IF(AND(L404&gt;L_rampe,pos_xz&lt;=L_rampe),"Sortie de rampe","")</f>
        <v/>
      </c>
      <c r="Z403" s="424" t="str">
        <f aca="false">IF(ABS(t-T_para)&lt;pas/2,"Para","")</f>
        <v/>
      </c>
      <c r="AA403" s="425" t="str">
        <f aca="false">IF(ABS(t-T_satellite)&lt;pas/2,"Satellite","")</f>
        <v/>
      </c>
      <c r="AB403" s="413"/>
      <c r="AC403" s="421" t="e">
        <f aca="false">IF(ABS(t-ROUND(t,0))&lt;0.001,t,NA())</f>
        <v>#N/A</v>
      </c>
      <c r="AD403" s="426" t="e">
        <f aca="false">IF(ABS(t-ROUND(t,0))&lt;0.001,pos_x,NA())</f>
        <v>#N/A</v>
      </c>
      <c r="AE403" s="427" t="e">
        <f aca="false">IF(t&lt;T_para, pos_z, NA())</f>
        <v>#N/A</v>
      </c>
      <c r="AF403" s="413"/>
      <c r="AG403" s="419" t="n">
        <f aca="false">IF(AND(L402&lt;L_rampe,Poussee&lt;Poids*SIN(M402)),0,(-W402+Poussee)/m-Poids*SIN(M402)/m)</f>
        <v>5.97150023048215</v>
      </c>
      <c r="AH403" s="418" t="n">
        <f aca="false">IF(AND(L402&lt;L_rampe,Poussee&lt;Poids*SIN(M402)), g*SIN(M402), (-W402+Poussee)/m)</f>
        <v>-3.73692687271843</v>
      </c>
    </row>
    <row r="404" customFormat="false" ht="12" hidden="false" customHeight="false" outlineLevel="0" collapsed="false">
      <c r="A404" s="417" t="n">
        <f aca="false">IF(B403+0.01&lt;=T_ini+ROUNDUP(Temps_fin_propu,0), 0.01, IF(K403&gt;0, 0.1, 0.0001))</f>
        <v>0.0001</v>
      </c>
      <c r="B404" s="418" t="n">
        <f aca="false">B403+pas</f>
        <v>16.5055</v>
      </c>
      <c r="C404" s="402"/>
      <c r="D404" s="419" t="n">
        <f aca="false">IF(AND(L403&lt;L_rampe,Poussee&lt;Poids*SIN(M403)),0,(-W403+Poussee)/m*COS(M403)-U403/m*SIN(M403))</f>
        <v>-0.536362716895393</v>
      </c>
      <c r="E404" s="420" t="n">
        <f aca="false">IF(AND(L403&lt;L_rampe,Poussee&lt;Poids*SIN(M403)),0,(-W403+Poussee)/m*SIN(M403)+U403/m*COS(M403)-Poids/m)</f>
        <v>-6.11170000979808</v>
      </c>
      <c r="F404" s="418" t="n">
        <f aca="false">SQRT(acc_x^2+acc_z^2)</f>
        <v>6.13519045945937</v>
      </c>
      <c r="G404" s="419" t="n">
        <f aca="false">G403+acc_x*pas</f>
        <v>10.284284897631</v>
      </c>
      <c r="H404" s="420" t="n">
        <f aca="false">H403+acc_z*pas</f>
        <v>-70.9126412218281</v>
      </c>
      <c r="I404" s="418" t="n">
        <f aca="false">SQRT(vit_x^2+vit_z^2)</f>
        <v>71.6545127742235</v>
      </c>
      <c r="J404" s="419" t="n">
        <f aca="false">J403+0.5*(vit_x+G403)*pas*(K403&gt;=0)</f>
        <v>211.791153319536</v>
      </c>
      <c r="K404" s="420" t="n">
        <f aca="false">K403+0.5*(vit_z+H403)*pas</f>
        <v>-4.82278909255674</v>
      </c>
      <c r="L404" s="418" t="n">
        <f aca="false">SQRT(pos_x^2+pos_z^2)</f>
        <v>211.846057124155</v>
      </c>
      <c r="M404" s="419" t="n">
        <f aca="false">IF(AND(L403&gt;L_rampe,G404&gt;0),ATAN2(G404,H404),$M$4)</f>
        <v>-1.42677294629683</v>
      </c>
      <c r="N404" s="418" t="n">
        <f aca="false">DEGREES(Beta)</f>
        <v>-81.748068146254</v>
      </c>
      <c r="O404" s="402"/>
      <c r="P404" s="421" t="n">
        <f aca="false">MATCH(t-pas/2-T_ini,CdP_t)</f>
        <v>23</v>
      </c>
      <c r="Q404" s="418" t="n">
        <f aca="false">(INDEX(CdP,2,i_P+1)-INDEX(CdP,2,i_P+0))/(INDEX(CdP,1,i_P+1)-INDEX(CdP,1,i_P+0))*(t-pas/2-T_ini-INDEX(CdP,1,i_P+0))+INDEX(CdP,2,i_P+0)</f>
        <v>0</v>
      </c>
      <c r="R404" s="419" t="n">
        <f aca="false">Poussee/(g*ISP)</f>
        <v>0</v>
      </c>
      <c r="S404" s="420" t="n">
        <f aca="false">S403-Débit*pas</f>
        <v>1.4843</v>
      </c>
      <c r="T404" s="418" t="n">
        <f aca="false">m*g</f>
        <v>14.560983</v>
      </c>
      <c r="U404" s="422" t="n">
        <f aca="false">IF(pos_xz&lt;L_rampe,Poids*COS(Beta),0)</f>
        <v>0</v>
      </c>
      <c r="V404" s="419" t="n">
        <f aca="false">Rho_moyen*(20000-Alt_rampe-pos_z)/(20000+Alt_rampe+pos_z)</f>
        <v>1.22559093416138</v>
      </c>
      <c r="W404" s="418" t="n">
        <f aca="false">1/2*Rho*Sref*Cx*vit_xz^2</f>
        <v>5.54691332742212</v>
      </c>
      <c r="X404" s="402"/>
      <c r="Y404" s="423" t="str">
        <f aca="false">IF(AND(pos_z&lt;=0,K403&gt;0),"Impact balistique","") &amp; IF(AND(H405&lt;0,vit_z&gt;=0),"Apogée","") &amp; IF(AND(Poussee=0,Q403&gt;0),"Fin de propulsion","") &amp; IF(AND(L405&gt;L_rampe,pos_xz&lt;=L_rampe),"Sortie de rampe","")</f>
        <v/>
      </c>
      <c r="Z404" s="424" t="str">
        <f aca="false">IF(ABS(t-T_para)&lt;pas/2,"Para","")</f>
        <v/>
      </c>
      <c r="AA404" s="425" t="str">
        <f aca="false">IF(ABS(t-T_satellite)&lt;pas/2,"Satellite","")</f>
        <v/>
      </c>
      <c r="AB404" s="413"/>
      <c r="AC404" s="421" t="e">
        <f aca="false">IF(ABS(t-ROUND(t,0))&lt;0.001,t,NA())</f>
        <v>#N/A</v>
      </c>
      <c r="AD404" s="426" t="e">
        <f aca="false">IF(ABS(t-ROUND(t,0))&lt;0.001,pos_x,NA())</f>
        <v>#N/A</v>
      </c>
      <c r="AE404" s="427" t="e">
        <f aca="false">IF(t&lt;T_para, pos_z, NA())</f>
        <v>#N/A</v>
      </c>
      <c r="AF404" s="413"/>
      <c r="AG404" s="419" t="n">
        <f aca="false">IF(AND(L403&lt;L_rampe,Poussee&lt;Poids*SIN(M403)),0,(-W403+Poussee)/m-Poids*SIN(M403)/m)</f>
        <v>5.9714380608703</v>
      </c>
      <c r="AH404" s="418" t="n">
        <f aca="false">IF(AND(L403&lt;L_rampe,Poussee&lt;Poids*SIN(M403)), g*SIN(M403), (-W403+Poussee)/m)</f>
        <v>-3.73699180914315</v>
      </c>
    </row>
    <row r="405" customFormat="false" ht="12" hidden="false" customHeight="false" outlineLevel="0" collapsed="false">
      <c r="A405" s="417" t="n">
        <f aca="false">IF(B404+0.01&lt;=T_ini+ROUNDUP(Temps_fin_propu,0), 0.01, IF(K404&gt;0, 0.1, 0.0001))</f>
        <v>0.0001</v>
      </c>
      <c r="B405" s="418" t="n">
        <f aca="false">B404+pas</f>
        <v>16.5056</v>
      </c>
      <c r="C405" s="402"/>
      <c r="D405" s="419" t="n">
        <f aca="false">IF(AND(L404&lt;L_rampe,Poussee&lt;Poids*SIN(M404)),0,(-W404+Poussee)/m*COS(M404)-U404/m*SIN(M404))</f>
        <v>-0.536364769808209</v>
      </c>
      <c r="E405" s="420" t="n">
        <f aca="false">IF(AND(L404&lt;L_rampe,Poussee&lt;Poids*SIN(M404)),0,(-W404+Poussee)/m*SIN(M404)+U404/m*COS(M404)-Poids/m)</f>
        <v>-6.11163469176168</v>
      </c>
      <c r="F405" s="418" t="n">
        <f aca="false">SQRT(acc_x^2+acc_z^2)</f>
        <v>6.1351255709917</v>
      </c>
      <c r="G405" s="419" t="n">
        <f aca="false">G404+acc_x*pas</f>
        <v>10.2842312611541</v>
      </c>
      <c r="H405" s="420" t="n">
        <f aca="false">H404+acc_z*pas</f>
        <v>-70.9132523852973</v>
      </c>
      <c r="I405" s="418" t="n">
        <f aca="false">SQRT(vit_x^2+vit_z^2)</f>
        <v>71.6551099119509</v>
      </c>
      <c r="J405" s="419" t="n">
        <f aca="false">J404+0.5*(vit_x+G404)*pas*(K404&gt;=0)</f>
        <v>211.791153319536</v>
      </c>
      <c r="K405" s="420" t="n">
        <f aca="false">K404+0.5*(vit_z+H404)*pas</f>
        <v>-4.8298803872371</v>
      </c>
      <c r="L405" s="418" t="n">
        <f aca="false">SQRT(pos_x^2+pos_z^2)</f>
        <v>211.846218679905</v>
      </c>
      <c r="M405" s="419" t="n">
        <f aca="false">IF(AND(L404&gt;L_rampe,G405&gt;0),ATAN2(G405,H405),$M$4)</f>
        <v>-1.42677491125085</v>
      </c>
      <c r="N405" s="418" t="n">
        <f aca="false">DEGREES(Beta)</f>
        <v>-81.7481807298263</v>
      </c>
      <c r="O405" s="402"/>
      <c r="P405" s="421" t="n">
        <f aca="false">MATCH(t-pas/2-T_ini,CdP_t)</f>
        <v>23</v>
      </c>
      <c r="Q405" s="418" t="n">
        <f aca="false">(INDEX(CdP,2,i_P+1)-INDEX(CdP,2,i_P+0))/(INDEX(CdP,1,i_P+1)-INDEX(CdP,1,i_P+0))*(t-pas/2-T_ini-INDEX(CdP,1,i_P+0))+INDEX(CdP,2,i_P+0)</f>
        <v>0</v>
      </c>
      <c r="R405" s="419" t="n">
        <f aca="false">Poussee/(g*ISP)</f>
        <v>0</v>
      </c>
      <c r="S405" s="420" t="n">
        <f aca="false">S404-Débit*pas</f>
        <v>1.4843</v>
      </c>
      <c r="T405" s="418" t="n">
        <f aca="false">m*g</f>
        <v>14.560983</v>
      </c>
      <c r="U405" s="422" t="n">
        <f aca="false">IF(pos_xz&lt;L_rampe,Poids*COS(Beta),0)</f>
        <v>0</v>
      </c>
      <c r="V405" s="419" t="n">
        <f aca="false">Rho_moyen*(20000-Alt_rampe-pos_z)/(20000+Alt_rampe+pos_z)</f>
        <v>1.22559180326439</v>
      </c>
      <c r="W405" s="418" t="n">
        <f aca="false">1/2*Rho*Sref*Cx*vit_xz^2</f>
        <v>5.54700971250882</v>
      </c>
      <c r="X405" s="402"/>
      <c r="Y405" s="423" t="str">
        <f aca="false">IF(AND(pos_z&lt;=0,K404&gt;0),"Impact balistique","") &amp; IF(AND(H406&lt;0,vit_z&gt;=0),"Apogée","") &amp; IF(AND(Poussee=0,Q404&gt;0),"Fin de propulsion","") &amp; IF(AND(L406&gt;L_rampe,pos_xz&lt;=L_rampe),"Sortie de rampe","")</f>
        <v/>
      </c>
      <c r="Z405" s="424" t="str">
        <f aca="false">IF(ABS(t-T_para)&lt;pas/2,"Para","")</f>
        <v/>
      </c>
      <c r="AA405" s="425" t="str">
        <f aca="false">IF(ABS(t-T_satellite)&lt;pas/2,"Satellite","")</f>
        <v/>
      </c>
      <c r="AB405" s="413"/>
      <c r="AC405" s="421" t="e">
        <f aca="false">IF(ABS(t-ROUND(t,0))&lt;0.001,t,NA())</f>
        <v>#N/A</v>
      </c>
      <c r="AD405" s="426" t="e">
        <f aca="false">IF(ABS(t-ROUND(t,0))&lt;0.001,pos_x,NA())</f>
        <v>#N/A</v>
      </c>
      <c r="AE405" s="427" t="e">
        <f aca="false">IF(t&lt;T_para, pos_z, NA())</f>
        <v>#N/A</v>
      </c>
      <c r="AF405" s="413"/>
      <c r="AG405" s="419" t="n">
        <f aca="false">IF(AND(L404&lt;L_rampe,Poussee&lt;Poids*SIN(M404)),0,(-W404+Poussee)/m-Poids*SIN(M404)/m)</f>
        <v>5.97137589117674</v>
      </c>
      <c r="AH405" s="418" t="n">
        <f aca="false">IF(AND(L404&lt;L_rampe,Poussee&lt;Poids*SIN(M404)), g*SIN(M404), (-W404+Poussee)/m)</f>
        <v>-3.73705674555153</v>
      </c>
    </row>
    <row r="406" customFormat="false" ht="12" hidden="false" customHeight="false" outlineLevel="0" collapsed="false">
      <c r="A406" s="417" t="n">
        <f aca="false">IF(B405+0.01&lt;=T_ini+ROUNDUP(Temps_fin_propu,0), 0.01, IF(K405&gt;0, 0.1, 0.0001))</f>
        <v>0.0001</v>
      </c>
      <c r="B406" s="418" t="n">
        <f aca="false">B405+pas</f>
        <v>16.5057</v>
      </c>
      <c r="C406" s="402"/>
      <c r="D406" s="419" t="n">
        <f aca="false">IF(AND(L405&lt;L_rampe,Poussee&lt;Poids*SIN(M405)),0,(-W405+Poussee)/m*COS(M405)-U405/m*SIN(M405))</f>
        <v>-0.536366822623078</v>
      </c>
      <c r="E406" s="420" t="n">
        <f aca="false">IF(AND(L405&lt;L_rampe,Poussee&lt;Poids*SIN(M405)),0,(-W405+Poussee)/m*SIN(M405)+U405/m*COS(M405)-Poids/m)</f>
        <v>-6.11156937374217</v>
      </c>
      <c r="F406" s="418" t="n">
        <f aca="false">SQRT(acc_x^2+acc_z^2)</f>
        <v>6.13506068254211</v>
      </c>
      <c r="G406" s="419" t="n">
        <f aca="false">G405+acc_x*pas</f>
        <v>10.2841776244718</v>
      </c>
      <c r="H406" s="420" t="n">
        <f aca="false">H405+acc_z*pas</f>
        <v>-70.9138635422346</v>
      </c>
      <c r="I406" s="418" t="n">
        <f aca="false">SQRT(vit_x^2+vit_z^2)</f>
        <v>71.6557070434614</v>
      </c>
      <c r="J406" s="419" t="n">
        <f aca="false">J405+0.5*(vit_x+G405)*pas*(K405&gt;=0)</f>
        <v>211.791153319536</v>
      </c>
      <c r="K406" s="420" t="n">
        <f aca="false">K405+0.5*(vit_z+H405)*pas</f>
        <v>-4.83697174303348</v>
      </c>
      <c r="L406" s="418" t="n">
        <f aca="false">SQRT(pos_x^2+pos_z^2)</f>
        <v>211.846380474301</v>
      </c>
      <c r="M406" s="419" t="n">
        <f aca="false">IF(AND(L405&gt;L_rampe,G406&gt;0),ATAN2(G406,H406),$M$4)</f>
        <v>-1.42677687616187</v>
      </c>
      <c r="N406" s="418" t="n">
        <f aca="false">DEGREES(Beta)</f>
        <v>-81.7482933109351</v>
      </c>
      <c r="O406" s="402"/>
      <c r="P406" s="421" t="n">
        <f aca="false">MATCH(t-pas/2-T_ini,CdP_t)</f>
        <v>23</v>
      </c>
      <c r="Q406" s="418" t="n">
        <f aca="false">(INDEX(CdP,2,i_P+1)-INDEX(CdP,2,i_P+0))/(INDEX(CdP,1,i_P+1)-INDEX(CdP,1,i_P+0))*(t-pas/2-T_ini-INDEX(CdP,1,i_P+0))+INDEX(CdP,2,i_P+0)</f>
        <v>0</v>
      </c>
      <c r="R406" s="419" t="n">
        <f aca="false">Poussee/(g*ISP)</f>
        <v>0</v>
      </c>
      <c r="S406" s="420" t="n">
        <f aca="false">S405-Débit*pas</f>
        <v>1.4843</v>
      </c>
      <c r="T406" s="418" t="n">
        <f aca="false">m*g</f>
        <v>14.560983</v>
      </c>
      <c r="U406" s="422" t="n">
        <f aca="false">IF(pos_xz&lt;L_rampe,Poids*COS(Beta),0)</f>
        <v>0</v>
      </c>
      <c r="V406" s="419" t="n">
        <f aca="false">Rho_moyen*(20000-Alt_rampe-pos_z)/(20000+Alt_rampe+pos_z)</f>
        <v>1.2255926723755</v>
      </c>
      <c r="W406" s="418" t="n">
        <f aca="false">1/2*Rho*Sref*Cx*vit_xz^2</f>
        <v>5.54710609757121</v>
      </c>
      <c r="X406" s="402"/>
      <c r="Y406" s="423" t="str">
        <f aca="false">IF(AND(pos_z&lt;=0,K405&gt;0),"Impact balistique","") &amp; IF(AND(H407&lt;0,vit_z&gt;=0),"Apogée","") &amp; IF(AND(Poussee=0,Q405&gt;0),"Fin de propulsion","") &amp; IF(AND(L407&gt;L_rampe,pos_xz&lt;=L_rampe),"Sortie de rampe","")</f>
        <v/>
      </c>
      <c r="Z406" s="424" t="str">
        <f aca="false">IF(ABS(t-T_para)&lt;pas/2,"Para","")</f>
        <v/>
      </c>
      <c r="AA406" s="425" t="str">
        <f aca="false">IF(ABS(t-T_satellite)&lt;pas/2,"Satellite","")</f>
        <v/>
      </c>
      <c r="AB406" s="413"/>
      <c r="AC406" s="421" t="e">
        <f aca="false">IF(ABS(t-ROUND(t,0))&lt;0.001,t,NA())</f>
        <v>#N/A</v>
      </c>
      <c r="AD406" s="426" t="e">
        <f aca="false">IF(ABS(t-ROUND(t,0))&lt;0.001,pos_x,NA())</f>
        <v>#N/A</v>
      </c>
      <c r="AE406" s="427" t="e">
        <f aca="false">IF(t&lt;T_para, pos_z, NA())</f>
        <v>#N/A</v>
      </c>
      <c r="AF406" s="413"/>
      <c r="AG406" s="419" t="n">
        <f aca="false">IF(AND(L405&lt;L_rampe,Poussee&lt;Poids*SIN(M405)),0,(-W405+Poussee)/m-Poids*SIN(M405)/m)</f>
        <v>5.97131372140151</v>
      </c>
      <c r="AH406" s="418" t="n">
        <f aca="false">IF(AND(L405&lt;L_rampe,Poussee&lt;Poids*SIN(M405)), g*SIN(M405), (-W405+Poussee)/m)</f>
        <v>-3.73712168194356</v>
      </c>
    </row>
    <row r="407" customFormat="false" ht="12" hidden="false" customHeight="false" outlineLevel="0" collapsed="false">
      <c r="A407" s="417" t="n">
        <f aca="false">IF(B406+0.01&lt;=T_ini+ROUNDUP(Temps_fin_propu,0), 0.01, IF(K406&gt;0, 0.1, 0.0001))</f>
        <v>0.0001</v>
      </c>
      <c r="B407" s="418" t="n">
        <f aca="false">B406+pas</f>
        <v>16.5058</v>
      </c>
      <c r="C407" s="402"/>
      <c r="D407" s="419" t="n">
        <f aca="false">IF(AND(L406&lt;L_rampe,Poussee&lt;Poids*SIN(M406)),0,(-W406+Poussee)/m*COS(M406)-U406/m*SIN(M406))</f>
        <v>-0.536368875340001</v>
      </c>
      <c r="E407" s="420" t="n">
        <f aca="false">IF(AND(L406&lt;L_rampe,Poussee&lt;Poids*SIN(M406)),0,(-W406+Poussee)/m*SIN(M406)+U406/m*COS(M406)-Poids/m)</f>
        <v>-6.11150405573958</v>
      </c>
      <c r="F407" s="418" t="n">
        <f aca="false">SQRT(acc_x^2+acc_z^2)</f>
        <v>6.13499579411061</v>
      </c>
      <c r="G407" s="419" t="n">
        <f aca="false">G406+acc_x*pas</f>
        <v>10.2841239875843</v>
      </c>
      <c r="H407" s="420" t="n">
        <f aca="false">H406+acc_z*pas</f>
        <v>-70.9144746926402</v>
      </c>
      <c r="I407" s="418" t="n">
        <f aca="false">SQRT(vit_x^2+vit_z^2)</f>
        <v>71.6563041687549</v>
      </c>
      <c r="J407" s="419" t="n">
        <f aca="false">J406+0.5*(vit_x+G406)*pas*(K406&gt;=0)</f>
        <v>211.791153319536</v>
      </c>
      <c r="K407" s="420" t="n">
        <f aca="false">K406+0.5*(vit_z+H406)*pas</f>
        <v>-4.84406315994522</v>
      </c>
      <c r="L407" s="418" t="n">
        <f aca="false">SQRT(pos_x^2+pos_z^2)</f>
        <v>211.846542507346</v>
      </c>
      <c r="M407" s="419" t="n">
        <f aca="false">IF(AND(L406&gt;L_rampe,G407&gt;0),ATAN2(G407,H407),$M$4)</f>
        <v>-1.4267788410299</v>
      </c>
      <c r="N407" s="418" t="n">
        <f aca="false">DEGREES(Beta)</f>
        <v>-81.7484058895805</v>
      </c>
      <c r="O407" s="402"/>
      <c r="P407" s="421" t="n">
        <f aca="false">MATCH(t-pas/2-T_ini,CdP_t)</f>
        <v>23</v>
      </c>
      <c r="Q407" s="418" t="n">
        <f aca="false">(INDEX(CdP,2,i_P+1)-INDEX(CdP,2,i_P+0))/(INDEX(CdP,1,i_P+1)-INDEX(CdP,1,i_P+0))*(t-pas/2-T_ini-INDEX(CdP,1,i_P+0))+INDEX(CdP,2,i_P+0)</f>
        <v>0</v>
      </c>
      <c r="R407" s="419" t="n">
        <f aca="false">Poussee/(g*ISP)</f>
        <v>0</v>
      </c>
      <c r="S407" s="420" t="n">
        <f aca="false">S406-Débit*pas</f>
        <v>1.4843</v>
      </c>
      <c r="T407" s="418" t="n">
        <f aca="false">m*g</f>
        <v>14.560983</v>
      </c>
      <c r="U407" s="422" t="n">
        <f aca="false">IF(pos_xz&lt;L_rampe,Poids*COS(Beta),0)</f>
        <v>0</v>
      </c>
      <c r="V407" s="419" t="n">
        <f aca="false">Rho_moyen*(20000-Alt_rampe-pos_z)/(20000+Alt_rampe+pos_z)</f>
        <v>1.22559354149472</v>
      </c>
      <c r="W407" s="418" t="n">
        <f aca="false">1/2*Rho*Sref*Cx*vit_xz^2</f>
        <v>5.5472024826093</v>
      </c>
      <c r="X407" s="402"/>
      <c r="Y407" s="423" t="str">
        <f aca="false">IF(AND(pos_z&lt;=0,K406&gt;0),"Impact balistique","") &amp; IF(AND(H408&lt;0,vit_z&gt;=0),"Apogée","") &amp; IF(AND(Poussee=0,Q406&gt;0),"Fin de propulsion","") &amp; IF(AND(L408&gt;L_rampe,pos_xz&lt;=L_rampe),"Sortie de rampe","")</f>
        <v/>
      </c>
      <c r="Z407" s="424" t="str">
        <f aca="false">IF(ABS(t-T_para)&lt;pas/2,"Para","")</f>
        <v/>
      </c>
      <c r="AA407" s="425" t="str">
        <f aca="false">IF(ABS(t-T_satellite)&lt;pas/2,"Satellite","")</f>
        <v/>
      </c>
      <c r="AB407" s="413"/>
      <c r="AC407" s="421" t="e">
        <f aca="false">IF(ABS(t-ROUND(t,0))&lt;0.001,t,NA())</f>
        <v>#N/A</v>
      </c>
      <c r="AD407" s="426" t="e">
        <f aca="false">IF(ABS(t-ROUND(t,0))&lt;0.001,pos_x,NA())</f>
        <v>#N/A</v>
      </c>
      <c r="AE407" s="427" t="e">
        <f aca="false">IF(t&lt;T_para, pos_z, NA())</f>
        <v>#N/A</v>
      </c>
      <c r="AF407" s="413"/>
      <c r="AG407" s="419" t="n">
        <f aca="false">IF(AND(L406&lt;L_rampe,Poussee&lt;Poids*SIN(M406)),0,(-W406+Poussee)/m-Poids*SIN(M406)/m)</f>
        <v>5.97125155154462</v>
      </c>
      <c r="AH407" s="418" t="n">
        <f aca="false">IF(AND(L406&lt;L_rampe,Poussee&lt;Poids*SIN(M406)), g*SIN(M406), (-W406+Poussee)/m)</f>
        <v>-3.73718661831922</v>
      </c>
    </row>
    <row r="408" customFormat="false" ht="12" hidden="false" customHeight="false" outlineLevel="0" collapsed="false">
      <c r="A408" s="417" t="n">
        <f aca="false">IF(B407+0.01&lt;=T_ini+ROUNDUP(Temps_fin_propu,0), 0.01, IF(K407&gt;0, 0.1, 0.0001))</f>
        <v>0.0001</v>
      </c>
      <c r="B408" s="418" t="n">
        <f aca="false">B407+pas</f>
        <v>16.5059</v>
      </c>
      <c r="C408" s="402"/>
      <c r="D408" s="419" t="n">
        <f aca="false">IF(AND(L407&lt;L_rampe,Poussee&lt;Poids*SIN(M407)),0,(-W407+Poussee)/m*COS(M407)-U407/m*SIN(M407))</f>
        <v>-0.536370927958977</v>
      </c>
      <c r="E408" s="420" t="n">
        <f aca="false">IF(AND(L407&lt;L_rampe,Poussee&lt;Poids*SIN(M407)),0,(-W407+Poussee)/m*SIN(M407)+U407/m*COS(M407)-Poids/m)</f>
        <v>-6.11143873775392</v>
      </c>
      <c r="F408" s="418" t="n">
        <f aca="false">SQRT(acc_x^2+acc_z^2)</f>
        <v>6.13493090569721</v>
      </c>
      <c r="G408" s="419" t="n">
        <f aca="false">G407+acc_x*pas</f>
        <v>10.2840703504915</v>
      </c>
      <c r="H408" s="420" t="n">
        <f aca="false">H407+acc_z*pas</f>
        <v>-70.915085836514</v>
      </c>
      <c r="I408" s="418" t="n">
        <f aca="false">SQRT(vit_x^2+vit_z^2)</f>
        <v>71.6569012878313</v>
      </c>
      <c r="J408" s="419" t="n">
        <f aca="false">J407+0.5*(vit_x+G407)*pas*(K407&gt;=0)</f>
        <v>211.791153319536</v>
      </c>
      <c r="K408" s="420" t="n">
        <f aca="false">K407+0.5*(vit_z+H407)*pas</f>
        <v>-4.85115463797168</v>
      </c>
      <c r="L408" s="418" t="n">
        <f aca="false">SQRT(pos_x^2+pos_z^2)</f>
        <v>211.846704779047</v>
      </c>
      <c r="M408" s="419" t="n">
        <f aca="false">IF(AND(L407&gt;L_rampe,G408&gt;0),ATAN2(G408,H408),$M$4)</f>
        <v>-1.42678080585494</v>
      </c>
      <c r="N408" s="418" t="n">
        <f aca="false">DEGREES(Beta)</f>
        <v>-81.7485184657624</v>
      </c>
      <c r="O408" s="402"/>
      <c r="P408" s="421" t="n">
        <f aca="false">MATCH(t-pas/2-T_ini,CdP_t)</f>
        <v>23</v>
      </c>
      <c r="Q408" s="418" t="n">
        <f aca="false">(INDEX(CdP,2,i_P+1)-INDEX(CdP,2,i_P+0))/(INDEX(CdP,1,i_P+1)-INDEX(CdP,1,i_P+0))*(t-pas/2-T_ini-INDEX(CdP,1,i_P+0))+INDEX(CdP,2,i_P+0)</f>
        <v>0</v>
      </c>
      <c r="R408" s="419" t="n">
        <f aca="false">Poussee/(g*ISP)</f>
        <v>0</v>
      </c>
      <c r="S408" s="420" t="n">
        <f aca="false">S407-Débit*pas</f>
        <v>1.4843</v>
      </c>
      <c r="T408" s="418" t="n">
        <f aca="false">m*g</f>
        <v>14.560983</v>
      </c>
      <c r="U408" s="422" t="n">
        <f aca="false">IF(pos_xz&lt;L_rampe,Poids*COS(Beta),0)</f>
        <v>0</v>
      </c>
      <c r="V408" s="419" t="n">
        <f aca="false">Rho_moyen*(20000-Alt_rampe-pos_z)/(20000+Alt_rampe+pos_z)</f>
        <v>1.22559441062204</v>
      </c>
      <c r="W408" s="418" t="n">
        <f aca="false">1/2*Rho*Sref*Cx*vit_xz^2</f>
        <v>5.54729886762304</v>
      </c>
      <c r="X408" s="402"/>
      <c r="Y408" s="423" t="str">
        <f aca="false">IF(AND(pos_z&lt;=0,K407&gt;0),"Impact balistique","") &amp; IF(AND(H409&lt;0,vit_z&gt;=0),"Apogée","") &amp; IF(AND(Poussee=0,Q407&gt;0),"Fin de propulsion","") &amp; IF(AND(L409&gt;L_rampe,pos_xz&lt;=L_rampe),"Sortie de rampe","")</f>
        <v/>
      </c>
      <c r="Z408" s="424" t="str">
        <f aca="false">IF(ABS(t-T_para)&lt;pas/2,"Para","")</f>
        <v/>
      </c>
      <c r="AA408" s="425" t="str">
        <f aca="false">IF(ABS(t-T_satellite)&lt;pas/2,"Satellite","")</f>
        <v/>
      </c>
      <c r="AB408" s="413"/>
      <c r="AC408" s="421" t="e">
        <f aca="false">IF(ABS(t-ROUND(t,0))&lt;0.001,t,NA())</f>
        <v>#N/A</v>
      </c>
      <c r="AD408" s="426" t="e">
        <f aca="false">IF(ABS(t-ROUND(t,0))&lt;0.001,pos_x,NA())</f>
        <v>#N/A</v>
      </c>
      <c r="AE408" s="427" t="e">
        <f aca="false">IF(t&lt;T_para, pos_z, NA())</f>
        <v>#N/A</v>
      </c>
      <c r="AF408" s="413"/>
      <c r="AG408" s="419" t="n">
        <f aca="false">IF(AND(L407&lt;L_rampe,Poussee&lt;Poids*SIN(M407)),0,(-W407+Poussee)/m-Poids*SIN(M407)/m)</f>
        <v>5.9711893816061</v>
      </c>
      <c r="AH408" s="418" t="n">
        <f aca="false">IF(AND(L407&lt;L_rampe,Poussee&lt;Poids*SIN(M407)), g*SIN(M407), (-W407+Poussee)/m)</f>
        <v>-3.7372515546785</v>
      </c>
    </row>
    <row r="409" customFormat="false" ht="12" hidden="false" customHeight="false" outlineLevel="0" collapsed="false">
      <c r="A409" s="417" t="n">
        <f aca="false">IF(B408+0.01&lt;=T_ini+ROUNDUP(Temps_fin_propu,0), 0.01, IF(K408&gt;0, 0.1, 0.0001))</f>
        <v>0.0001</v>
      </c>
      <c r="B409" s="418" t="n">
        <f aca="false">B408+pas</f>
        <v>16.506</v>
      </c>
      <c r="C409" s="402"/>
      <c r="D409" s="419" t="n">
        <f aca="false">IF(AND(L408&lt;L_rampe,Poussee&lt;Poids*SIN(M408)),0,(-W408+Poussee)/m*COS(M408)-U408/m*SIN(M408))</f>
        <v>-0.536372980480008</v>
      </c>
      <c r="E409" s="420" t="n">
        <f aca="false">IF(AND(L408&lt;L_rampe,Poussee&lt;Poids*SIN(M408)),0,(-W408+Poussee)/m*SIN(M408)+U408/m*COS(M408)-Poids/m)</f>
        <v>-6.11137341978521</v>
      </c>
      <c r="F409" s="418" t="n">
        <f aca="false">SQRT(acc_x^2+acc_z^2)</f>
        <v>6.13486601730194</v>
      </c>
      <c r="G409" s="419" t="n">
        <f aca="false">G408+acc_x*pas</f>
        <v>10.2840167131934</v>
      </c>
      <c r="H409" s="420" t="n">
        <f aca="false">H408+acc_z*pas</f>
        <v>-70.915696973856</v>
      </c>
      <c r="I409" s="418" t="n">
        <f aca="false">SQRT(vit_x^2+vit_z^2)</f>
        <v>71.6574984006908</v>
      </c>
      <c r="J409" s="419" t="n">
        <f aca="false">J408+0.5*(vit_x+G408)*pas*(K408&gt;=0)</f>
        <v>211.791153319536</v>
      </c>
      <c r="K409" s="420" t="n">
        <f aca="false">K408+0.5*(vit_z+H408)*pas</f>
        <v>-4.8582461771122</v>
      </c>
      <c r="L409" s="418" t="n">
        <f aca="false">SQRT(pos_x^2+pos_z^2)</f>
        <v>211.84686728941</v>
      </c>
      <c r="M409" s="419" t="n">
        <f aca="false">IF(AND(L408&gt;L_rampe,G409&gt;0),ATAN2(G409,H409),$M$4)</f>
        <v>-1.42678277063698</v>
      </c>
      <c r="N409" s="418" t="n">
        <f aca="false">DEGREES(Beta)</f>
        <v>-81.748631039481</v>
      </c>
      <c r="O409" s="402"/>
      <c r="P409" s="421" t="n">
        <f aca="false">MATCH(t-pas/2-T_ini,CdP_t)</f>
        <v>23</v>
      </c>
      <c r="Q409" s="418" t="n">
        <f aca="false">(INDEX(CdP,2,i_P+1)-INDEX(CdP,2,i_P+0))/(INDEX(CdP,1,i_P+1)-INDEX(CdP,1,i_P+0))*(t-pas/2-T_ini-INDEX(CdP,1,i_P+0))+INDEX(CdP,2,i_P+0)</f>
        <v>0</v>
      </c>
      <c r="R409" s="419" t="n">
        <f aca="false">Poussee/(g*ISP)</f>
        <v>0</v>
      </c>
      <c r="S409" s="420" t="n">
        <f aca="false">S408-Débit*pas</f>
        <v>1.4843</v>
      </c>
      <c r="T409" s="418" t="n">
        <f aca="false">m*g</f>
        <v>14.560983</v>
      </c>
      <c r="U409" s="422" t="n">
        <f aca="false">IF(pos_xz&lt;L_rampe,Poids*COS(Beta),0)</f>
        <v>0</v>
      </c>
      <c r="V409" s="419" t="n">
        <f aca="false">Rho_moyen*(20000-Alt_rampe-pos_z)/(20000+Alt_rampe+pos_z)</f>
        <v>1.22559527975748</v>
      </c>
      <c r="W409" s="418" t="n">
        <f aca="false">1/2*Rho*Sref*Cx*vit_xz^2</f>
        <v>5.54739525261241</v>
      </c>
      <c r="X409" s="402"/>
      <c r="Y409" s="423" t="str">
        <f aca="false">IF(AND(pos_z&lt;=0,K408&gt;0),"Impact balistique","") &amp; IF(AND(H410&lt;0,vit_z&gt;=0),"Apogée","") &amp; IF(AND(Poussee=0,Q408&gt;0),"Fin de propulsion","") &amp; IF(AND(L410&gt;L_rampe,pos_xz&lt;=L_rampe),"Sortie de rampe","")</f>
        <v/>
      </c>
      <c r="Z409" s="424" t="str">
        <f aca="false">IF(ABS(t-T_para)&lt;pas/2,"Para","")</f>
        <v/>
      </c>
      <c r="AA409" s="425" t="str">
        <f aca="false">IF(ABS(t-T_satellite)&lt;pas/2,"Satellite","")</f>
        <v/>
      </c>
      <c r="AB409" s="413"/>
      <c r="AC409" s="421" t="e">
        <f aca="false">IF(ABS(t-ROUND(t,0))&lt;0.001,t,NA())</f>
        <v>#N/A</v>
      </c>
      <c r="AD409" s="426" t="e">
        <f aca="false">IF(ABS(t-ROUND(t,0))&lt;0.001,pos_x,NA())</f>
        <v>#N/A</v>
      </c>
      <c r="AE409" s="427" t="e">
        <f aca="false">IF(t&lt;T_para, pos_z, NA())</f>
        <v>#N/A</v>
      </c>
      <c r="AF409" s="413"/>
      <c r="AG409" s="419" t="n">
        <f aca="false">IF(AND(L408&lt;L_rampe,Poussee&lt;Poids*SIN(M408)),0,(-W408+Poussee)/m-Poids*SIN(M408)/m)</f>
        <v>5.97112721158596</v>
      </c>
      <c r="AH409" s="418" t="n">
        <f aca="false">IF(AND(L408&lt;L_rampe,Poussee&lt;Poids*SIN(M408)), g*SIN(M408), (-W408+Poussee)/m)</f>
        <v>-3.73731649102139</v>
      </c>
    </row>
    <row r="410" customFormat="false" ht="12" hidden="false" customHeight="false" outlineLevel="0" collapsed="false">
      <c r="A410" s="417" t="n">
        <f aca="false">IF(B409+0.01&lt;=T_ini+ROUNDUP(Temps_fin_propu,0), 0.01, IF(K409&gt;0, 0.1, 0.0001))</f>
        <v>0.0001</v>
      </c>
      <c r="B410" s="418" t="n">
        <f aca="false">B409+pas</f>
        <v>16.5061</v>
      </c>
      <c r="C410" s="402"/>
      <c r="D410" s="419" t="n">
        <f aca="false">IF(AND(L409&lt;L_rampe,Poussee&lt;Poids*SIN(M409)),0,(-W409+Poussee)/m*COS(M409)-U409/m*SIN(M409))</f>
        <v>-0.536375032903095</v>
      </c>
      <c r="E410" s="420" t="n">
        <f aca="false">IF(AND(L409&lt;L_rampe,Poussee&lt;Poids*SIN(M409)),0,(-W409+Poussee)/m*SIN(M409)+U409/m*COS(M409)-Poids/m)</f>
        <v>-6.11130810183345</v>
      </c>
      <c r="F410" s="418" t="n">
        <f aca="false">SQRT(acc_x^2+acc_z^2)</f>
        <v>6.1348011289248</v>
      </c>
      <c r="G410" s="419" t="n">
        <f aca="false">G409+acc_x*pas</f>
        <v>10.2839630756901</v>
      </c>
      <c r="H410" s="420" t="n">
        <f aca="false">H409+acc_z*pas</f>
        <v>-70.9163081046661</v>
      </c>
      <c r="I410" s="418" t="n">
        <f aca="false">SQRT(vit_x^2+vit_z^2)</f>
        <v>71.6580955073333</v>
      </c>
      <c r="J410" s="419" t="n">
        <f aca="false">J409+0.5*(vit_x+G409)*pas*(K409&gt;=0)</f>
        <v>211.791153319536</v>
      </c>
      <c r="K410" s="420" t="n">
        <f aca="false">K409+0.5*(vit_z+H409)*pas</f>
        <v>-4.86533777736612</v>
      </c>
      <c r="L410" s="418" t="n">
        <f aca="false">SQRT(pos_x^2+pos_z^2)</f>
        <v>211.847030038439</v>
      </c>
      <c r="M410" s="419" t="n">
        <f aca="false">IF(AND(L409&gt;L_rampe,G410&gt;0),ATAN2(G410,H410),$M$4)</f>
        <v>-1.42678473537603</v>
      </c>
      <c r="N410" s="418" t="n">
        <f aca="false">DEGREES(Beta)</f>
        <v>-81.7487436107364</v>
      </c>
      <c r="O410" s="402"/>
      <c r="P410" s="421" t="n">
        <f aca="false">MATCH(t-pas/2-T_ini,CdP_t)</f>
        <v>23</v>
      </c>
      <c r="Q410" s="418" t="n">
        <f aca="false">(INDEX(CdP,2,i_P+1)-INDEX(CdP,2,i_P+0))/(INDEX(CdP,1,i_P+1)-INDEX(CdP,1,i_P+0))*(t-pas/2-T_ini-INDEX(CdP,1,i_P+0))+INDEX(CdP,2,i_P+0)</f>
        <v>0</v>
      </c>
      <c r="R410" s="419" t="n">
        <f aca="false">Poussee/(g*ISP)</f>
        <v>0</v>
      </c>
      <c r="S410" s="420" t="n">
        <f aca="false">S409-Débit*pas</f>
        <v>1.4843</v>
      </c>
      <c r="T410" s="418" t="n">
        <f aca="false">m*g</f>
        <v>14.560983</v>
      </c>
      <c r="U410" s="422" t="n">
        <f aca="false">IF(pos_xz&lt;L_rampe,Poids*COS(Beta),0)</f>
        <v>0</v>
      </c>
      <c r="V410" s="419" t="n">
        <f aca="false">Rho_moyen*(20000-Alt_rampe-pos_z)/(20000+Alt_rampe+pos_z)</f>
        <v>1.22559614890102</v>
      </c>
      <c r="W410" s="418" t="n">
        <f aca="false">1/2*Rho*Sref*Cx*vit_xz^2</f>
        <v>5.54749163757739</v>
      </c>
      <c r="X410" s="402"/>
      <c r="Y410" s="423" t="str">
        <f aca="false">IF(AND(pos_z&lt;=0,K409&gt;0),"Impact balistique","") &amp; IF(AND(H411&lt;0,vit_z&gt;=0),"Apogée","") &amp; IF(AND(Poussee=0,Q409&gt;0),"Fin de propulsion","") &amp; IF(AND(L411&gt;L_rampe,pos_xz&lt;=L_rampe),"Sortie de rampe","")</f>
        <v/>
      </c>
      <c r="Z410" s="424" t="str">
        <f aca="false">IF(ABS(t-T_para)&lt;pas/2,"Para","")</f>
        <v/>
      </c>
      <c r="AA410" s="425" t="str">
        <f aca="false">IF(ABS(t-T_satellite)&lt;pas/2,"Satellite","")</f>
        <v/>
      </c>
      <c r="AB410" s="413"/>
      <c r="AC410" s="421" t="e">
        <f aca="false">IF(ABS(t-ROUND(t,0))&lt;0.001,t,NA())</f>
        <v>#N/A</v>
      </c>
      <c r="AD410" s="426" t="e">
        <f aca="false">IF(ABS(t-ROUND(t,0))&lt;0.001,pos_x,NA())</f>
        <v>#N/A</v>
      </c>
      <c r="AE410" s="427" t="e">
        <f aca="false">IF(t&lt;T_para, pos_z, NA())</f>
        <v>#N/A</v>
      </c>
      <c r="AF410" s="413"/>
      <c r="AG410" s="419" t="n">
        <f aca="false">IF(AND(L409&lt;L_rampe,Poussee&lt;Poids*SIN(M409)),0,(-W409+Poussee)/m-Poids*SIN(M409)/m)</f>
        <v>5.97106504148423</v>
      </c>
      <c r="AH410" s="418" t="n">
        <f aca="false">IF(AND(L409&lt;L_rampe,Poussee&lt;Poids*SIN(M409)), g*SIN(M409), (-W409+Poussee)/m)</f>
        <v>-3.73738142734785</v>
      </c>
    </row>
    <row r="411" customFormat="false" ht="12" hidden="false" customHeight="false" outlineLevel="0" collapsed="false">
      <c r="A411" s="417" t="n">
        <f aca="false">IF(B410+0.01&lt;=T_ini+ROUNDUP(Temps_fin_propu,0), 0.01, IF(K410&gt;0, 0.1, 0.0001))</f>
        <v>0.0001</v>
      </c>
      <c r="B411" s="418" t="n">
        <f aca="false">B410+pas</f>
        <v>16.5062</v>
      </c>
      <c r="C411" s="402"/>
      <c r="D411" s="419" t="n">
        <f aca="false">IF(AND(L410&lt;L_rampe,Poussee&lt;Poids*SIN(M410)),0,(-W410+Poussee)/m*COS(M410)-U410/m*SIN(M410))</f>
        <v>-0.536377085228237</v>
      </c>
      <c r="E411" s="420" t="n">
        <f aca="false">IF(AND(L410&lt;L_rampe,Poussee&lt;Poids*SIN(M410)),0,(-W410+Poussee)/m*SIN(M410)+U410/m*COS(M410)-Poids/m)</f>
        <v>-6.11124278389868</v>
      </c>
      <c r="F411" s="418" t="n">
        <f aca="false">SQRT(acc_x^2+acc_z^2)</f>
        <v>6.13473624056581</v>
      </c>
      <c r="G411" s="419" t="n">
        <f aca="false">G410+acc_x*pas</f>
        <v>10.2839094379816</v>
      </c>
      <c r="H411" s="420" t="n">
        <f aca="false">H410+acc_z*pas</f>
        <v>-70.9169192289445</v>
      </c>
      <c r="I411" s="418" t="n">
        <f aca="false">SQRT(vit_x^2+vit_z^2)</f>
        <v>71.6586926077587</v>
      </c>
      <c r="J411" s="419" t="n">
        <f aca="false">J410+0.5*(vit_x+G410)*pas*(K410&gt;=0)</f>
        <v>211.791153319536</v>
      </c>
      <c r="K411" s="420" t="n">
        <f aca="false">K410+0.5*(vit_z+H410)*pas</f>
        <v>-4.8724294387328</v>
      </c>
      <c r="L411" s="418" t="n">
        <f aca="false">SQRT(pos_x^2+pos_z^2)</f>
        <v>211.84719302614</v>
      </c>
      <c r="M411" s="419" t="n">
        <f aca="false">IF(AND(L410&gt;L_rampe,G411&gt;0),ATAN2(G411,H411),$M$4)</f>
        <v>-1.42678670007209</v>
      </c>
      <c r="N411" s="418" t="n">
        <f aca="false">DEGREES(Beta)</f>
        <v>-81.7488561795287</v>
      </c>
      <c r="O411" s="402"/>
      <c r="P411" s="421" t="n">
        <f aca="false">MATCH(t-pas/2-T_ini,CdP_t)</f>
        <v>23</v>
      </c>
      <c r="Q411" s="418" t="n">
        <f aca="false">(INDEX(CdP,2,i_P+1)-INDEX(CdP,2,i_P+0))/(INDEX(CdP,1,i_P+1)-INDEX(CdP,1,i_P+0))*(t-pas/2-T_ini-INDEX(CdP,1,i_P+0))+INDEX(CdP,2,i_P+0)</f>
        <v>0</v>
      </c>
      <c r="R411" s="419" t="n">
        <f aca="false">Poussee/(g*ISP)</f>
        <v>0</v>
      </c>
      <c r="S411" s="420" t="n">
        <f aca="false">S410-Débit*pas</f>
        <v>1.4843</v>
      </c>
      <c r="T411" s="418" t="n">
        <f aca="false">m*g</f>
        <v>14.560983</v>
      </c>
      <c r="U411" s="422" t="n">
        <f aca="false">IF(pos_xz&lt;L_rampe,Poids*COS(Beta),0)</f>
        <v>0</v>
      </c>
      <c r="V411" s="419" t="n">
        <f aca="false">Rho_moyen*(20000-Alt_rampe-pos_z)/(20000+Alt_rampe+pos_z)</f>
        <v>1.22559701805266</v>
      </c>
      <c r="W411" s="418" t="n">
        <f aca="false">1/2*Rho*Sref*Cx*vit_xz^2</f>
        <v>5.54758802251796</v>
      </c>
      <c r="X411" s="402"/>
      <c r="Y411" s="423" t="str">
        <f aca="false">IF(AND(pos_z&lt;=0,K410&gt;0),"Impact balistique","") &amp; IF(AND(H412&lt;0,vit_z&gt;=0),"Apogée","") &amp; IF(AND(Poussee=0,Q410&gt;0),"Fin de propulsion","") &amp; IF(AND(L412&gt;L_rampe,pos_xz&lt;=L_rampe),"Sortie de rampe","")</f>
        <v/>
      </c>
      <c r="Z411" s="424" t="str">
        <f aca="false">IF(ABS(t-T_para)&lt;pas/2,"Para","")</f>
        <v/>
      </c>
      <c r="AA411" s="425" t="str">
        <f aca="false">IF(ABS(t-T_satellite)&lt;pas/2,"Satellite","")</f>
        <v/>
      </c>
      <c r="AB411" s="413"/>
      <c r="AC411" s="421" t="e">
        <f aca="false">IF(ABS(t-ROUND(t,0))&lt;0.001,t,NA())</f>
        <v>#N/A</v>
      </c>
      <c r="AD411" s="426" t="e">
        <f aca="false">IF(ABS(t-ROUND(t,0))&lt;0.001,pos_x,NA())</f>
        <v>#N/A</v>
      </c>
      <c r="AE411" s="427" t="e">
        <f aca="false">IF(t&lt;T_para, pos_z, NA())</f>
        <v>#N/A</v>
      </c>
      <c r="AF411" s="413"/>
      <c r="AG411" s="419" t="n">
        <f aca="false">IF(AND(L410&lt;L_rampe,Poussee&lt;Poids*SIN(M410)),0,(-W410+Poussee)/m-Poids*SIN(M410)/m)</f>
        <v>5.97100287130092</v>
      </c>
      <c r="AH411" s="418" t="n">
        <f aca="false">IF(AND(L410&lt;L_rampe,Poussee&lt;Poids*SIN(M410)), g*SIN(M410), (-W410+Poussee)/m)</f>
        <v>-3.73744636365789</v>
      </c>
    </row>
    <row r="412" customFormat="false" ht="12" hidden="false" customHeight="false" outlineLevel="0" collapsed="false">
      <c r="A412" s="417" t="n">
        <f aca="false">IF(B411+0.01&lt;=T_ini+ROUNDUP(Temps_fin_propu,0), 0.01, IF(K411&gt;0, 0.1, 0.0001))</f>
        <v>0.0001</v>
      </c>
      <c r="B412" s="418" t="n">
        <f aca="false">B411+pas</f>
        <v>16.5063</v>
      </c>
      <c r="C412" s="402"/>
      <c r="D412" s="419" t="n">
        <f aca="false">IF(AND(L411&lt;L_rampe,Poussee&lt;Poids*SIN(M411)),0,(-W411+Poussee)/m*COS(M411)-U411/m*SIN(M411))</f>
        <v>-0.536379137455436</v>
      </c>
      <c r="E412" s="420" t="n">
        <f aca="false">IF(AND(L411&lt;L_rampe,Poussee&lt;Poids*SIN(M411)),0,(-W411+Poussee)/m*SIN(M411)+U411/m*COS(M411)-Poids/m)</f>
        <v>-6.1111774659809</v>
      </c>
      <c r="F412" s="418" t="n">
        <f aca="false">SQRT(acc_x^2+acc_z^2)</f>
        <v>6.134671352225</v>
      </c>
      <c r="G412" s="419" t="n">
        <f aca="false">G411+acc_x*pas</f>
        <v>10.2838558000679</v>
      </c>
      <c r="H412" s="420" t="n">
        <f aca="false">H411+acc_z*pas</f>
        <v>-70.9175303466911</v>
      </c>
      <c r="I412" s="418" t="n">
        <f aca="false">SQRT(vit_x^2+vit_z^2)</f>
        <v>71.6592897019671</v>
      </c>
      <c r="J412" s="419" t="n">
        <f aca="false">J411+0.5*(vit_x+G411)*pas*(K411&gt;=0)</f>
        <v>211.791153319536</v>
      </c>
      <c r="K412" s="420" t="n">
        <f aca="false">K411+0.5*(vit_z+H411)*pas</f>
        <v>-4.87952116121159</v>
      </c>
      <c r="L412" s="418" t="n">
        <f aca="false">SQRT(pos_x^2+pos_z^2)</f>
        <v>211.84735625252</v>
      </c>
      <c r="M412" s="419" t="n">
        <f aca="false">IF(AND(L411&gt;L_rampe,G412&gt;0),ATAN2(G412,H412),$M$4)</f>
        <v>-1.42678866472516</v>
      </c>
      <c r="N412" s="418" t="n">
        <f aca="false">DEGREES(Beta)</f>
        <v>-81.7489687458579</v>
      </c>
      <c r="O412" s="402"/>
      <c r="P412" s="421" t="n">
        <f aca="false">MATCH(t-pas/2-T_ini,CdP_t)</f>
        <v>23</v>
      </c>
      <c r="Q412" s="418" t="n">
        <f aca="false">(INDEX(CdP,2,i_P+1)-INDEX(CdP,2,i_P+0))/(INDEX(CdP,1,i_P+1)-INDEX(CdP,1,i_P+0))*(t-pas/2-T_ini-INDEX(CdP,1,i_P+0))+INDEX(CdP,2,i_P+0)</f>
        <v>0</v>
      </c>
      <c r="R412" s="419" t="n">
        <f aca="false">Poussee/(g*ISP)</f>
        <v>0</v>
      </c>
      <c r="S412" s="420" t="n">
        <f aca="false">S411-Débit*pas</f>
        <v>1.4843</v>
      </c>
      <c r="T412" s="418" t="n">
        <f aca="false">m*g</f>
        <v>14.560983</v>
      </c>
      <c r="U412" s="422" t="n">
        <f aca="false">IF(pos_xz&lt;L_rampe,Poids*COS(Beta),0)</f>
        <v>0</v>
      </c>
      <c r="V412" s="419" t="n">
        <f aca="false">Rho_moyen*(20000-Alt_rampe-pos_z)/(20000+Alt_rampe+pos_z)</f>
        <v>1.22559788721241</v>
      </c>
      <c r="W412" s="418" t="n">
        <f aca="false">1/2*Rho*Sref*Cx*vit_xz^2</f>
        <v>5.5476844074341</v>
      </c>
      <c r="X412" s="402"/>
      <c r="Y412" s="423" t="str">
        <f aca="false">IF(AND(pos_z&lt;=0,K411&gt;0),"Impact balistique","") &amp; IF(AND(H413&lt;0,vit_z&gt;=0),"Apogée","") &amp; IF(AND(Poussee=0,Q411&gt;0),"Fin de propulsion","") &amp; IF(AND(L413&gt;L_rampe,pos_xz&lt;=L_rampe),"Sortie de rampe","")</f>
        <v/>
      </c>
      <c r="Z412" s="424" t="str">
        <f aca="false">IF(ABS(t-T_para)&lt;pas/2,"Para","")</f>
        <v/>
      </c>
      <c r="AA412" s="425" t="str">
        <f aca="false">IF(ABS(t-T_satellite)&lt;pas/2,"Satellite","")</f>
        <v/>
      </c>
      <c r="AB412" s="413"/>
      <c r="AC412" s="421" t="e">
        <f aca="false">IF(ABS(t-ROUND(t,0))&lt;0.001,t,NA())</f>
        <v>#N/A</v>
      </c>
      <c r="AD412" s="426" t="e">
        <f aca="false">IF(ABS(t-ROUND(t,0))&lt;0.001,pos_x,NA())</f>
        <v>#N/A</v>
      </c>
      <c r="AE412" s="427" t="e">
        <f aca="false">IF(t&lt;T_para, pos_z, NA())</f>
        <v>#N/A</v>
      </c>
      <c r="AF412" s="413"/>
      <c r="AG412" s="419" t="n">
        <f aca="false">IF(AND(L411&lt;L_rampe,Poussee&lt;Poids*SIN(M411)),0,(-W411+Poussee)/m-Poids*SIN(M411)/m)</f>
        <v>5.97094070103607</v>
      </c>
      <c r="AH412" s="418" t="n">
        <f aca="false">IF(AND(L411&lt;L_rampe,Poussee&lt;Poids*SIN(M411)), g*SIN(M411), (-W411+Poussee)/m)</f>
        <v>-3.73751129995147</v>
      </c>
    </row>
    <row r="413" customFormat="false" ht="12" hidden="false" customHeight="false" outlineLevel="0" collapsed="false">
      <c r="A413" s="417" t="n">
        <f aca="false">IF(B412+0.01&lt;=T_ini+ROUNDUP(Temps_fin_propu,0), 0.01, IF(K412&gt;0, 0.1, 0.0001))</f>
        <v>0.0001</v>
      </c>
      <c r="B413" s="418" t="n">
        <f aca="false">B412+pas</f>
        <v>16.5064</v>
      </c>
      <c r="C413" s="402"/>
      <c r="D413" s="419" t="n">
        <f aca="false">IF(AND(L412&lt;L_rampe,Poussee&lt;Poids*SIN(M412)),0,(-W412+Poussee)/m*COS(M412)-U412/m*SIN(M412))</f>
        <v>-0.536381189584693</v>
      </c>
      <c r="E413" s="420" t="n">
        <f aca="false">IF(AND(L412&lt;L_rampe,Poussee&lt;Poids*SIN(M412)),0,(-W412+Poussee)/m*SIN(M412)+U412/m*COS(M412)-Poids/m)</f>
        <v>-6.11111214808013</v>
      </c>
      <c r="F413" s="418" t="n">
        <f aca="false">SQRT(acc_x^2+acc_z^2)</f>
        <v>6.13460646390238</v>
      </c>
      <c r="G413" s="419" t="n">
        <f aca="false">G412+acc_x*pas</f>
        <v>10.2838021619489</v>
      </c>
      <c r="H413" s="420" t="n">
        <f aca="false">H412+acc_z*pas</f>
        <v>-70.918141457906</v>
      </c>
      <c r="I413" s="418" t="n">
        <f aca="false">SQRT(vit_x^2+vit_z^2)</f>
        <v>71.6598867899585</v>
      </c>
      <c r="J413" s="419" t="n">
        <f aca="false">J412+0.5*(vit_x+G412)*pas*(K412&gt;=0)</f>
        <v>211.791153319536</v>
      </c>
      <c r="K413" s="420" t="n">
        <f aca="false">K412+0.5*(vit_z+H412)*pas</f>
        <v>-4.88661294480182</v>
      </c>
      <c r="L413" s="418" t="n">
        <f aca="false">SQRT(pos_x^2+pos_z^2)</f>
        <v>211.847519717583</v>
      </c>
      <c r="M413" s="419" t="n">
        <f aca="false">IF(AND(L412&gt;L_rampe,G413&gt;0),ATAN2(G413,H413),$M$4)</f>
        <v>-1.42679062933524</v>
      </c>
      <c r="N413" s="418" t="n">
        <f aca="false">DEGREES(Beta)</f>
        <v>-81.7490813097241</v>
      </c>
      <c r="O413" s="402"/>
      <c r="P413" s="421" t="n">
        <f aca="false">MATCH(t-pas/2-T_ini,CdP_t)</f>
        <v>23</v>
      </c>
      <c r="Q413" s="418" t="n">
        <f aca="false">(INDEX(CdP,2,i_P+1)-INDEX(CdP,2,i_P+0))/(INDEX(CdP,1,i_P+1)-INDEX(CdP,1,i_P+0))*(t-pas/2-T_ini-INDEX(CdP,1,i_P+0))+INDEX(CdP,2,i_P+0)</f>
        <v>0</v>
      </c>
      <c r="R413" s="419" t="n">
        <f aca="false">Poussee/(g*ISP)</f>
        <v>0</v>
      </c>
      <c r="S413" s="420" t="n">
        <f aca="false">S412-Débit*pas</f>
        <v>1.4843</v>
      </c>
      <c r="T413" s="418" t="n">
        <f aca="false">m*g</f>
        <v>14.560983</v>
      </c>
      <c r="U413" s="422" t="n">
        <f aca="false">IF(pos_xz&lt;L_rampe,Poids*COS(Beta),0)</f>
        <v>0</v>
      </c>
      <c r="V413" s="419" t="n">
        <f aca="false">Rho_moyen*(20000-Alt_rampe-pos_z)/(20000+Alt_rampe+pos_z)</f>
        <v>1.22559875638027</v>
      </c>
      <c r="W413" s="418" t="n">
        <f aca="false">1/2*Rho*Sref*Cx*vit_xz^2</f>
        <v>5.54778079232576</v>
      </c>
      <c r="X413" s="402"/>
      <c r="Y413" s="423" t="str">
        <f aca="false">IF(AND(pos_z&lt;=0,K412&gt;0),"Impact balistique","") &amp; IF(AND(H414&lt;0,vit_z&gt;=0),"Apogée","") &amp; IF(AND(Poussee=0,Q412&gt;0),"Fin de propulsion","") &amp; IF(AND(L414&gt;L_rampe,pos_xz&lt;=L_rampe),"Sortie de rampe","")</f>
        <v/>
      </c>
      <c r="Z413" s="424" t="str">
        <f aca="false">IF(ABS(t-T_para)&lt;pas/2,"Para","")</f>
        <v/>
      </c>
      <c r="AA413" s="425" t="str">
        <f aca="false">IF(ABS(t-T_satellite)&lt;pas/2,"Satellite","")</f>
        <v/>
      </c>
      <c r="AB413" s="413"/>
      <c r="AC413" s="421" t="e">
        <f aca="false">IF(ABS(t-ROUND(t,0))&lt;0.001,t,NA())</f>
        <v>#N/A</v>
      </c>
      <c r="AD413" s="426" t="e">
        <f aca="false">IF(ABS(t-ROUND(t,0))&lt;0.001,pos_x,NA())</f>
        <v>#N/A</v>
      </c>
      <c r="AE413" s="427" t="e">
        <f aca="false">IF(t&lt;T_para, pos_z, NA())</f>
        <v>#N/A</v>
      </c>
      <c r="AF413" s="413"/>
      <c r="AG413" s="419" t="n">
        <f aca="false">IF(AND(L412&lt;L_rampe,Poussee&lt;Poids*SIN(M412)),0,(-W412+Poussee)/m-Poids*SIN(M412)/m)</f>
        <v>5.97087853068968</v>
      </c>
      <c r="AH413" s="418" t="n">
        <f aca="false">IF(AND(L412&lt;L_rampe,Poussee&lt;Poids*SIN(M412)), g*SIN(M412), (-W412+Poussee)/m)</f>
        <v>-3.73757623622859</v>
      </c>
    </row>
    <row r="414" customFormat="false" ht="12" hidden="false" customHeight="false" outlineLevel="0" collapsed="false">
      <c r="A414" s="417" t="n">
        <f aca="false">IF(B413+0.01&lt;=T_ini+ROUNDUP(Temps_fin_propu,0), 0.01, IF(K413&gt;0, 0.1, 0.0001))</f>
        <v>0.0001</v>
      </c>
      <c r="B414" s="418" t="n">
        <f aca="false">B413+pas</f>
        <v>16.5065</v>
      </c>
      <c r="C414" s="402"/>
      <c r="D414" s="419" t="n">
        <f aca="false">IF(AND(L413&lt;L_rampe,Poussee&lt;Poids*SIN(M413)),0,(-W413+Poussee)/m*COS(M413)-U413/m*SIN(M413))</f>
        <v>-0.536383241616007</v>
      </c>
      <c r="E414" s="420" t="n">
        <f aca="false">IF(AND(L413&lt;L_rampe,Poussee&lt;Poids*SIN(M413)),0,(-W413+Poussee)/m*SIN(M413)+U413/m*COS(M413)-Poids/m)</f>
        <v>-6.11104683019639</v>
      </c>
      <c r="F414" s="418" t="n">
        <f aca="false">SQRT(acc_x^2+acc_z^2)</f>
        <v>6.13454157559795</v>
      </c>
      <c r="G414" s="419" t="n">
        <f aca="false">G413+acc_x*pas</f>
        <v>10.2837485236247</v>
      </c>
      <c r="H414" s="420" t="n">
        <f aca="false">H413+acc_z*pas</f>
        <v>-70.918752562589</v>
      </c>
      <c r="I414" s="418" t="n">
        <f aca="false">SQRT(vit_x^2+vit_z^2)</f>
        <v>71.6604838717328</v>
      </c>
      <c r="J414" s="419" t="n">
        <f aca="false">J413+0.5*(vit_x+G413)*pas*(K413&gt;=0)</f>
        <v>211.791153319536</v>
      </c>
      <c r="K414" s="420" t="n">
        <f aca="false">K413+0.5*(vit_z+H413)*pas</f>
        <v>-4.89370478950284</v>
      </c>
      <c r="L414" s="418" t="n">
        <f aca="false">SQRT(pos_x^2+pos_z^2)</f>
        <v>211.847683421335</v>
      </c>
      <c r="M414" s="419" t="n">
        <f aca="false">IF(AND(L413&gt;L_rampe,G414&gt;0),ATAN2(G414,H414),$M$4)</f>
        <v>-1.42679259390234</v>
      </c>
      <c r="N414" s="418" t="n">
        <f aca="false">DEGREES(Beta)</f>
        <v>-81.7491938711274</v>
      </c>
      <c r="O414" s="402"/>
      <c r="P414" s="421" t="n">
        <f aca="false">MATCH(t-pas/2-T_ini,CdP_t)</f>
        <v>23</v>
      </c>
      <c r="Q414" s="418" t="n">
        <f aca="false">(INDEX(CdP,2,i_P+1)-INDEX(CdP,2,i_P+0))/(INDEX(CdP,1,i_P+1)-INDEX(CdP,1,i_P+0))*(t-pas/2-T_ini-INDEX(CdP,1,i_P+0))+INDEX(CdP,2,i_P+0)</f>
        <v>0</v>
      </c>
      <c r="R414" s="419" t="n">
        <f aca="false">Poussee/(g*ISP)</f>
        <v>0</v>
      </c>
      <c r="S414" s="420" t="n">
        <f aca="false">S413-Débit*pas</f>
        <v>1.4843</v>
      </c>
      <c r="T414" s="418" t="n">
        <f aca="false">m*g</f>
        <v>14.560983</v>
      </c>
      <c r="U414" s="422" t="n">
        <f aca="false">IF(pos_xz&lt;L_rampe,Poids*COS(Beta),0)</f>
        <v>0</v>
      </c>
      <c r="V414" s="419" t="n">
        <f aca="false">Rho_moyen*(20000-Alt_rampe-pos_z)/(20000+Alt_rampe+pos_z)</f>
        <v>1.22559962555624</v>
      </c>
      <c r="W414" s="418" t="n">
        <f aca="false">1/2*Rho*Sref*Cx*vit_xz^2</f>
        <v>5.54787717719294</v>
      </c>
      <c r="X414" s="402"/>
      <c r="Y414" s="423" t="str">
        <f aca="false">IF(AND(pos_z&lt;=0,K413&gt;0),"Impact balistique","") &amp; IF(AND(H415&lt;0,vit_z&gt;=0),"Apogée","") &amp; IF(AND(Poussee=0,Q413&gt;0),"Fin de propulsion","") &amp; IF(AND(L415&gt;L_rampe,pos_xz&lt;=L_rampe),"Sortie de rampe","")</f>
        <v/>
      </c>
      <c r="Z414" s="424" t="str">
        <f aca="false">IF(ABS(t-T_para)&lt;pas/2,"Para","")</f>
        <v/>
      </c>
      <c r="AA414" s="425" t="str">
        <f aca="false">IF(ABS(t-T_satellite)&lt;pas/2,"Satellite","")</f>
        <v/>
      </c>
      <c r="AB414" s="413"/>
      <c r="AC414" s="421" t="e">
        <f aca="false">IF(ABS(t-ROUND(t,0))&lt;0.001,t,NA())</f>
        <v>#N/A</v>
      </c>
      <c r="AD414" s="426" t="e">
        <f aca="false">IF(ABS(t-ROUND(t,0))&lt;0.001,pos_x,NA())</f>
        <v>#N/A</v>
      </c>
      <c r="AE414" s="427" t="e">
        <f aca="false">IF(t&lt;T_para, pos_z, NA())</f>
        <v>#N/A</v>
      </c>
      <c r="AF414" s="413"/>
      <c r="AG414" s="419" t="n">
        <f aca="false">IF(AND(L413&lt;L_rampe,Poussee&lt;Poids*SIN(M413)),0,(-W413+Poussee)/m-Poids*SIN(M413)/m)</f>
        <v>5.97081636026178</v>
      </c>
      <c r="AH414" s="418" t="n">
        <f aca="false">IF(AND(L413&lt;L_rampe,Poussee&lt;Poids*SIN(M413)), g*SIN(M413), (-W413+Poussee)/m)</f>
        <v>-3.73764117248923</v>
      </c>
    </row>
    <row r="415" customFormat="false" ht="12" hidden="false" customHeight="false" outlineLevel="0" collapsed="false">
      <c r="A415" s="417" t="n">
        <f aca="false">IF(B414+0.01&lt;=T_ini+ROUNDUP(Temps_fin_propu,0), 0.01, IF(K414&gt;0, 0.1, 0.0001))</f>
        <v>0.0001</v>
      </c>
      <c r="B415" s="418" t="n">
        <f aca="false">B414+pas</f>
        <v>16.5066</v>
      </c>
      <c r="C415" s="402"/>
      <c r="D415" s="419" t="n">
        <f aca="false">IF(AND(L414&lt;L_rampe,Poussee&lt;Poids*SIN(M414)),0,(-W414+Poussee)/m*COS(M414)-U414/m*SIN(M414))</f>
        <v>-0.536385293549381</v>
      </c>
      <c r="E415" s="420" t="n">
        <f aca="false">IF(AND(L414&lt;L_rampe,Poussee&lt;Poids*SIN(M414)),0,(-W414+Poussee)/m*SIN(M414)+U414/m*COS(M414)-Poids/m)</f>
        <v>-6.11098151232969</v>
      </c>
      <c r="F415" s="418" t="n">
        <f aca="false">SQRT(acc_x^2+acc_z^2)</f>
        <v>6.13447668731175</v>
      </c>
      <c r="G415" s="419" t="n">
        <f aca="false">G414+acc_x*pas</f>
        <v>10.2836948850954</v>
      </c>
      <c r="H415" s="420" t="n">
        <f aca="false">H414+acc_z*pas</f>
        <v>-70.9193636607402</v>
      </c>
      <c r="I415" s="418" t="n">
        <f aca="false">SQRT(vit_x^2+vit_z^2)</f>
        <v>71.66108094729</v>
      </c>
      <c r="J415" s="419" t="n">
        <f aca="false">J414+0.5*(vit_x+G414)*pas*(K414&gt;=0)</f>
        <v>211.791153319536</v>
      </c>
      <c r="K415" s="420" t="n">
        <f aca="false">K414+0.5*(vit_z+H414)*pas</f>
        <v>-4.90079669531401</v>
      </c>
      <c r="L415" s="418" t="n">
        <f aca="false">SQRT(pos_x^2+pos_z^2)</f>
        <v>211.847847363781</v>
      </c>
      <c r="M415" s="419" t="n">
        <f aca="false">IF(AND(L414&gt;L_rampe,G415&gt;0),ATAN2(G415,H415),$M$4)</f>
        <v>-1.42679455842646</v>
      </c>
      <c r="N415" s="418" t="n">
        <f aca="false">DEGREES(Beta)</f>
        <v>-81.749306430068</v>
      </c>
      <c r="O415" s="402"/>
      <c r="P415" s="421" t="n">
        <f aca="false">MATCH(t-pas/2-T_ini,CdP_t)</f>
        <v>23</v>
      </c>
      <c r="Q415" s="418" t="n">
        <f aca="false">(INDEX(CdP,2,i_P+1)-INDEX(CdP,2,i_P+0))/(INDEX(CdP,1,i_P+1)-INDEX(CdP,1,i_P+0))*(t-pas/2-T_ini-INDEX(CdP,1,i_P+0))+INDEX(CdP,2,i_P+0)</f>
        <v>0</v>
      </c>
      <c r="R415" s="419" t="n">
        <f aca="false">Poussee/(g*ISP)</f>
        <v>0</v>
      </c>
      <c r="S415" s="420" t="n">
        <f aca="false">S414-Débit*pas</f>
        <v>1.4843</v>
      </c>
      <c r="T415" s="418" t="n">
        <f aca="false">m*g</f>
        <v>14.560983</v>
      </c>
      <c r="U415" s="422" t="n">
        <f aca="false">IF(pos_xz&lt;L_rampe,Poids*COS(Beta),0)</f>
        <v>0</v>
      </c>
      <c r="V415" s="419" t="n">
        <f aca="false">Rho_moyen*(20000-Alt_rampe-pos_z)/(20000+Alt_rampe+pos_z)</f>
        <v>1.22560049474031</v>
      </c>
      <c r="W415" s="418" t="n">
        <f aca="false">1/2*Rho*Sref*Cx*vit_xz^2</f>
        <v>5.54797356203562</v>
      </c>
      <c r="X415" s="402"/>
      <c r="Y415" s="423" t="str">
        <f aca="false">IF(AND(pos_z&lt;=0,K414&gt;0),"Impact balistique","") &amp; IF(AND(H416&lt;0,vit_z&gt;=0),"Apogée","") &amp; IF(AND(Poussee=0,Q414&gt;0),"Fin de propulsion","") &amp; IF(AND(L416&gt;L_rampe,pos_xz&lt;=L_rampe),"Sortie de rampe","")</f>
        <v/>
      </c>
      <c r="Z415" s="424" t="str">
        <f aca="false">IF(ABS(t-T_para)&lt;pas/2,"Para","")</f>
        <v/>
      </c>
      <c r="AA415" s="425" t="str">
        <f aca="false">IF(ABS(t-T_satellite)&lt;pas/2,"Satellite","")</f>
        <v/>
      </c>
      <c r="AB415" s="413"/>
      <c r="AC415" s="421" t="e">
        <f aca="false">IF(ABS(t-ROUND(t,0))&lt;0.001,t,NA())</f>
        <v>#N/A</v>
      </c>
      <c r="AD415" s="426" t="e">
        <f aca="false">IF(ABS(t-ROUND(t,0))&lt;0.001,pos_x,NA())</f>
        <v>#N/A</v>
      </c>
      <c r="AE415" s="427" t="e">
        <f aca="false">IF(t&lt;T_para, pos_z, NA())</f>
        <v>#N/A</v>
      </c>
      <c r="AF415" s="413"/>
      <c r="AG415" s="419" t="n">
        <f aca="false">IF(AND(L414&lt;L_rampe,Poussee&lt;Poids*SIN(M414)),0,(-W414+Poussee)/m-Poids*SIN(M414)/m)</f>
        <v>5.9707541897524</v>
      </c>
      <c r="AH415" s="418" t="n">
        <f aca="false">IF(AND(L414&lt;L_rampe,Poussee&lt;Poids*SIN(M414)), g*SIN(M414), (-W414+Poussee)/m)</f>
        <v>-3.73770610873338</v>
      </c>
    </row>
    <row r="416" customFormat="false" ht="12" hidden="false" customHeight="false" outlineLevel="0" collapsed="false">
      <c r="A416" s="417" t="n">
        <f aca="false">IF(B415+0.01&lt;=T_ini+ROUNDUP(Temps_fin_propu,0), 0.01, IF(K415&gt;0, 0.1, 0.0001))</f>
        <v>0.0001</v>
      </c>
      <c r="B416" s="418" t="n">
        <f aca="false">B415+pas</f>
        <v>16.5067</v>
      </c>
      <c r="C416" s="402"/>
      <c r="D416" s="419" t="n">
        <f aca="false">IF(AND(L415&lt;L_rampe,Poussee&lt;Poids*SIN(M415)),0,(-W415+Poussee)/m*COS(M415)-U415/m*SIN(M415))</f>
        <v>-0.536387345384814</v>
      </c>
      <c r="E416" s="420" t="n">
        <f aca="false">IF(AND(L415&lt;L_rampe,Poussee&lt;Poids*SIN(M415)),0,(-W415+Poussee)/m*SIN(M415)+U415/m*COS(M415)-Poids/m)</f>
        <v>-6.11091619448005</v>
      </c>
      <c r="F416" s="418" t="n">
        <f aca="false">SQRT(acc_x^2+acc_z^2)</f>
        <v>6.13441179904378</v>
      </c>
      <c r="G416" s="419" t="n">
        <f aca="false">G415+acc_x*pas</f>
        <v>10.2836412463608</v>
      </c>
      <c r="H416" s="420" t="n">
        <f aca="false">H415+acc_z*pas</f>
        <v>-70.9199747523597</v>
      </c>
      <c r="I416" s="418" t="n">
        <f aca="false">SQRT(vit_x^2+vit_z^2)</f>
        <v>71.6616780166302</v>
      </c>
      <c r="J416" s="419" t="n">
        <f aca="false">J415+0.5*(vit_x+G415)*pas*(K415&gt;=0)</f>
        <v>211.791153319536</v>
      </c>
      <c r="K416" s="420" t="n">
        <f aca="false">K415+0.5*(vit_z+H415)*pas</f>
        <v>-4.90788866223466</v>
      </c>
      <c r="L416" s="418" t="n">
        <f aca="false">SQRT(pos_x^2+pos_z^2)</f>
        <v>211.848011544928</v>
      </c>
      <c r="M416" s="419" t="n">
        <f aca="false">IF(AND(L415&gt;L_rampe,G416&gt;0),ATAN2(G416,H416),$M$4)</f>
        <v>-1.42679652290759</v>
      </c>
      <c r="N416" s="418" t="n">
        <f aca="false">DEGREES(Beta)</f>
        <v>-81.7494189865457</v>
      </c>
      <c r="O416" s="402"/>
      <c r="P416" s="421" t="n">
        <f aca="false">MATCH(t-pas/2-T_ini,CdP_t)</f>
        <v>23</v>
      </c>
      <c r="Q416" s="418" t="n">
        <f aca="false">(INDEX(CdP,2,i_P+1)-INDEX(CdP,2,i_P+0))/(INDEX(CdP,1,i_P+1)-INDEX(CdP,1,i_P+0))*(t-pas/2-T_ini-INDEX(CdP,1,i_P+0))+INDEX(CdP,2,i_P+0)</f>
        <v>0</v>
      </c>
      <c r="R416" s="419" t="n">
        <f aca="false">Poussee/(g*ISP)</f>
        <v>0</v>
      </c>
      <c r="S416" s="420" t="n">
        <f aca="false">S415-Débit*pas</f>
        <v>1.4843</v>
      </c>
      <c r="T416" s="418" t="n">
        <f aca="false">m*g</f>
        <v>14.560983</v>
      </c>
      <c r="U416" s="422" t="n">
        <f aca="false">IF(pos_xz&lt;L_rampe,Poids*COS(Beta),0)</f>
        <v>0</v>
      </c>
      <c r="V416" s="419" t="n">
        <f aca="false">Rho_moyen*(20000-Alt_rampe-pos_z)/(20000+Alt_rampe+pos_z)</f>
        <v>1.22560136393249</v>
      </c>
      <c r="W416" s="418" t="n">
        <f aca="false">1/2*Rho*Sref*Cx*vit_xz^2</f>
        <v>5.54806994685375</v>
      </c>
      <c r="X416" s="402"/>
      <c r="Y416" s="423" t="str">
        <f aca="false">IF(AND(pos_z&lt;=0,K415&gt;0),"Impact balistique","") &amp; IF(AND(H417&lt;0,vit_z&gt;=0),"Apogée","") &amp; IF(AND(Poussee=0,Q415&gt;0),"Fin de propulsion","") &amp; IF(AND(L417&gt;L_rampe,pos_xz&lt;=L_rampe),"Sortie de rampe","")</f>
        <v/>
      </c>
      <c r="Z416" s="424" t="str">
        <f aca="false">IF(ABS(t-T_para)&lt;pas/2,"Para","")</f>
        <v/>
      </c>
      <c r="AA416" s="425" t="str">
        <f aca="false">IF(ABS(t-T_satellite)&lt;pas/2,"Satellite","")</f>
        <v/>
      </c>
      <c r="AB416" s="413"/>
      <c r="AC416" s="421" t="e">
        <f aca="false">IF(ABS(t-ROUND(t,0))&lt;0.001,t,NA())</f>
        <v>#N/A</v>
      </c>
      <c r="AD416" s="426" t="e">
        <f aca="false">IF(ABS(t-ROUND(t,0))&lt;0.001,pos_x,NA())</f>
        <v>#N/A</v>
      </c>
      <c r="AE416" s="427" t="e">
        <f aca="false">IF(t&lt;T_para, pos_z, NA())</f>
        <v>#N/A</v>
      </c>
      <c r="AF416" s="413"/>
      <c r="AG416" s="419" t="n">
        <f aca="false">IF(AND(L415&lt;L_rampe,Poussee&lt;Poids*SIN(M415)),0,(-W415+Poussee)/m-Poids*SIN(M415)/m)</f>
        <v>5.97069201916154</v>
      </c>
      <c r="AH416" s="418" t="n">
        <f aca="false">IF(AND(L415&lt;L_rampe,Poussee&lt;Poids*SIN(M415)), g*SIN(M415), (-W415+Poussee)/m)</f>
        <v>-3.73777104496101</v>
      </c>
    </row>
    <row r="417" customFormat="false" ht="12" hidden="false" customHeight="false" outlineLevel="0" collapsed="false">
      <c r="A417" s="417" t="n">
        <f aca="false">IF(B416+0.01&lt;=T_ini+ROUNDUP(Temps_fin_propu,0), 0.01, IF(K416&gt;0, 0.1, 0.0001))</f>
        <v>0.0001</v>
      </c>
      <c r="B417" s="418" t="n">
        <f aca="false">B416+pas</f>
        <v>16.5068</v>
      </c>
      <c r="C417" s="402"/>
      <c r="D417" s="419" t="n">
        <f aca="false">IF(AND(L416&lt;L_rampe,Poussee&lt;Poids*SIN(M416)),0,(-W416+Poussee)/m*COS(M416)-U416/m*SIN(M416))</f>
        <v>-0.536389397122307</v>
      </c>
      <c r="E417" s="420" t="n">
        <f aca="false">IF(AND(L416&lt;L_rampe,Poussee&lt;Poids*SIN(M416)),0,(-W416+Poussee)/m*SIN(M416)+U416/m*COS(M416)-Poids/m)</f>
        <v>-6.1108508766475</v>
      </c>
      <c r="F417" s="418" t="n">
        <f aca="false">SQRT(acc_x^2+acc_z^2)</f>
        <v>6.13434691079407</v>
      </c>
      <c r="G417" s="419" t="n">
        <f aca="false">G416+acc_x*pas</f>
        <v>10.2835876074211</v>
      </c>
      <c r="H417" s="420" t="n">
        <f aca="false">H416+acc_z*pas</f>
        <v>-70.9205858374473</v>
      </c>
      <c r="I417" s="418" t="n">
        <f aca="false">SQRT(vit_x^2+vit_z^2)</f>
        <v>71.6622750797534</v>
      </c>
      <c r="J417" s="419" t="n">
        <f aca="false">J416+0.5*(vit_x+G416)*pas*(K416&gt;=0)</f>
        <v>211.791153319536</v>
      </c>
      <c r="K417" s="420" t="n">
        <f aca="false">K416+0.5*(vit_z+H416)*pas</f>
        <v>-4.91498069026415</v>
      </c>
      <c r="L417" s="418" t="n">
        <f aca="false">SQRT(pos_x^2+pos_z^2)</f>
        <v>211.848175964781</v>
      </c>
      <c r="M417" s="419" t="n">
        <f aca="false">IF(AND(L416&gt;L_rampe,G417&gt;0),ATAN2(G417,H417),$M$4)</f>
        <v>-1.42679848734574</v>
      </c>
      <c r="N417" s="418" t="n">
        <f aca="false">DEGREES(Beta)</f>
        <v>-81.7495315405609</v>
      </c>
      <c r="O417" s="402"/>
      <c r="P417" s="421" t="n">
        <f aca="false">MATCH(t-pas/2-T_ini,CdP_t)</f>
        <v>23</v>
      </c>
      <c r="Q417" s="418" t="n">
        <f aca="false">(INDEX(CdP,2,i_P+1)-INDEX(CdP,2,i_P+0))/(INDEX(CdP,1,i_P+1)-INDEX(CdP,1,i_P+0))*(t-pas/2-T_ini-INDEX(CdP,1,i_P+0))+INDEX(CdP,2,i_P+0)</f>
        <v>0</v>
      </c>
      <c r="R417" s="419" t="n">
        <f aca="false">Poussee/(g*ISP)</f>
        <v>0</v>
      </c>
      <c r="S417" s="420" t="n">
        <f aca="false">S416-Débit*pas</f>
        <v>1.4843</v>
      </c>
      <c r="T417" s="418" t="n">
        <f aca="false">m*g</f>
        <v>14.560983</v>
      </c>
      <c r="U417" s="422" t="n">
        <f aca="false">IF(pos_xz&lt;L_rampe,Poids*COS(Beta),0)</f>
        <v>0</v>
      </c>
      <c r="V417" s="419" t="n">
        <f aca="false">Rho_moyen*(20000-Alt_rampe-pos_z)/(20000+Alt_rampe+pos_z)</f>
        <v>1.22560223313277</v>
      </c>
      <c r="W417" s="418" t="n">
        <f aca="false">1/2*Rho*Sref*Cx*vit_xz^2</f>
        <v>5.54816633164733</v>
      </c>
      <c r="X417" s="402"/>
      <c r="Y417" s="423" t="str">
        <f aca="false">IF(AND(pos_z&lt;=0,K416&gt;0),"Impact balistique","") &amp; IF(AND(H418&lt;0,vit_z&gt;=0),"Apogée","") &amp; IF(AND(Poussee=0,Q416&gt;0),"Fin de propulsion","") &amp; IF(AND(L418&gt;L_rampe,pos_xz&lt;=L_rampe),"Sortie de rampe","")</f>
        <v/>
      </c>
      <c r="Z417" s="424" t="str">
        <f aca="false">IF(ABS(t-T_para)&lt;pas/2,"Para","")</f>
        <v/>
      </c>
      <c r="AA417" s="425" t="str">
        <f aca="false">IF(ABS(t-T_satellite)&lt;pas/2,"Satellite","")</f>
        <v/>
      </c>
      <c r="AB417" s="413"/>
      <c r="AC417" s="421" t="e">
        <f aca="false">IF(ABS(t-ROUND(t,0))&lt;0.001,t,NA())</f>
        <v>#N/A</v>
      </c>
      <c r="AD417" s="426" t="e">
        <f aca="false">IF(ABS(t-ROUND(t,0))&lt;0.001,pos_x,NA())</f>
        <v>#N/A</v>
      </c>
      <c r="AE417" s="427" t="e">
        <f aca="false">IF(t&lt;T_para, pos_z, NA())</f>
        <v>#N/A</v>
      </c>
      <c r="AF417" s="413"/>
      <c r="AG417" s="419" t="n">
        <f aca="false">IF(AND(L416&lt;L_rampe,Poussee&lt;Poids*SIN(M416)),0,(-W416+Poussee)/m-Poids*SIN(M416)/m)</f>
        <v>5.97062984848924</v>
      </c>
      <c r="AH417" s="418" t="n">
        <f aca="false">IF(AND(L416&lt;L_rampe,Poussee&lt;Poids*SIN(M416)), g*SIN(M416), (-W416+Poussee)/m)</f>
        <v>-3.73783598117211</v>
      </c>
    </row>
    <row r="418" customFormat="false" ht="12" hidden="false" customHeight="false" outlineLevel="0" collapsed="false">
      <c r="A418" s="417" t="n">
        <f aca="false">IF(B417+0.01&lt;=T_ini+ROUNDUP(Temps_fin_propu,0), 0.01, IF(K417&gt;0, 0.1, 0.0001))</f>
        <v>0.0001</v>
      </c>
      <c r="B418" s="418" t="n">
        <f aca="false">B417+pas</f>
        <v>16.5069</v>
      </c>
      <c r="C418" s="402"/>
      <c r="D418" s="419" t="n">
        <f aca="false">IF(AND(L417&lt;L_rampe,Poussee&lt;Poids*SIN(M417)),0,(-W417+Poussee)/m*COS(M417)-U417/m*SIN(M417))</f>
        <v>-0.536391448761861</v>
      </c>
      <c r="E418" s="420" t="n">
        <f aca="false">IF(AND(L417&lt;L_rampe,Poussee&lt;Poids*SIN(M417)),0,(-W417+Poussee)/m*SIN(M417)+U417/m*COS(M417)-Poids/m)</f>
        <v>-6.11078555883203</v>
      </c>
      <c r="F418" s="418" t="n">
        <f aca="false">SQRT(acc_x^2+acc_z^2)</f>
        <v>6.13428202256262</v>
      </c>
      <c r="G418" s="419" t="n">
        <f aca="false">G417+acc_x*pas</f>
        <v>10.2835339682763</v>
      </c>
      <c r="H418" s="420" t="n">
        <f aca="false">H417+acc_z*pas</f>
        <v>-70.9211969160032</v>
      </c>
      <c r="I418" s="418" t="n">
        <f aca="false">SQRT(vit_x^2+vit_z^2)</f>
        <v>71.6628721366594</v>
      </c>
      <c r="J418" s="419" t="n">
        <f aca="false">J417+0.5*(vit_x+G417)*pas*(K417&gt;=0)</f>
        <v>211.791153319536</v>
      </c>
      <c r="K418" s="420" t="n">
        <f aca="false">K417+0.5*(vit_z+H417)*pas</f>
        <v>-4.92207277940182</v>
      </c>
      <c r="L418" s="418" t="n">
        <f aca="false">SQRT(pos_x^2+pos_z^2)</f>
        <v>211.848340623345</v>
      </c>
      <c r="M418" s="419" t="n">
        <f aca="false">IF(AND(L417&gt;L_rampe,G418&gt;0),ATAN2(G418,H418),$M$4)</f>
        <v>-1.42680045174091</v>
      </c>
      <c r="N418" s="418" t="n">
        <f aca="false">DEGREES(Beta)</f>
        <v>-81.7496440921135</v>
      </c>
      <c r="O418" s="402"/>
      <c r="P418" s="421" t="n">
        <f aca="false">MATCH(t-pas/2-T_ini,CdP_t)</f>
        <v>23</v>
      </c>
      <c r="Q418" s="418" t="n">
        <f aca="false">(INDEX(CdP,2,i_P+1)-INDEX(CdP,2,i_P+0))/(INDEX(CdP,1,i_P+1)-INDEX(CdP,1,i_P+0))*(t-pas/2-T_ini-INDEX(CdP,1,i_P+0))+INDEX(CdP,2,i_P+0)</f>
        <v>0</v>
      </c>
      <c r="R418" s="419" t="n">
        <f aca="false">Poussee/(g*ISP)</f>
        <v>0</v>
      </c>
      <c r="S418" s="420" t="n">
        <f aca="false">S417-Débit*pas</f>
        <v>1.4843</v>
      </c>
      <c r="T418" s="418" t="n">
        <f aca="false">m*g</f>
        <v>14.560983</v>
      </c>
      <c r="U418" s="422" t="n">
        <f aca="false">IF(pos_xz&lt;L_rampe,Poids*COS(Beta),0)</f>
        <v>0</v>
      </c>
      <c r="V418" s="419" t="n">
        <f aca="false">Rho_moyen*(20000-Alt_rampe-pos_z)/(20000+Alt_rampe+pos_z)</f>
        <v>1.22560310234116</v>
      </c>
      <c r="W418" s="418" t="n">
        <f aca="false">1/2*Rho*Sref*Cx*vit_xz^2</f>
        <v>5.54826271641632</v>
      </c>
      <c r="X418" s="402"/>
      <c r="Y418" s="423" t="str">
        <f aca="false">IF(AND(pos_z&lt;=0,K417&gt;0),"Impact balistique","") &amp; IF(AND(H419&lt;0,vit_z&gt;=0),"Apogée","") &amp; IF(AND(Poussee=0,Q417&gt;0),"Fin de propulsion","") &amp; IF(AND(L419&gt;L_rampe,pos_xz&lt;=L_rampe),"Sortie de rampe","")</f>
        <v/>
      </c>
      <c r="Z418" s="424" t="str">
        <f aca="false">IF(ABS(t-T_para)&lt;pas/2,"Para","")</f>
        <v/>
      </c>
      <c r="AA418" s="425" t="str">
        <f aca="false">IF(ABS(t-T_satellite)&lt;pas/2,"Satellite","")</f>
        <v/>
      </c>
      <c r="AB418" s="413"/>
      <c r="AC418" s="421" t="e">
        <f aca="false">IF(ABS(t-ROUND(t,0))&lt;0.001,t,NA())</f>
        <v>#N/A</v>
      </c>
      <c r="AD418" s="426" t="e">
        <f aca="false">IF(ABS(t-ROUND(t,0))&lt;0.001,pos_x,NA())</f>
        <v>#N/A</v>
      </c>
      <c r="AE418" s="427" t="e">
        <f aca="false">IF(t&lt;T_para, pos_z, NA())</f>
        <v>#N/A</v>
      </c>
      <c r="AF418" s="413"/>
      <c r="AG418" s="419" t="n">
        <f aca="false">IF(AND(L417&lt;L_rampe,Poussee&lt;Poids*SIN(M417)),0,(-W417+Poussee)/m-Poids*SIN(M417)/m)</f>
        <v>5.97056767773551</v>
      </c>
      <c r="AH418" s="418" t="n">
        <f aca="false">IF(AND(L417&lt;L_rampe,Poussee&lt;Poids*SIN(M417)), g*SIN(M417), (-W417+Poussee)/m)</f>
        <v>-3.73790091736666</v>
      </c>
    </row>
    <row r="419" customFormat="false" ht="12" hidden="false" customHeight="false" outlineLevel="0" collapsed="false">
      <c r="A419" s="417" t="n">
        <f aca="false">IF(B418+0.01&lt;=T_ini+ROUNDUP(Temps_fin_propu,0), 0.01, IF(K418&gt;0, 0.1, 0.0001))</f>
        <v>0.0001</v>
      </c>
      <c r="B419" s="418" t="n">
        <f aca="false">B418+pas</f>
        <v>16.507</v>
      </c>
      <c r="C419" s="402"/>
      <c r="D419" s="419" t="n">
        <f aca="false">IF(AND(L418&lt;L_rampe,Poussee&lt;Poids*SIN(M418)),0,(-W418+Poussee)/m*COS(M418)-U418/m*SIN(M418))</f>
        <v>-0.536393500303477</v>
      </c>
      <c r="E419" s="420" t="n">
        <f aca="false">IF(AND(L418&lt;L_rampe,Poussee&lt;Poids*SIN(M418)),0,(-W418+Poussee)/m*SIN(M418)+U418/m*COS(M418)-Poids/m)</f>
        <v>-6.11072024103367</v>
      </c>
      <c r="F419" s="418" t="n">
        <f aca="false">SQRT(acc_x^2+acc_z^2)</f>
        <v>6.13421713434945</v>
      </c>
      <c r="G419" s="419" t="n">
        <f aca="false">G418+acc_x*pas</f>
        <v>10.2834803289262</v>
      </c>
      <c r="H419" s="420" t="n">
        <f aca="false">H418+acc_z*pas</f>
        <v>-70.9218079880273</v>
      </c>
      <c r="I419" s="418" t="n">
        <f aca="false">SQRT(vit_x^2+vit_z^2)</f>
        <v>71.6634691873483</v>
      </c>
      <c r="J419" s="419" t="n">
        <f aca="false">J418+0.5*(vit_x+G418)*pas*(K418&gt;=0)</f>
        <v>211.791153319536</v>
      </c>
      <c r="K419" s="420" t="n">
        <f aca="false">K418+0.5*(vit_z+H418)*pas</f>
        <v>-4.92916492964702</v>
      </c>
      <c r="L419" s="418" t="n">
        <f aca="false">SQRT(pos_x^2+pos_z^2)</f>
        <v>211.848505520627</v>
      </c>
      <c r="M419" s="419" t="n">
        <f aca="false">IF(AND(L418&gt;L_rampe,G419&gt;0),ATAN2(G419,H419),$M$4)</f>
        <v>-1.4268024160931</v>
      </c>
      <c r="N419" s="418" t="n">
        <f aca="false">DEGREES(Beta)</f>
        <v>-81.7497566412036</v>
      </c>
      <c r="O419" s="402"/>
      <c r="P419" s="421" t="n">
        <f aca="false">MATCH(t-pas/2-T_ini,CdP_t)</f>
        <v>23</v>
      </c>
      <c r="Q419" s="418" t="n">
        <f aca="false">(INDEX(CdP,2,i_P+1)-INDEX(CdP,2,i_P+0))/(INDEX(CdP,1,i_P+1)-INDEX(CdP,1,i_P+0))*(t-pas/2-T_ini-INDEX(CdP,1,i_P+0))+INDEX(CdP,2,i_P+0)</f>
        <v>0</v>
      </c>
      <c r="R419" s="419" t="n">
        <f aca="false">Poussee/(g*ISP)</f>
        <v>0</v>
      </c>
      <c r="S419" s="420" t="n">
        <f aca="false">S418-Débit*pas</f>
        <v>1.4843</v>
      </c>
      <c r="T419" s="418" t="n">
        <f aca="false">m*g</f>
        <v>14.560983</v>
      </c>
      <c r="U419" s="422" t="n">
        <f aca="false">IF(pos_xz&lt;L_rampe,Poids*COS(Beta),0)</f>
        <v>0</v>
      </c>
      <c r="V419" s="419" t="n">
        <f aca="false">Rho_moyen*(20000-Alt_rampe-pos_z)/(20000+Alt_rampe+pos_z)</f>
        <v>1.22560397155765</v>
      </c>
      <c r="W419" s="418" t="n">
        <f aca="false">1/2*Rho*Sref*Cx*vit_xz^2</f>
        <v>5.5483591011607</v>
      </c>
      <c r="X419" s="402"/>
      <c r="Y419" s="423" t="str">
        <f aca="false">IF(AND(pos_z&lt;=0,K418&gt;0),"Impact balistique","") &amp; IF(AND(H420&lt;0,vit_z&gt;=0),"Apogée","") &amp; IF(AND(Poussee=0,Q418&gt;0),"Fin de propulsion","") &amp; IF(AND(L420&gt;L_rampe,pos_xz&lt;=L_rampe),"Sortie de rampe","")</f>
        <v/>
      </c>
      <c r="Z419" s="424" t="str">
        <f aca="false">IF(ABS(t-T_para)&lt;pas/2,"Para","")</f>
        <v/>
      </c>
      <c r="AA419" s="425" t="str">
        <f aca="false">IF(ABS(t-T_satellite)&lt;pas/2,"Satellite","")</f>
        <v/>
      </c>
      <c r="AB419" s="413"/>
      <c r="AC419" s="421" t="e">
        <f aca="false">IF(ABS(t-ROUND(t,0))&lt;0.001,t,NA())</f>
        <v>#N/A</v>
      </c>
      <c r="AD419" s="426" t="e">
        <f aca="false">IF(ABS(t-ROUND(t,0))&lt;0.001,pos_x,NA())</f>
        <v>#N/A</v>
      </c>
      <c r="AE419" s="427" t="e">
        <f aca="false">IF(t&lt;T_para, pos_z, NA())</f>
        <v>#N/A</v>
      </c>
      <c r="AF419" s="413"/>
      <c r="AG419" s="419" t="n">
        <f aca="false">IF(AND(L418&lt;L_rampe,Poussee&lt;Poids*SIN(M418)),0,(-W418+Poussee)/m-Poids*SIN(M418)/m)</f>
        <v>5.97050550690037</v>
      </c>
      <c r="AH419" s="418" t="n">
        <f aca="false">IF(AND(L418&lt;L_rampe,Poussee&lt;Poids*SIN(M418)), g*SIN(M418), (-W418+Poussee)/m)</f>
        <v>-3.73796585354465</v>
      </c>
    </row>
    <row r="420" customFormat="false" ht="12" hidden="false" customHeight="false" outlineLevel="0" collapsed="false">
      <c r="A420" s="417" t="n">
        <f aca="false">IF(B419+0.01&lt;=T_ini+ROUNDUP(Temps_fin_propu,0), 0.01, IF(K419&gt;0, 0.1, 0.0001))</f>
        <v>0.0001</v>
      </c>
      <c r="B420" s="418" t="n">
        <f aca="false">B419+pas</f>
        <v>16.5071</v>
      </c>
      <c r="C420" s="402"/>
      <c r="D420" s="419" t="n">
        <f aca="false">IF(AND(L419&lt;L_rampe,Poussee&lt;Poids*SIN(M419)),0,(-W419+Poussee)/m*COS(M419)-U419/m*SIN(M419))</f>
        <v>-0.536395551747154</v>
      </c>
      <c r="E420" s="420" t="n">
        <f aca="false">IF(AND(L419&lt;L_rampe,Poussee&lt;Poids*SIN(M419)),0,(-W419+Poussee)/m*SIN(M419)+U419/m*COS(M419)-Poids/m)</f>
        <v>-6.11065492325244</v>
      </c>
      <c r="F420" s="418" t="n">
        <f aca="false">SQRT(acc_x^2+acc_z^2)</f>
        <v>6.13415224615459</v>
      </c>
      <c r="G420" s="419" t="n">
        <f aca="false">G419+acc_x*pas</f>
        <v>10.2834266893711</v>
      </c>
      <c r="H420" s="420" t="n">
        <f aca="false">H419+acc_z*pas</f>
        <v>-70.9224190535196</v>
      </c>
      <c r="I420" s="418" t="n">
        <f aca="false">SQRT(vit_x^2+vit_z^2)</f>
        <v>71.6640662318202</v>
      </c>
      <c r="J420" s="419" t="n">
        <f aca="false">J419+0.5*(vit_x+G419)*pas*(K419&gt;=0)</f>
        <v>211.791153319536</v>
      </c>
      <c r="K420" s="420" t="n">
        <f aca="false">K419+0.5*(vit_z+H419)*pas</f>
        <v>-4.9362571409991</v>
      </c>
      <c r="L420" s="418" t="n">
        <f aca="false">SQRT(pos_x^2+pos_z^2)</f>
        <v>211.84867065663</v>
      </c>
      <c r="M420" s="419" t="n">
        <f aca="false">IF(AND(L419&gt;L_rampe,G420&gt;0),ATAN2(G420,H420),$M$4)</f>
        <v>-1.42680438040232</v>
      </c>
      <c r="N420" s="418" t="n">
        <f aca="false">DEGREES(Beta)</f>
        <v>-81.7498691878314</v>
      </c>
      <c r="O420" s="402"/>
      <c r="P420" s="421" t="n">
        <f aca="false">MATCH(t-pas/2-T_ini,CdP_t)</f>
        <v>23</v>
      </c>
      <c r="Q420" s="418" t="n">
        <f aca="false">(INDEX(CdP,2,i_P+1)-INDEX(CdP,2,i_P+0))/(INDEX(CdP,1,i_P+1)-INDEX(CdP,1,i_P+0))*(t-pas/2-T_ini-INDEX(CdP,1,i_P+0))+INDEX(CdP,2,i_P+0)</f>
        <v>0</v>
      </c>
      <c r="R420" s="419" t="n">
        <f aca="false">Poussee/(g*ISP)</f>
        <v>0</v>
      </c>
      <c r="S420" s="420" t="n">
        <f aca="false">S419-Débit*pas</f>
        <v>1.4843</v>
      </c>
      <c r="T420" s="418" t="n">
        <f aca="false">m*g</f>
        <v>14.560983</v>
      </c>
      <c r="U420" s="422" t="n">
        <f aca="false">IF(pos_xz&lt;L_rampe,Poids*COS(Beta),0)</f>
        <v>0</v>
      </c>
      <c r="V420" s="419" t="n">
        <f aca="false">Rho_moyen*(20000-Alt_rampe-pos_z)/(20000+Alt_rampe+pos_z)</f>
        <v>1.22560484078225</v>
      </c>
      <c r="W420" s="418" t="n">
        <f aca="false">1/2*Rho*Sref*Cx*vit_xz^2</f>
        <v>5.54845548588046</v>
      </c>
      <c r="X420" s="402"/>
      <c r="Y420" s="423" t="str">
        <f aca="false">IF(AND(pos_z&lt;=0,K419&gt;0),"Impact balistique","") &amp; IF(AND(H421&lt;0,vit_z&gt;=0),"Apogée","") &amp; IF(AND(Poussee=0,Q419&gt;0),"Fin de propulsion","") &amp; IF(AND(L421&gt;L_rampe,pos_xz&lt;=L_rampe),"Sortie de rampe","")</f>
        <v/>
      </c>
      <c r="Z420" s="424" t="str">
        <f aca="false">IF(ABS(t-T_para)&lt;pas/2,"Para","")</f>
        <v/>
      </c>
      <c r="AA420" s="425" t="str">
        <f aca="false">IF(ABS(t-T_satellite)&lt;pas/2,"Satellite","")</f>
        <v/>
      </c>
      <c r="AB420" s="413"/>
      <c r="AC420" s="421" t="e">
        <f aca="false">IF(ABS(t-ROUND(t,0))&lt;0.001,t,NA())</f>
        <v>#N/A</v>
      </c>
      <c r="AD420" s="426" t="e">
        <f aca="false">IF(ABS(t-ROUND(t,0))&lt;0.001,pos_x,NA())</f>
        <v>#N/A</v>
      </c>
      <c r="AE420" s="427" t="e">
        <f aca="false">IF(t&lt;T_para, pos_z, NA())</f>
        <v>#N/A</v>
      </c>
      <c r="AF420" s="413"/>
      <c r="AG420" s="419" t="n">
        <f aca="false">IF(AND(L419&lt;L_rampe,Poussee&lt;Poids*SIN(M419)),0,(-W419+Poussee)/m-Poids*SIN(M419)/m)</f>
        <v>5.97044333598385</v>
      </c>
      <c r="AH420" s="418" t="n">
        <f aca="false">IF(AND(L419&lt;L_rampe,Poussee&lt;Poids*SIN(M419)), g*SIN(M419), (-W419+Poussee)/m)</f>
        <v>-3.73803078970606</v>
      </c>
    </row>
    <row r="421" customFormat="false" ht="12" hidden="false" customHeight="false" outlineLevel="0" collapsed="false">
      <c r="A421" s="417" t="n">
        <f aca="false">IF(B420+0.01&lt;=T_ini+ROUNDUP(Temps_fin_propu,0), 0.01, IF(K420&gt;0, 0.1, 0.0001))</f>
        <v>0.0001</v>
      </c>
      <c r="B421" s="418" t="n">
        <f aca="false">B420+pas</f>
        <v>16.5072</v>
      </c>
      <c r="C421" s="402"/>
      <c r="D421" s="419" t="n">
        <f aca="false">IF(AND(L420&lt;L_rampe,Poussee&lt;Poids*SIN(M420)),0,(-W420+Poussee)/m*COS(M420)-U420/m*SIN(M420))</f>
        <v>-0.536397603092895</v>
      </c>
      <c r="E421" s="420" t="n">
        <f aca="false">IF(AND(L420&lt;L_rampe,Poussee&lt;Poids*SIN(M420)),0,(-W420+Poussee)/m*SIN(M420)+U420/m*COS(M420)-Poids/m)</f>
        <v>-6.11058960548835</v>
      </c>
      <c r="F421" s="418" t="n">
        <f aca="false">SQRT(acc_x^2+acc_z^2)</f>
        <v>6.13408735797805</v>
      </c>
      <c r="G421" s="419" t="n">
        <f aca="false">G420+acc_x*pas</f>
        <v>10.2833730496107</v>
      </c>
      <c r="H421" s="420" t="n">
        <f aca="false">H420+acc_z*pas</f>
        <v>-70.9230301124802</v>
      </c>
      <c r="I421" s="418" t="n">
        <f aca="false">SQRT(vit_x^2+vit_z^2)</f>
        <v>71.6646632700749</v>
      </c>
      <c r="J421" s="419" t="n">
        <f aca="false">J420+0.5*(vit_x+G420)*pas*(K420&gt;=0)</f>
        <v>211.791153319536</v>
      </c>
      <c r="K421" s="420" t="n">
        <f aca="false">K420+0.5*(vit_z+H420)*pas</f>
        <v>-4.9433494134574</v>
      </c>
      <c r="L421" s="418" t="n">
        <f aca="false">SQRT(pos_x^2+pos_z^2)</f>
        <v>211.848836031362</v>
      </c>
      <c r="M421" s="419" t="n">
        <f aca="false">IF(AND(L420&gt;L_rampe,G421&gt;0),ATAN2(G421,H421),$M$4)</f>
        <v>-1.42680634466856</v>
      </c>
      <c r="N421" s="418" t="n">
        <f aca="false">DEGREES(Beta)</f>
        <v>-81.7499817319968</v>
      </c>
      <c r="O421" s="402"/>
      <c r="P421" s="421" t="n">
        <f aca="false">MATCH(t-pas/2-T_ini,CdP_t)</f>
        <v>23</v>
      </c>
      <c r="Q421" s="418" t="n">
        <f aca="false">(INDEX(CdP,2,i_P+1)-INDEX(CdP,2,i_P+0))/(INDEX(CdP,1,i_P+1)-INDEX(CdP,1,i_P+0))*(t-pas/2-T_ini-INDEX(CdP,1,i_P+0))+INDEX(CdP,2,i_P+0)</f>
        <v>0</v>
      </c>
      <c r="R421" s="419" t="n">
        <f aca="false">Poussee/(g*ISP)</f>
        <v>0</v>
      </c>
      <c r="S421" s="420" t="n">
        <f aca="false">S420-Débit*pas</f>
        <v>1.4843</v>
      </c>
      <c r="T421" s="418" t="n">
        <f aca="false">m*g</f>
        <v>14.560983</v>
      </c>
      <c r="U421" s="422" t="n">
        <f aca="false">IF(pos_xz&lt;L_rampe,Poids*COS(Beta),0)</f>
        <v>0</v>
      </c>
      <c r="V421" s="419" t="n">
        <f aca="false">Rho_moyen*(20000-Alt_rampe-pos_z)/(20000+Alt_rampe+pos_z)</f>
        <v>1.22560571001496</v>
      </c>
      <c r="W421" s="418" t="n">
        <f aca="false">1/2*Rho*Sref*Cx*vit_xz^2</f>
        <v>5.54855187057555</v>
      </c>
      <c r="X421" s="402"/>
      <c r="Y421" s="423" t="str">
        <f aca="false">IF(AND(pos_z&lt;=0,K420&gt;0),"Impact balistique","") &amp; IF(AND(H422&lt;0,vit_z&gt;=0),"Apogée","") &amp; IF(AND(Poussee=0,Q420&gt;0),"Fin de propulsion","") &amp; IF(AND(L422&gt;L_rampe,pos_xz&lt;=L_rampe),"Sortie de rampe","")</f>
        <v/>
      </c>
      <c r="Z421" s="424" t="str">
        <f aca="false">IF(ABS(t-T_para)&lt;pas/2,"Para","")</f>
        <v/>
      </c>
      <c r="AA421" s="425" t="str">
        <f aca="false">IF(ABS(t-T_satellite)&lt;pas/2,"Satellite","")</f>
        <v/>
      </c>
      <c r="AB421" s="413"/>
      <c r="AC421" s="421" t="e">
        <f aca="false">IF(ABS(t-ROUND(t,0))&lt;0.001,t,NA())</f>
        <v>#N/A</v>
      </c>
      <c r="AD421" s="426" t="e">
        <f aca="false">IF(ABS(t-ROUND(t,0))&lt;0.001,pos_x,NA())</f>
        <v>#N/A</v>
      </c>
      <c r="AE421" s="427" t="e">
        <f aca="false">IF(t&lt;T_para, pos_z, NA())</f>
        <v>#N/A</v>
      </c>
      <c r="AF421" s="413"/>
      <c r="AG421" s="419" t="n">
        <f aca="false">IF(AND(L420&lt;L_rampe,Poussee&lt;Poids*SIN(M420)),0,(-W420+Poussee)/m-Poids*SIN(M420)/m)</f>
        <v>5.97038116498597</v>
      </c>
      <c r="AH421" s="418" t="n">
        <f aca="false">IF(AND(L420&lt;L_rampe,Poussee&lt;Poids*SIN(M420)), g*SIN(M420), (-W420+Poussee)/m)</f>
        <v>-3.73809572585088</v>
      </c>
    </row>
    <row r="422" customFormat="false" ht="12" hidden="false" customHeight="false" outlineLevel="0" collapsed="false">
      <c r="A422" s="417" t="n">
        <f aca="false">IF(B421+0.01&lt;=T_ini+ROUNDUP(Temps_fin_propu,0), 0.01, IF(K421&gt;0, 0.1, 0.0001))</f>
        <v>0.0001</v>
      </c>
      <c r="B422" s="418" t="n">
        <f aca="false">B421+pas</f>
        <v>16.5073</v>
      </c>
      <c r="C422" s="402"/>
      <c r="D422" s="419" t="n">
        <f aca="false">IF(AND(L421&lt;L_rampe,Poussee&lt;Poids*SIN(M421)),0,(-W421+Poussee)/m*COS(M421)-U421/m*SIN(M421))</f>
        <v>-0.536399654340699</v>
      </c>
      <c r="E422" s="420" t="n">
        <f aca="false">IF(AND(L421&lt;L_rampe,Poussee&lt;Poids*SIN(M421)),0,(-W421+Poussee)/m*SIN(M421)+U421/m*COS(M421)-Poids/m)</f>
        <v>-6.11052428774142</v>
      </c>
      <c r="F422" s="418" t="n">
        <f aca="false">SQRT(acc_x^2+acc_z^2)</f>
        <v>6.13402246981984</v>
      </c>
      <c r="G422" s="419" t="n">
        <f aca="false">G421+acc_x*pas</f>
        <v>10.2833194096453</v>
      </c>
      <c r="H422" s="420" t="n">
        <f aca="false">H421+acc_z*pas</f>
        <v>-70.9236411649089</v>
      </c>
      <c r="I422" s="418" t="n">
        <f aca="false">SQRT(vit_x^2+vit_z^2)</f>
        <v>71.6652603021126</v>
      </c>
      <c r="J422" s="419" t="n">
        <f aca="false">J421+0.5*(vit_x+G421)*pas*(K421&gt;=0)</f>
        <v>211.791153319536</v>
      </c>
      <c r="K422" s="420" t="n">
        <f aca="false">K421+0.5*(vit_z+H421)*pas</f>
        <v>-4.95044174702127</v>
      </c>
      <c r="L422" s="418" t="n">
        <f aca="false">SQRT(pos_x^2+pos_z^2)</f>
        <v>211.849001644827</v>
      </c>
      <c r="M422" s="419" t="n">
        <f aca="false">IF(AND(L421&gt;L_rampe,G422&gt;0),ATAN2(G422,H422),$M$4)</f>
        <v>-1.42680830889183</v>
      </c>
      <c r="N422" s="418" t="n">
        <f aca="false">DEGREES(Beta)</f>
        <v>-81.7500942737</v>
      </c>
      <c r="O422" s="402"/>
      <c r="P422" s="421" t="n">
        <f aca="false">MATCH(t-pas/2-T_ini,CdP_t)</f>
        <v>23</v>
      </c>
      <c r="Q422" s="418" t="n">
        <f aca="false">(INDEX(CdP,2,i_P+1)-INDEX(CdP,2,i_P+0))/(INDEX(CdP,1,i_P+1)-INDEX(CdP,1,i_P+0))*(t-pas/2-T_ini-INDEX(CdP,1,i_P+0))+INDEX(CdP,2,i_P+0)</f>
        <v>0</v>
      </c>
      <c r="R422" s="419" t="n">
        <f aca="false">Poussee/(g*ISP)</f>
        <v>0</v>
      </c>
      <c r="S422" s="420" t="n">
        <f aca="false">S421-Débit*pas</f>
        <v>1.4843</v>
      </c>
      <c r="T422" s="418" t="n">
        <f aca="false">m*g</f>
        <v>14.560983</v>
      </c>
      <c r="U422" s="422" t="n">
        <f aca="false">IF(pos_xz&lt;L_rampe,Poids*COS(Beta),0)</f>
        <v>0</v>
      </c>
      <c r="V422" s="419" t="n">
        <f aca="false">Rho_moyen*(20000-Alt_rampe-pos_z)/(20000+Alt_rampe+pos_z)</f>
        <v>1.22560657925577</v>
      </c>
      <c r="W422" s="418" t="n">
        <f aca="false">1/2*Rho*Sref*Cx*vit_xz^2</f>
        <v>5.54864825524597</v>
      </c>
      <c r="X422" s="402"/>
      <c r="Y422" s="423" t="str">
        <f aca="false">IF(AND(pos_z&lt;=0,K421&gt;0),"Impact balistique","") &amp; IF(AND(H423&lt;0,vit_z&gt;=0),"Apogée","") &amp; IF(AND(Poussee=0,Q421&gt;0),"Fin de propulsion","") &amp; IF(AND(L423&gt;L_rampe,pos_xz&lt;=L_rampe),"Sortie de rampe","")</f>
        <v/>
      </c>
      <c r="Z422" s="424" t="str">
        <f aca="false">IF(ABS(t-T_para)&lt;pas/2,"Para","")</f>
        <v/>
      </c>
      <c r="AA422" s="425" t="str">
        <f aca="false">IF(ABS(t-T_satellite)&lt;pas/2,"Satellite","")</f>
        <v/>
      </c>
      <c r="AB422" s="413"/>
      <c r="AC422" s="421" t="e">
        <f aca="false">IF(ABS(t-ROUND(t,0))&lt;0.001,t,NA())</f>
        <v>#N/A</v>
      </c>
      <c r="AD422" s="426" t="e">
        <f aca="false">IF(ABS(t-ROUND(t,0))&lt;0.001,pos_x,NA())</f>
        <v>#N/A</v>
      </c>
      <c r="AE422" s="427" t="e">
        <f aca="false">IF(t&lt;T_para, pos_z, NA())</f>
        <v>#N/A</v>
      </c>
      <c r="AF422" s="413"/>
      <c r="AG422" s="419" t="n">
        <f aca="false">IF(AND(L421&lt;L_rampe,Poussee&lt;Poids*SIN(M421)),0,(-W421+Poussee)/m-Poids*SIN(M421)/m)</f>
        <v>5.97031899390673</v>
      </c>
      <c r="AH422" s="418" t="n">
        <f aca="false">IF(AND(L421&lt;L_rampe,Poussee&lt;Poids*SIN(M421)), g*SIN(M421), (-W421+Poussee)/m)</f>
        <v>-3.73816066197909</v>
      </c>
    </row>
    <row r="423" customFormat="false" ht="12" hidden="false" customHeight="false" outlineLevel="0" collapsed="false">
      <c r="A423" s="417" t="n">
        <f aca="false">IF(B422+0.01&lt;=T_ini+ROUNDUP(Temps_fin_propu,0), 0.01, IF(K422&gt;0, 0.1, 0.0001))</f>
        <v>0.0001</v>
      </c>
      <c r="B423" s="418" t="n">
        <f aca="false">B422+pas</f>
        <v>16.5074</v>
      </c>
      <c r="C423" s="402"/>
      <c r="D423" s="419" t="n">
        <f aca="false">IF(AND(L422&lt;L_rampe,Poussee&lt;Poids*SIN(M422)),0,(-W422+Poussee)/m*COS(M422)-U422/m*SIN(M422))</f>
        <v>-0.536401705490568</v>
      </c>
      <c r="E423" s="420" t="n">
        <f aca="false">IF(AND(L422&lt;L_rampe,Poussee&lt;Poids*SIN(M422)),0,(-W422+Poussee)/m*SIN(M422)+U422/m*COS(M422)-Poids/m)</f>
        <v>-6.11045897001167</v>
      </c>
      <c r="F423" s="418" t="n">
        <f aca="false">SQRT(acc_x^2+acc_z^2)</f>
        <v>6.13395758167998</v>
      </c>
      <c r="G423" s="419" t="n">
        <f aca="false">G422+acc_x*pas</f>
        <v>10.2832657694748</v>
      </c>
      <c r="H423" s="420" t="n">
        <f aca="false">H422+acc_z*pas</f>
        <v>-70.924252210806</v>
      </c>
      <c r="I423" s="418" t="n">
        <f aca="false">SQRT(vit_x^2+vit_z^2)</f>
        <v>71.6658573279331</v>
      </c>
      <c r="J423" s="419" t="n">
        <f aca="false">J422+0.5*(vit_x+G422)*pas*(K422&gt;=0)</f>
        <v>211.791153319536</v>
      </c>
      <c r="K423" s="420" t="n">
        <f aca="false">K422+0.5*(vit_z+H422)*pas</f>
        <v>-4.95753414169006</v>
      </c>
      <c r="L423" s="418" t="n">
        <f aca="false">SQRT(pos_x^2+pos_z^2)</f>
        <v>211.849167497031</v>
      </c>
      <c r="M423" s="419" t="n">
        <f aca="false">IF(AND(L422&gt;L_rampe,G423&gt;0),ATAN2(G423,H423),$M$4)</f>
        <v>-1.42681027307212</v>
      </c>
      <c r="N423" s="418" t="n">
        <f aca="false">DEGREES(Beta)</f>
        <v>-81.7502068129411</v>
      </c>
      <c r="O423" s="402"/>
      <c r="P423" s="421" t="n">
        <f aca="false">MATCH(t-pas/2-T_ini,CdP_t)</f>
        <v>23</v>
      </c>
      <c r="Q423" s="418" t="n">
        <f aca="false">(INDEX(CdP,2,i_P+1)-INDEX(CdP,2,i_P+0))/(INDEX(CdP,1,i_P+1)-INDEX(CdP,1,i_P+0))*(t-pas/2-T_ini-INDEX(CdP,1,i_P+0))+INDEX(CdP,2,i_P+0)</f>
        <v>0</v>
      </c>
      <c r="R423" s="419" t="n">
        <f aca="false">Poussee/(g*ISP)</f>
        <v>0</v>
      </c>
      <c r="S423" s="420" t="n">
        <f aca="false">S422-Débit*pas</f>
        <v>1.4843</v>
      </c>
      <c r="T423" s="418" t="n">
        <f aca="false">m*g</f>
        <v>14.560983</v>
      </c>
      <c r="U423" s="422" t="n">
        <f aca="false">IF(pos_xz&lt;L_rampe,Poids*COS(Beta),0)</f>
        <v>0</v>
      </c>
      <c r="V423" s="419" t="n">
        <f aca="false">Rho_moyen*(20000-Alt_rampe-pos_z)/(20000+Alt_rampe+pos_z)</f>
        <v>1.22560744850469</v>
      </c>
      <c r="W423" s="418" t="n">
        <f aca="false">1/2*Rho*Sref*Cx*vit_xz^2</f>
        <v>5.54874463989168</v>
      </c>
      <c r="X423" s="402"/>
      <c r="Y423" s="423" t="str">
        <f aca="false">IF(AND(pos_z&lt;=0,K422&gt;0),"Impact balistique","") &amp; IF(AND(H424&lt;0,vit_z&gt;=0),"Apogée","") &amp; IF(AND(Poussee=0,Q422&gt;0),"Fin de propulsion","") &amp; IF(AND(L424&gt;L_rampe,pos_xz&lt;=L_rampe),"Sortie de rampe","")</f>
        <v/>
      </c>
      <c r="Z423" s="424" t="str">
        <f aca="false">IF(ABS(t-T_para)&lt;pas/2,"Para","")</f>
        <v/>
      </c>
      <c r="AA423" s="425" t="str">
        <f aca="false">IF(ABS(t-T_satellite)&lt;pas/2,"Satellite","")</f>
        <v/>
      </c>
      <c r="AB423" s="413"/>
      <c r="AC423" s="421" t="e">
        <f aca="false">IF(ABS(t-ROUND(t,0))&lt;0.001,t,NA())</f>
        <v>#N/A</v>
      </c>
      <c r="AD423" s="426" t="e">
        <f aca="false">IF(ABS(t-ROUND(t,0))&lt;0.001,pos_x,NA())</f>
        <v>#N/A</v>
      </c>
      <c r="AE423" s="427" t="e">
        <f aca="false">IF(t&lt;T_para, pos_z, NA())</f>
        <v>#N/A</v>
      </c>
      <c r="AF423" s="413"/>
      <c r="AG423" s="419" t="n">
        <f aca="false">IF(AND(L422&lt;L_rampe,Poussee&lt;Poids*SIN(M422)),0,(-W422+Poussee)/m-Poids*SIN(M422)/m)</f>
        <v>5.97025682274618</v>
      </c>
      <c r="AH423" s="418" t="n">
        <f aca="false">IF(AND(L422&lt;L_rampe,Poussee&lt;Poids*SIN(M422)), g*SIN(M422), (-W422+Poussee)/m)</f>
        <v>-3.73822559809067</v>
      </c>
    </row>
    <row r="424" customFormat="false" ht="12" hidden="false" customHeight="false" outlineLevel="0" collapsed="false">
      <c r="A424" s="417" t="n">
        <f aca="false">IF(B423+0.01&lt;=T_ini+ROUNDUP(Temps_fin_propu,0), 0.01, IF(K423&gt;0, 0.1, 0.0001))</f>
        <v>0.0001</v>
      </c>
      <c r="B424" s="418" t="n">
        <f aca="false">B423+pas</f>
        <v>16.5075</v>
      </c>
      <c r="C424" s="402"/>
      <c r="D424" s="419" t="n">
        <f aca="false">IF(AND(L423&lt;L_rampe,Poussee&lt;Poids*SIN(M423)),0,(-W423+Poussee)/m*COS(M423)-U423/m*SIN(M423))</f>
        <v>-0.536403756542502</v>
      </c>
      <c r="E424" s="420" t="n">
        <f aca="false">IF(AND(L423&lt;L_rampe,Poussee&lt;Poids*SIN(M423)),0,(-W423+Poussee)/m*SIN(M423)+U423/m*COS(M423)-Poids/m)</f>
        <v>-6.1103936522991</v>
      </c>
      <c r="F424" s="418" t="n">
        <f aca="false">SQRT(acc_x^2+acc_z^2)</f>
        <v>6.13389269355848</v>
      </c>
      <c r="G424" s="419" t="n">
        <f aca="false">G423+acc_x*pas</f>
        <v>10.2832121290991</v>
      </c>
      <c r="H424" s="420" t="n">
        <f aca="false">H423+acc_z*pas</f>
        <v>-70.9248632501712</v>
      </c>
      <c r="I424" s="418" t="n">
        <f aca="false">SQRT(vit_x^2+vit_z^2)</f>
        <v>71.6664543475365</v>
      </c>
      <c r="J424" s="419" t="n">
        <f aca="false">J423+0.5*(vit_x+G423)*pas*(K423&gt;=0)</f>
        <v>211.791153319536</v>
      </c>
      <c r="K424" s="420" t="n">
        <f aca="false">K423+0.5*(vit_z+H423)*pas</f>
        <v>-4.96462659746311</v>
      </c>
      <c r="L424" s="418" t="n">
        <f aca="false">SQRT(pos_x^2+pos_z^2)</f>
        <v>211.849333587981</v>
      </c>
      <c r="M424" s="419" t="n">
        <f aca="false">IF(AND(L423&gt;L_rampe,G424&gt;0),ATAN2(G424,H424),$M$4)</f>
        <v>-1.42681223720945</v>
      </c>
      <c r="N424" s="418" t="n">
        <f aca="false">DEGREES(Beta)</f>
        <v>-81.7503193497201</v>
      </c>
      <c r="O424" s="402"/>
      <c r="P424" s="421" t="n">
        <f aca="false">MATCH(t-pas/2-T_ini,CdP_t)</f>
        <v>23</v>
      </c>
      <c r="Q424" s="418" t="n">
        <f aca="false">(INDEX(CdP,2,i_P+1)-INDEX(CdP,2,i_P+0))/(INDEX(CdP,1,i_P+1)-INDEX(CdP,1,i_P+0))*(t-pas/2-T_ini-INDEX(CdP,1,i_P+0))+INDEX(CdP,2,i_P+0)</f>
        <v>0</v>
      </c>
      <c r="R424" s="419" t="n">
        <f aca="false">Poussee/(g*ISP)</f>
        <v>0</v>
      </c>
      <c r="S424" s="420" t="n">
        <f aca="false">S423-Débit*pas</f>
        <v>1.4843</v>
      </c>
      <c r="T424" s="418" t="n">
        <f aca="false">m*g</f>
        <v>14.560983</v>
      </c>
      <c r="U424" s="422" t="n">
        <f aca="false">IF(pos_xz&lt;L_rampe,Poids*COS(Beta),0)</f>
        <v>0</v>
      </c>
      <c r="V424" s="419" t="n">
        <f aca="false">Rho_moyen*(20000-Alt_rampe-pos_z)/(20000+Alt_rampe+pos_z)</f>
        <v>1.22560831776172</v>
      </c>
      <c r="W424" s="418" t="n">
        <f aca="false">1/2*Rho*Sref*Cx*vit_xz^2</f>
        <v>5.54884102451266</v>
      </c>
      <c r="X424" s="402"/>
      <c r="Y424" s="423" t="str">
        <f aca="false">IF(AND(pos_z&lt;=0,K423&gt;0),"Impact balistique","") &amp; IF(AND(H425&lt;0,vit_z&gt;=0),"Apogée","") &amp; IF(AND(Poussee=0,Q423&gt;0),"Fin de propulsion","") &amp; IF(AND(L425&gt;L_rampe,pos_xz&lt;=L_rampe),"Sortie de rampe","")</f>
        <v/>
      </c>
      <c r="Z424" s="424" t="str">
        <f aca="false">IF(ABS(t-T_para)&lt;pas/2,"Para","")</f>
        <v/>
      </c>
      <c r="AA424" s="425" t="str">
        <f aca="false">IF(ABS(t-T_satellite)&lt;pas/2,"Satellite","")</f>
        <v/>
      </c>
      <c r="AB424" s="413"/>
      <c r="AC424" s="421" t="e">
        <f aca="false">IF(ABS(t-ROUND(t,0))&lt;0.001,t,NA())</f>
        <v>#N/A</v>
      </c>
      <c r="AD424" s="426" t="e">
        <f aca="false">IF(ABS(t-ROUND(t,0))&lt;0.001,pos_x,NA())</f>
        <v>#N/A</v>
      </c>
      <c r="AE424" s="427" t="e">
        <f aca="false">IF(t&lt;T_para, pos_z, NA())</f>
        <v>#N/A</v>
      </c>
      <c r="AF424" s="413"/>
      <c r="AG424" s="419" t="n">
        <f aca="false">IF(AND(L423&lt;L_rampe,Poussee&lt;Poids*SIN(M423)),0,(-W423+Poussee)/m-Poids*SIN(M423)/m)</f>
        <v>5.97019465150432</v>
      </c>
      <c r="AH424" s="418" t="n">
        <f aca="false">IF(AND(L423&lt;L_rampe,Poussee&lt;Poids*SIN(M423)), g*SIN(M423), (-W423+Poussee)/m)</f>
        <v>-3.7382905341856</v>
      </c>
    </row>
    <row r="425" customFormat="false" ht="12" hidden="false" customHeight="false" outlineLevel="0" collapsed="false">
      <c r="A425" s="417" t="n">
        <f aca="false">IF(B424+0.01&lt;=T_ini+ROUNDUP(Temps_fin_propu,0), 0.01, IF(K424&gt;0, 0.1, 0.0001))</f>
        <v>0.0001</v>
      </c>
      <c r="B425" s="418" t="n">
        <f aca="false">B424+pas</f>
        <v>16.5076</v>
      </c>
      <c r="C425" s="402"/>
      <c r="D425" s="419" t="n">
        <f aca="false">IF(AND(L424&lt;L_rampe,Poussee&lt;Poids*SIN(M424)),0,(-W424+Poussee)/m*COS(M424)-U424/m*SIN(M424))</f>
        <v>-0.536405807496502</v>
      </c>
      <c r="E425" s="420" t="n">
        <f aca="false">IF(AND(L424&lt;L_rampe,Poussee&lt;Poids*SIN(M424)),0,(-W424+Poussee)/m*SIN(M424)+U424/m*COS(M424)-Poids/m)</f>
        <v>-6.11032833460375</v>
      </c>
      <c r="F425" s="418" t="n">
        <f aca="false">SQRT(acc_x^2+acc_z^2)</f>
        <v>6.13382780545537</v>
      </c>
      <c r="G425" s="419" t="n">
        <f aca="false">G424+acc_x*pas</f>
        <v>10.2831584885184</v>
      </c>
      <c r="H425" s="420" t="n">
        <f aca="false">H424+acc_z*pas</f>
        <v>-70.9254742830046</v>
      </c>
      <c r="I425" s="418" t="n">
        <f aca="false">SQRT(vit_x^2+vit_z^2)</f>
        <v>71.6670513609227</v>
      </c>
      <c r="J425" s="419" t="n">
        <f aca="false">J424+0.5*(vit_x+G424)*pas*(K424&gt;=0)</f>
        <v>211.791153319536</v>
      </c>
      <c r="K425" s="420" t="n">
        <f aca="false">K424+0.5*(vit_z+H424)*pas</f>
        <v>-4.97171911433976</v>
      </c>
      <c r="L425" s="418" t="n">
        <f aca="false">SQRT(pos_x^2+pos_z^2)</f>
        <v>211.84949991768</v>
      </c>
      <c r="M425" s="419" t="n">
        <f aca="false">IF(AND(L424&gt;L_rampe,G425&gt;0),ATAN2(G425,H425),$M$4)</f>
        <v>-1.4268142013038</v>
      </c>
      <c r="N425" s="418" t="n">
        <f aca="false">DEGREES(Beta)</f>
        <v>-81.7504318840372</v>
      </c>
      <c r="O425" s="402"/>
      <c r="P425" s="421" t="n">
        <f aca="false">MATCH(t-pas/2-T_ini,CdP_t)</f>
        <v>23</v>
      </c>
      <c r="Q425" s="418" t="n">
        <f aca="false">(INDEX(CdP,2,i_P+1)-INDEX(CdP,2,i_P+0))/(INDEX(CdP,1,i_P+1)-INDEX(CdP,1,i_P+0))*(t-pas/2-T_ini-INDEX(CdP,1,i_P+0))+INDEX(CdP,2,i_P+0)</f>
        <v>0</v>
      </c>
      <c r="R425" s="419" t="n">
        <f aca="false">Poussee/(g*ISP)</f>
        <v>0</v>
      </c>
      <c r="S425" s="420" t="n">
        <f aca="false">S424-Débit*pas</f>
        <v>1.4843</v>
      </c>
      <c r="T425" s="418" t="n">
        <f aca="false">m*g</f>
        <v>14.560983</v>
      </c>
      <c r="U425" s="422" t="n">
        <f aca="false">IF(pos_xz&lt;L_rampe,Poids*COS(Beta),0)</f>
        <v>0</v>
      </c>
      <c r="V425" s="419" t="n">
        <f aca="false">Rho_moyen*(20000-Alt_rampe-pos_z)/(20000+Alt_rampe+pos_z)</f>
        <v>1.22560918702685</v>
      </c>
      <c r="W425" s="418" t="n">
        <f aca="false">1/2*Rho*Sref*Cx*vit_xz^2</f>
        <v>5.54893740910889</v>
      </c>
      <c r="X425" s="402"/>
      <c r="Y425" s="423" t="str">
        <f aca="false">IF(AND(pos_z&lt;=0,K424&gt;0),"Impact balistique","") &amp; IF(AND(H426&lt;0,vit_z&gt;=0),"Apogée","") &amp; IF(AND(Poussee=0,Q424&gt;0),"Fin de propulsion","") &amp; IF(AND(L426&gt;L_rampe,pos_xz&lt;=L_rampe),"Sortie de rampe","")</f>
        <v/>
      </c>
      <c r="Z425" s="424" t="str">
        <f aca="false">IF(ABS(t-T_para)&lt;pas/2,"Para","")</f>
        <v/>
      </c>
      <c r="AA425" s="425" t="str">
        <f aca="false">IF(ABS(t-T_satellite)&lt;pas/2,"Satellite","")</f>
        <v/>
      </c>
      <c r="AB425" s="413"/>
      <c r="AC425" s="421" t="e">
        <f aca="false">IF(ABS(t-ROUND(t,0))&lt;0.001,t,NA())</f>
        <v>#N/A</v>
      </c>
      <c r="AD425" s="426" t="e">
        <f aca="false">IF(ABS(t-ROUND(t,0))&lt;0.001,pos_x,NA())</f>
        <v>#N/A</v>
      </c>
      <c r="AE425" s="427" t="e">
        <f aca="false">IF(t&lt;T_para, pos_z, NA())</f>
        <v>#N/A</v>
      </c>
      <c r="AF425" s="413"/>
      <c r="AG425" s="419" t="n">
        <f aca="false">IF(AND(L424&lt;L_rampe,Poussee&lt;Poids*SIN(M424)),0,(-W424+Poussee)/m-Poids*SIN(M424)/m)</f>
        <v>5.97013248018119</v>
      </c>
      <c r="AH425" s="418" t="n">
        <f aca="false">IF(AND(L424&lt;L_rampe,Poussee&lt;Poids*SIN(M424)), g*SIN(M424), (-W424+Poussee)/m)</f>
        <v>-3.73835547026388</v>
      </c>
    </row>
    <row r="426" customFormat="false" ht="12" hidden="false" customHeight="false" outlineLevel="0" collapsed="false">
      <c r="A426" s="417" t="n">
        <f aca="false">IF(B425+0.01&lt;=T_ini+ROUNDUP(Temps_fin_propu,0), 0.01, IF(K425&gt;0, 0.1, 0.0001))</f>
        <v>0.0001</v>
      </c>
      <c r="B426" s="418" t="n">
        <f aca="false">B425+pas</f>
        <v>16.5077</v>
      </c>
      <c r="C426" s="402"/>
      <c r="D426" s="419" t="n">
        <f aca="false">IF(AND(L425&lt;L_rampe,Poussee&lt;Poids*SIN(M425)),0,(-W425+Poussee)/m*COS(M425)-U425/m*SIN(M425))</f>
        <v>-0.536407858352568</v>
      </c>
      <c r="E426" s="420" t="n">
        <f aca="false">IF(AND(L425&lt;L_rampe,Poussee&lt;Poids*SIN(M425)),0,(-W425+Poussee)/m*SIN(M425)+U425/m*COS(M425)-Poids/m)</f>
        <v>-6.11026301692562</v>
      </c>
      <c r="F426" s="418" t="n">
        <f aca="false">SQRT(acc_x^2+acc_z^2)</f>
        <v>6.13376291737065</v>
      </c>
      <c r="G426" s="419" t="n">
        <f aca="false">G425+acc_x*pas</f>
        <v>10.2831048477325</v>
      </c>
      <c r="H426" s="420" t="n">
        <f aca="false">H425+acc_z*pas</f>
        <v>-70.9260853093063</v>
      </c>
      <c r="I426" s="418" t="n">
        <f aca="false">SQRT(vit_x^2+vit_z^2)</f>
        <v>71.6676483680919</v>
      </c>
      <c r="J426" s="419" t="n">
        <f aca="false">J425+0.5*(vit_x+G425)*pas*(K425&gt;=0)</f>
        <v>211.791153319536</v>
      </c>
      <c r="K426" s="420" t="n">
        <f aca="false">K425+0.5*(vit_z+H425)*pas</f>
        <v>-4.97881169231938</v>
      </c>
      <c r="L426" s="418" t="n">
        <f aca="false">SQRT(pos_x^2+pos_z^2)</f>
        <v>211.849666486135</v>
      </c>
      <c r="M426" s="419" t="n">
        <f aca="false">IF(AND(L425&gt;L_rampe,G426&gt;0),ATAN2(G426,H426),$M$4)</f>
        <v>-1.42681616535519</v>
      </c>
      <c r="N426" s="418" t="n">
        <f aca="false">DEGREES(Beta)</f>
        <v>-81.7505444158924</v>
      </c>
      <c r="O426" s="402"/>
      <c r="P426" s="421" t="n">
        <f aca="false">MATCH(t-pas/2-T_ini,CdP_t)</f>
        <v>23</v>
      </c>
      <c r="Q426" s="418" t="n">
        <f aca="false">(INDEX(CdP,2,i_P+1)-INDEX(CdP,2,i_P+0))/(INDEX(CdP,1,i_P+1)-INDEX(CdP,1,i_P+0))*(t-pas/2-T_ini-INDEX(CdP,1,i_P+0))+INDEX(CdP,2,i_P+0)</f>
        <v>0</v>
      </c>
      <c r="R426" s="419" t="n">
        <f aca="false">Poussee/(g*ISP)</f>
        <v>0</v>
      </c>
      <c r="S426" s="420" t="n">
        <f aca="false">S425-Débit*pas</f>
        <v>1.4843</v>
      </c>
      <c r="T426" s="418" t="n">
        <f aca="false">m*g</f>
        <v>14.560983</v>
      </c>
      <c r="U426" s="422" t="n">
        <f aca="false">IF(pos_xz&lt;L_rampe,Poids*COS(Beta),0)</f>
        <v>0</v>
      </c>
      <c r="V426" s="419" t="n">
        <f aca="false">Rho_moyen*(20000-Alt_rampe-pos_z)/(20000+Alt_rampe+pos_z)</f>
        <v>1.22561005630008</v>
      </c>
      <c r="W426" s="418" t="n">
        <f aca="false">1/2*Rho*Sref*Cx*vit_xz^2</f>
        <v>5.54903379368035</v>
      </c>
      <c r="X426" s="402"/>
      <c r="Y426" s="423" t="str">
        <f aca="false">IF(AND(pos_z&lt;=0,K425&gt;0),"Impact balistique","") &amp; IF(AND(H427&lt;0,vit_z&gt;=0),"Apogée","") &amp; IF(AND(Poussee=0,Q425&gt;0),"Fin de propulsion","") &amp; IF(AND(L427&gt;L_rampe,pos_xz&lt;=L_rampe),"Sortie de rampe","")</f>
        <v/>
      </c>
      <c r="Z426" s="424" t="str">
        <f aca="false">IF(ABS(t-T_para)&lt;pas/2,"Para","")</f>
        <v/>
      </c>
      <c r="AA426" s="425" t="str">
        <f aca="false">IF(ABS(t-T_satellite)&lt;pas/2,"Satellite","")</f>
        <v/>
      </c>
      <c r="AB426" s="413"/>
      <c r="AC426" s="421" t="e">
        <f aca="false">IF(ABS(t-ROUND(t,0))&lt;0.001,t,NA())</f>
        <v>#N/A</v>
      </c>
      <c r="AD426" s="426" t="e">
        <f aca="false">IF(ABS(t-ROUND(t,0))&lt;0.001,pos_x,NA())</f>
        <v>#N/A</v>
      </c>
      <c r="AE426" s="427" t="e">
        <f aca="false">IF(t&lt;T_para, pos_z, NA())</f>
        <v>#N/A</v>
      </c>
      <c r="AF426" s="413"/>
      <c r="AG426" s="419" t="n">
        <f aca="false">IF(AND(L425&lt;L_rampe,Poussee&lt;Poids*SIN(M425)),0,(-W425+Poussee)/m-Poids*SIN(M425)/m)</f>
        <v>5.97007030877679</v>
      </c>
      <c r="AH426" s="418" t="n">
        <f aca="false">IF(AND(L425&lt;L_rampe,Poussee&lt;Poids*SIN(M425)), g*SIN(M425), (-W425+Poussee)/m)</f>
        <v>-3.73842040632547</v>
      </c>
    </row>
    <row r="427" customFormat="false" ht="12" hidden="false" customHeight="false" outlineLevel="0" collapsed="false">
      <c r="A427" s="417" t="n">
        <f aca="false">IF(B426+0.01&lt;=T_ini+ROUNDUP(Temps_fin_propu,0), 0.01, IF(K426&gt;0, 0.1, 0.0001))</f>
        <v>0.0001</v>
      </c>
      <c r="B427" s="418" t="n">
        <f aca="false">B426+pas</f>
        <v>16.5078</v>
      </c>
      <c r="C427" s="402"/>
      <c r="D427" s="419" t="n">
        <f aca="false">IF(AND(L426&lt;L_rampe,Poussee&lt;Poids*SIN(M426)),0,(-W426+Poussee)/m*COS(M426)-U426/m*SIN(M426))</f>
        <v>-0.536409909110701</v>
      </c>
      <c r="E427" s="420" t="n">
        <f aca="false">IF(AND(L426&lt;L_rampe,Poussee&lt;Poids*SIN(M426)),0,(-W426+Poussee)/m*SIN(M426)+U426/m*COS(M426)-Poids/m)</f>
        <v>-6.11019769926473</v>
      </c>
      <c r="F427" s="418" t="n">
        <f aca="false">SQRT(acc_x^2+acc_z^2)</f>
        <v>6.13369802930435</v>
      </c>
      <c r="G427" s="419" t="n">
        <f aca="false">G426+acc_x*pas</f>
        <v>10.2830512067416</v>
      </c>
      <c r="H427" s="420" t="n">
        <f aca="false">H426+acc_z*pas</f>
        <v>-70.9266963290763</v>
      </c>
      <c r="I427" s="418" t="n">
        <f aca="false">SQRT(vit_x^2+vit_z^2)</f>
        <v>71.6682453690438</v>
      </c>
      <c r="J427" s="419" t="n">
        <f aca="false">J426+0.5*(vit_x+G426)*pas*(K426&gt;=0)</f>
        <v>211.791153319536</v>
      </c>
      <c r="K427" s="420" t="n">
        <f aca="false">K426+0.5*(vit_z+H426)*pas</f>
        <v>-4.9859043314013</v>
      </c>
      <c r="L427" s="418" t="n">
        <f aca="false">SQRT(pos_x^2+pos_z^2)</f>
        <v>211.849833293352</v>
      </c>
      <c r="M427" s="419" t="n">
        <f aca="false">IF(AND(L426&gt;L_rampe,G427&gt;0),ATAN2(G427,H427),$M$4)</f>
        <v>-1.42681812936361</v>
      </c>
      <c r="N427" s="418" t="n">
        <f aca="false">DEGREES(Beta)</f>
        <v>-81.7506569452857</v>
      </c>
      <c r="O427" s="402"/>
      <c r="P427" s="421" t="n">
        <f aca="false">MATCH(t-pas/2-T_ini,CdP_t)</f>
        <v>23</v>
      </c>
      <c r="Q427" s="418" t="n">
        <f aca="false">(INDEX(CdP,2,i_P+1)-INDEX(CdP,2,i_P+0))/(INDEX(CdP,1,i_P+1)-INDEX(CdP,1,i_P+0))*(t-pas/2-T_ini-INDEX(CdP,1,i_P+0))+INDEX(CdP,2,i_P+0)</f>
        <v>0</v>
      </c>
      <c r="R427" s="419" t="n">
        <f aca="false">Poussee/(g*ISP)</f>
        <v>0</v>
      </c>
      <c r="S427" s="420" t="n">
        <f aca="false">S426-Débit*pas</f>
        <v>1.4843</v>
      </c>
      <c r="T427" s="418" t="n">
        <f aca="false">m*g</f>
        <v>14.560983</v>
      </c>
      <c r="U427" s="422" t="n">
        <f aca="false">IF(pos_xz&lt;L_rampe,Poids*COS(Beta),0)</f>
        <v>0</v>
      </c>
      <c r="V427" s="419" t="n">
        <f aca="false">Rho_moyen*(20000-Alt_rampe-pos_z)/(20000+Alt_rampe+pos_z)</f>
        <v>1.22561092558142</v>
      </c>
      <c r="W427" s="418" t="n">
        <f aca="false">1/2*Rho*Sref*Cx*vit_xz^2</f>
        <v>5.549130178227</v>
      </c>
      <c r="X427" s="402"/>
      <c r="Y427" s="423" t="str">
        <f aca="false">IF(AND(pos_z&lt;=0,K426&gt;0),"Impact balistique","") &amp; IF(AND(H428&lt;0,vit_z&gt;=0),"Apogée","") &amp; IF(AND(Poussee=0,Q426&gt;0),"Fin de propulsion","") &amp; IF(AND(L428&gt;L_rampe,pos_xz&lt;=L_rampe),"Sortie de rampe","")</f>
        <v/>
      </c>
      <c r="Z427" s="424" t="str">
        <f aca="false">IF(ABS(t-T_para)&lt;pas/2,"Para","")</f>
        <v/>
      </c>
      <c r="AA427" s="425" t="str">
        <f aca="false">IF(ABS(t-T_satellite)&lt;pas/2,"Satellite","")</f>
        <v/>
      </c>
      <c r="AB427" s="413"/>
      <c r="AC427" s="421" t="e">
        <f aca="false">IF(ABS(t-ROUND(t,0))&lt;0.001,t,NA())</f>
        <v>#N/A</v>
      </c>
      <c r="AD427" s="426" t="e">
        <f aca="false">IF(ABS(t-ROUND(t,0))&lt;0.001,pos_x,NA())</f>
        <v>#N/A</v>
      </c>
      <c r="AE427" s="427" t="e">
        <f aca="false">IF(t&lt;T_para, pos_z, NA())</f>
        <v>#N/A</v>
      </c>
      <c r="AF427" s="413"/>
      <c r="AG427" s="419" t="n">
        <f aca="false">IF(AND(L426&lt;L_rampe,Poussee&lt;Poids*SIN(M426)),0,(-W426+Poussee)/m-Poids*SIN(M426)/m)</f>
        <v>5.97000813729115</v>
      </c>
      <c r="AH427" s="418" t="n">
        <f aca="false">IF(AND(L426&lt;L_rampe,Poussee&lt;Poids*SIN(M426)), g*SIN(M426), (-W426+Poussee)/m)</f>
        <v>-3.73848534237038</v>
      </c>
    </row>
    <row r="428" customFormat="false" ht="12" hidden="false" customHeight="false" outlineLevel="0" collapsed="false">
      <c r="A428" s="417" t="n">
        <f aca="false">IF(B427+0.01&lt;=T_ini+ROUNDUP(Temps_fin_propu,0), 0.01, IF(K427&gt;0, 0.1, 0.0001))</f>
        <v>0.0001</v>
      </c>
      <c r="B428" s="418" t="n">
        <f aca="false">B427+pas</f>
        <v>16.5079</v>
      </c>
      <c r="C428" s="402"/>
      <c r="D428" s="419" t="n">
        <f aca="false">IF(AND(L427&lt;L_rampe,Poussee&lt;Poids*SIN(M427)),0,(-W427+Poussee)/m*COS(M427)-U427/m*SIN(M427))</f>
        <v>-0.536411959770902</v>
      </c>
      <c r="E428" s="420" t="n">
        <f aca="false">IF(AND(L427&lt;L_rampe,Poussee&lt;Poids*SIN(M427)),0,(-W427+Poussee)/m*SIN(M427)+U427/m*COS(M427)-Poids/m)</f>
        <v>-6.11013238162109</v>
      </c>
      <c r="F428" s="418" t="n">
        <f aca="false">SQRT(acc_x^2+acc_z^2)</f>
        <v>6.13363314125649</v>
      </c>
      <c r="G428" s="419" t="n">
        <f aca="false">G427+acc_x*pas</f>
        <v>10.2829975655456</v>
      </c>
      <c r="H428" s="420" t="n">
        <f aca="false">H427+acc_z*pas</f>
        <v>-70.9273073423144</v>
      </c>
      <c r="I428" s="418" t="n">
        <f aca="false">SQRT(vit_x^2+vit_z^2)</f>
        <v>71.6688423637786</v>
      </c>
      <c r="J428" s="419" t="n">
        <f aca="false">J427+0.5*(vit_x+G427)*pas*(K427&gt;=0)</f>
        <v>211.791153319536</v>
      </c>
      <c r="K428" s="420" t="n">
        <f aca="false">K427+0.5*(vit_z+H427)*pas</f>
        <v>-4.99299703158487</v>
      </c>
      <c r="L428" s="418" t="n">
        <f aca="false">SQRT(pos_x^2+pos_z^2)</f>
        <v>211.850000339336</v>
      </c>
      <c r="M428" s="419" t="n">
        <f aca="false">IF(AND(L427&gt;L_rampe,G428&gt;0),ATAN2(G428,H428),$M$4)</f>
        <v>-1.42682009332906</v>
      </c>
      <c r="N428" s="418" t="n">
        <f aca="false">DEGREES(Beta)</f>
        <v>-81.7507694722174</v>
      </c>
      <c r="O428" s="402"/>
      <c r="P428" s="421" t="n">
        <f aca="false">MATCH(t-pas/2-T_ini,CdP_t)</f>
        <v>23</v>
      </c>
      <c r="Q428" s="418" t="n">
        <f aca="false">(INDEX(CdP,2,i_P+1)-INDEX(CdP,2,i_P+0))/(INDEX(CdP,1,i_P+1)-INDEX(CdP,1,i_P+0))*(t-pas/2-T_ini-INDEX(CdP,1,i_P+0))+INDEX(CdP,2,i_P+0)</f>
        <v>0</v>
      </c>
      <c r="R428" s="419" t="n">
        <f aca="false">Poussee/(g*ISP)</f>
        <v>0</v>
      </c>
      <c r="S428" s="420" t="n">
        <f aca="false">S427-Débit*pas</f>
        <v>1.4843</v>
      </c>
      <c r="T428" s="418" t="n">
        <f aca="false">m*g</f>
        <v>14.560983</v>
      </c>
      <c r="U428" s="422" t="n">
        <f aca="false">IF(pos_xz&lt;L_rampe,Poids*COS(Beta),0)</f>
        <v>0</v>
      </c>
      <c r="V428" s="419" t="n">
        <f aca="false">Rho_moyen*(20000-Alt_rampe-pos_z)/(20000+Alt_rampe+pos_z)</f>
        <v>1.22561179487087</v>
      </c>
      <c r="W428" s="418" t="n">
        <f aca="false">1/2*Rho*Sref*Cx*vit_xz^2</f>
        <v>5.54922656274883</v>
      </c>
      <c r="X428" s="402"/>
      <c r="Y428" s="423" t="str">
        <f aca="false">IF(AND(pos_z&lt;=0,K427&gt;0),"Impact balistique","") &amp; IF(AND(H429&lt;0,vit_z&gt;=0),"Apogée","") &amp; IF(AND(Poussee=0,Q427&gt;0),"Fin de propulsion","") &amp; IF(AND(L429&gt;L_rampe,pos_xz&lt;=L_rampe),"Sortie de rampe","")</f>
        <v/>
      </c>
      <c r="Z428" s="424" t="str">
        <f aca="false">IF(ABS(t-T_para)&lt;pas/2,"Para","")</f>
        <v/>
      </c>
      <c r="AA428" s="425" t="str">
        <f aca="false">IF(ABS(t-T_satellite)&lt;pas/2,"Satellite","")</f>
        <v/>
      </c>
      <c r="AB428" s="413"/>
      <c r="AC428" s="421" t="e">
        <f aca="false">IF(ABS(t-ROUND(t,0))&lt;0.001,t,NA())</f>
        <v>#N/A</v>
      </c>
      <c r="AD428" s="426" t="e">
        <f aca="false">IF(ABS(t-ROUND(t,0))&lt;0.001,pos_x,NA())</f>
        <v>#N/A</v>
      </c>
      <c r="AE428" s="427" t="e">
        <f aca="false">IF(t&lt;T_para, pos_z, NA())</f>
        <v>#N/A</v>
      </c>
      <c r="AF428" s="413"/>
      <c r="AG428" s="419" t="n">
        <f aca="false">IF(AND(L427&lt;L_rampe,Poussee&lt;Poids*SIN(M427)),0,(-W427+Poussee)/m-Poids*SIN(M427)/m)</f>
        <v>5.96994596572429</v>
      </c>
      <c r="AH428" s="418" t="n">
        <f aca="false">IF(AND(L427&lt;L_rampe,Poussee&lt;Poids*SIN(M427)), g*SIN(M427), (-W427+Poussee)/m)</f>
        <v>-3.73855027839858</v>
      </c>
    </row>
    <row r="429" customFormat="false" ht="12" hidden="false" customHeight="false" outlineLevel="0" collapsed="false">
      <c r="A429" s="417" t="n">
        <f aca="false">IF(B428+0.01&lt;=T_ini+ROUNDUP(Temps_fin_propu,0), 0.01, IF(K428&gt;0, 0.1, 0.0001))</f>
        <v>0.0001</v>
      </c>
      <c r="B429" s="418" t="n">
        <f aca="false">B428+pas</f>
        <v>16.508</v>
      </c>
      <c r="C429" s="402"/>
      <c r="D429" s="419" t="n">
        <f aca="false">IF(AND(L428&lt;L_rampe,Poussee&lt;Poids*SIN(M428)),0,(-W428+Poussee)/m*COS(M428)-U428/m*SIN(M428))</f>
        <v>-0.536414010333172</v>
      </c>
      <c r="E429" s="420" t="n">
        <f aca="false">IF(AND(L428&lt;L_rampe,Poussee&lt;Poids*SIN(M428)),0,(-W428+Poussee)/m*SIN(M428)+U428/m*COS(M428)-Poids/m)</f>
        <v>-6.11006706399473</v>
      </c>
      <c r="F429" s="418" t="n">
        <f aca="false">SQRT(acc_x^2+acc_z^2)</f>
        <v>6.13356825322707</v>
      </c>
      <c r="G429" s="419" t="n">
        <f aca="false">G428+acc_x*pas</f>
        <v>10.2829439241446</v>
      </c>
      <c r="H429" s="420" t="n">
        <f aca="false">H428+acc_z*pas</f>
        <v>-70.9279183490208</v>
      </c>
      <c r="I429" s="418" t="n">
        <f aca="false">SQRT(vit_x^2+vit_z^2)</f>
        <v>71.6694393522962</v>
      </c>
      <c r="J429" s="419" t="n">
        <f aca="false">J428+0.5*(vit_x+G428)*pas*(K428&gt;=0)</f>
        <v>211.791153319536</v>
      </c>
      <c r="K429" s="420" t="n">
        <f aca="false">K428+0.5*(vit_z+H428)*pas</f>
        <v>-5.00008979286944</v>
      </c>
      <c r="L429" s="418" t="n">
        <f aca="false">SQRT(pos_x^2+pos_z^2)</f>
        <v>211.850167624092</v>
      </c>
      <c r="M429" s="419" t="n">
        <f aca="false">IF(AND(L428&gt;L_rampe,G429&gt;0),ATAN2(G429,H429),$M$4)</f>
        <v>-1.42682205725155</v>
      </c>
      <c r="N429" s="418" t="n">
        <f aca="false">DEGREES(Beta)</f>
        <v>-81.7508819966874</v>
      </c>
      <c r="O429" s="402"/>
      <c r="P429" s="421" t="n">
        <f aca="false">MATCH(t-pas/2-T_ini,CdP_t)</f>
        <v>23</v>
      </c>
      <c r="Q429" s="418" t="n">
        <f aca="false">(INDEX(CdP,2,i_P+1)-INDEX(CdP,2,i_P+0))/(INDEX(CdP,1,i_P+1)-INDEX(CdP,1,i_P+0))*(t-pas/2-T_ini-INDEX(CdP,1,i_P+0))+INDEX(CdP,2,i_P+0)</f>
        <v>0</v>
      </c>
      <c r="R429" s="419" t="n">
        <f aca="false">Poussee/(g*ISP)</f>
        <v>0</v>
      </c>
      <c r="S429" s="420" t="n">
        <f aca="false">S428-Débit*pas</f>
        <v>1.4843</v>
      </c>
      <c r="T429" s="418" t="n">
        <f aca="false">m*g</f>
        <v>14.560983</v>
      </c>
      <c r="U429" s="422" t="n">
        <f aca="false">IF(pos_xz&lt;L_rampe,Poids*COS(Beta),0)</f>
        <v>0</v>
      </c>
      <c r="V429" s="419" t="n">
        <f aca="false">Rho_moyen*(20000-Alt_rampe-pos_z)/(20000+Alt_rampe+pos_z)</f>
        <v>1.22561266416842</v>
      </c>
      <c r="W429" s="418" t="n">
        <f aca="false">1/2*Rho*Sref*Cx*vit_xz^2</f>
        <v>5.5493229472458</v>
      </c>
      <c r="X429" s="402"/>
      <c r="Y429" s="423" t="str">
        <f aca="false">IF(AND(pos_z&lt;=0,K428&gt;0),"Impact balistique","") &amp; IF(AND(H430&lt;0,vit_z&gt;=0),"Apogée","") &amp; IF(AND(Poussee=0,Q428&gt;0),"Fin de propulsion","") &amp; IF(AND(L430&gt;L_rampe,pos_xz&lt;=L_rampe),"Sortie de rampe","")</f>
        <v/>
      </c>
      <c r="Z429" s="424" t="str">
        <f aca="false">IF(ABS(t-T_para)&lt;pas/2,"Para","")</f>
        <v/>
      </c>
      <c r="AA429" s="425" t="str">
        <f aca="false">IF(ABS(t-T_satellite)&lt;pas/2,"Satellite","")</f>
        <v/>
      </c>
      <c r="AB429" s="413"/>
      <c r="AC429" s="421" t="e">
        <f aca="false">IF(ABS(t-ROUND(t,0))&lt;0.001,t,NA())</f>
        <v>#N/A</v>
      </c>
      <c r="AD429" s="426" t="e">
        <f aca="false">IF(ABS(t-ROUND(t,0))&lt;0.001,pos_x,NA())</f>
        <v>#N/A</v>
      </c>
      <c r="AE429" s="427" t="e">
        <f aca="false">IF(t&lt;T_para, pos_z, NA())</f>
        <v>#N/A</v>
      </c>
      <c r="AF429" s="413"/>
      <c r="AG429" s="419" t="n">
        <f aca="false">IF(AND(L428&lt;L_rampe,Poussee&lt;Poids*SIN(M428)),0,(-W428+Poussee)/m-Poids*SIN(M428)/m)</f>
        <v>5.96988379407624</v>
      </c>
      <c r="AH429" s="418" t="n">
        <f aca="false">IF(AND(L428&lt;L_rampe,Poussee&lt;Poids*SIN(M428)), g*SIN(M428), (-W428+Poussee)/m)</f>
        <v>-3.73861521441005</v>
      </c>
    </row>
    <row r="430" customFormat="false" ht="12" hidden="false" customHeight="false" outlineLevel="0" collapsed="false">
      <c r="A430" s="417" t="n">
        <f aca="false">IF(B429+0.01&lt;=T_ini+ROUNDUP(Temps_fin_propu,0), 0.01, IF(K429&gt;0, 0.1, 0.0001))</f>
        <v>0.0001</v>
      </c>
      <c r="B430" s="418" t="n">
        <f aca="false">B429+pas</f>
        <v>16.5081</v>
      </c>
      <c r="C430" s="402"/>
      <c r="D430" s="419" t="n">
        <f aca="false">IF(AND(L429&lt;L_rampe,Poussee&lt;Poids*SIN(M429)),0,(-W429+Poussee)/m*COS(M429)-U429/m*SIN(M429))</f>
        <v>-0.536416060797511</v>
      </c>
      <c r="E430" s="420" t="n">
        <f aca="false">IF(AND(L429&lt;L_rampe,Poussee&lt;Poids*SIN(M429)),0,(-W429+Poussee)/m*SIN(M429)+U429/m*COS(M429)-Poids/m)</f>
        <v>-6.11000174638566</v>
      </c>
      <c r="F430" s="418" t="n">
        <f aca="false">SQRT(acc_x^2+acc_z^2)</f>
        <v>6.13350336521611</v>
      </c>
      <c r="G430" s="419" t="n">
        <f aca="false">G429+acc_x*pas</f>
        <v>10.2828902825385</v>
      </c>
      <c r="H430" s="420" t="n">
        <f aca="false">H429+acc_z*pas</f>
        <v>-70.9285293491954</v>
      </c>
      <c r="I430" s="418" t="n">
        <f aca="false">SQRT(vit_x^2+vit_z^2)</f>
        <v>71.6700363345967</v>
      </c>
      <c r="J430" s="419" t="n">
        <f aca="false">J429+0.5*(vit_x+G429)*pas*(K429&gt;=0)</f>
        <v>211.791153319536</v>
      </c>
      <c r="K430" s="420" t="n">
        <f aca="false">K429+0.5*(vit_z+H429)*pas</f>
        <v>-5.00718261525435</v>
      </c>
      <c r="L430" s="418" t="n">
        <f aca="false">SQRT(pos_x^2+pos_z^2)</f>
        <v>211.850335147627</v>
      </c>
      <c r="M430" s="419" t="n">
        <f aca="false">IF(AND(L429&gt;L_rampe,G430&gt;0),ATAN2(G430,H430),$M$4)</f>
        <v>-1.42682402113108</v>
      </c>
      <c r="N430" s="418" t="n">
        <f aca="false">DEGREES(Beta)</f>
        <v>-81.7509945186958</v>
      </c>
      <c r="O430" s="402"/>
      <c r="P430" s="421" t="n">
        <f aca="false">MATCH(t-pas/2-T_ini,CdP_t)</f>
        <v>23</v>
      </c>
      <c r="Q430" s="418" t="n">
        <f aca="false">(INDEX(CdP,2,i_P+1)-INDEX(CdP,2,i_P+0))/(INDEX(CdP,1,i_P+1)-INDEX(CdP,1,i_P+0))*(t-pas/2-T_ini-INDEX(CdP,1,i_P+0))+INDEX(CdP,2,i_P+0)</f>
        <v>0</v>
      </c>
      <c r="R430" s="419" t="n">
        <f aca="false">Poussee/(g*ISP)</f>
        <v>0</v>
      </c>
      <c r="S430" s="420" t="n">
        <f aca="false">S429-Débit*pas</f>
        <v>1.4843</v>
      </c>
      <c r="T430" s="418" t="n">
        <f aca="false">m*g</f>
        <v>14.560983</v>
      </c>
      <c r="U430" s="422" t="n">
        <f aca="false">IF(pos_xz&lt;L_rampe,Poids*COS(Beta),0)</f>
        <v>0</v>
      </c>
      <c r="V430" s="419" t="n">
        <f aca="false">Rho_moyen*(20000-Alt_rampe-pos_z)/(20000+Alt_rampe+pos_z)</f>
        <v>1.22561353347408</v>
      </c>
      <c r="W430" s="418" t="n">
        <f aca="false">1/2*Rho*Sref*Cx*vit_xz^2</f>
        <v>5.54941933171791</v>
      </c>
      <c r="X430" s="402"/>
      <c r="Y430" s="423" t="str">
        <f aca="false">IF(AND(pos_z&lt;=0,K429&gt;0),"Impact balistique","") &amp; IF(AND(H431&lt;0,vit_z&gt;=0),"Apogée","") &amp; IF(AND(Poussee=0,Q429&gt;0),"Fin de propulsion","") &amp; IF(AND(L431&gt;L_rampe,pos_xz&lt;=L_rampe),"Sortie de rampe","")</f>
        <v/>
      </c>
      <c r="Z430" s="424" t="str">
        <f aca="false">IF(ABS(t-T_para)&lt;pas/2,"Para","")</f>
        <v/>
      </c>
      <c r="AA430" s="425" t="str">
        <f aca="false">IF(ABS(t-T_satellite)&lt;pas/2,"Satellite","")</f>
        <v/>
      </c>
      <c r="AB430" s="413"/>
      <c r="AC430" s="421" t="e">
        <f aca="false">IF(ABS(t-ROUND(t,0))&lt;0.001,t,NA())</f>
        <v>#N/A</v>
      </c>
      <c r="AD430" s="426" t="e">
        <f aca="false">IF(ABS(t-ROUND(t,0))&lt;0.001,pos_x,NA())</f>
        <v>#N/A</v>
      </c>
      <c r="AE430" s="427" t="e">
        <f aca="false">IF(t&lt;T_para, pos_z, NA())</f>
        <v>#N/A</v>
      </c>
      <c r="AF430" s="413"/>
      <c r="AG430" s="419" t="n">
        <f aca="false">IF(AND(L429&lt;L_rampe,Poussee&lt;Poids*SIN(M429)),0,(-W429+Poussee)/m-Poids*SIN(M429)/m)</f>
        <v>5.96982162234701</v>
      </c>
      <c r="AH430" s="418" t="n">
        <f aca="false">IF(AND(L429&lt;L_rampe,Poussee&lt;Poids*SIN(M429)), g*SIN(M429), (-W429+Poussee)/m)</f>
        <v>-3.73868015040478</v>
      </c>
    </row>
    <row r="431" customFormat="false" ht="12" hidden="false" customHeight="false" outlineLevel="0" collapsed="false">
      <c r="A431" s="417" t="n">
        <f aca="false">IF(B430+0.01&lt;=T_ini+ROUNDUP(Temps_fin_propu,0), 0.01, IF(K430&gt;0, 0.1, 0.0001))</f>
        <v>0.0001</v>
      </c>
      <c r="B431" s="418" t="n">
        <f aca="false">B430+pas</f>
        <v>16.5082</v>
      </c>
      <c r="C431" s="402"/>
      <c r="D431" s="419" t="n">
        <f aca="false">IF(AND(L430&lt;L_rampe,Poussee&lt;Poids*SIN(M430)),0,(-W430+Poussee)/m*COS(M430)-U430/m*SIN(M430))</f>
        <v>-0.536418111163919</v>
      </c>
      <c r="E431" s="420" t="n">
        <f aca="false">IF(AND(L430&lt;L_rampe,Poussee&lt;Poids*SIN(M430)),0,(-W430+Poussee)/m*SIN(M430)+U430/m*COS(M430)-Poids/m)</f>
        <v>-6.1099364287939</v>
      </c>
      <c r="F431" s="418" t="n">
        <f aca="false">SQRT(acc_x^2+acc_z^2)</f>
        <v>6.13343847722363</v>
      </c>
      <c r="G431" s="419" t="n">
        <f aca="false">G430+acc_x*pas</f>
        <v>10.2828366407274</v>
      </c>
      <c r="H431" s="420" t="n">
        <f aca="false">H430+acc_z*pas</f>
        <v>-70.9291403428383</v>
      </c>
      <c r="I431" s="418" t="n">
        <f aca="false">SQRT(vit_x^2+vit_z^2)</f>
        <v>71.6706333106799</v>
      </c>
      <c r="J431" s="419" t="n">
        <f aca="false">J430+0.5*(vit_x+G430)*pas*(K430&gt;=0)</f>
        <v>211.791153319536</v>
      </c>
      <c r="K431" s="420" t="n">
        <f aca="false">K430+0.5*(vit_z+H430)*pas</f>
        <v>-5.01427549873895</v>
      </c>
      <c r="L431" s="418" t="n">
        <f aca="false">SQRT(pos_x^2+pos_z^2)</f>
        <v>211.850502909945</v>
      </c>
      <c r="M431" s="419" t="n">
        <f aca="false">IF(AND(L430&gt;L_rampe,G431&gt;0),ATAN2(G431,H431),$M$4)</f>
        <v>-1.42682598496765</v>
      </c>
      <c r="N431" s="418" t="n">
        <f aca="false">DEGREES(Beta)</f>
        <v>-81.7511070382428</v>
      </c>
      <c r="O431" s="402"/>
      <c r="P431" s="421" t="n">
        <f aca="false">MATCH(t-pas/2-T_ini,CdP_t)</f>
        <v>23</v>
      </c>
      <c r="Q431" s="418" t="n">
        <f aca="false">(INDEX(CdP,2,i_P+1)-INDEX(CdP,2,i_P+0))/(INDEX(CdP,1,i_P+1)-INDEX(CdP,1,i_P+0))*(t-pas/2-T_ini-INDEX(CdP,1,i_P+0))+INDEX(CdP,2,i_P+0)</f>
        <v>0</v>
      </c>
      <c r="R431" s="419" t="n">
        <f aca="false">Poussee/(g*ISP)</f>
        <v>0</v>
      </c>
      <c r="S431" s="420" t="n">
        <f aca="false">S430-Débit*pas</f>
        <v>1.4843</v>
      </c>
      <c r="T431" s="418" t="n">
        <f aca="false">m*g</f>
        <v>14.560983</v>
      </c>
      <c r="U431" s="422" t="n">
        <f aca="false">IF(pos_xz&lt;L_rampe,Poids*COS(Beta),0)</f>
        <v>0</v>
      </c>
      <c r="V431" s="419" t="n">
        <f aca="false">Rho_moyen*(20000-Alt_rampe-pos_z)/(20000+Alt_rampe+pos_z)</f>
        <v>1.22561440278784</v>
      </c>
      <c r="W431" s="418" t="n">
        <f aca="false">1/2*Rho*Sref*Cx*vit_xz^2</f>
        <v>5.54951571616511</v>
      </c>
      <c r="X431" s="402"/>
      <c r="Y431" s="423" t="str">
        <f aca="false">IF(AND(pos_z&lt;=0,K430&gt;0),"Impact balistique","") &amp; IF(AND(H432&lt;0,vit_z&gt;=0),"Apogée","") &amp; IF(AND(Poussee=0,Q430&gt;0),"Fin de propulsion","") &amp; IF(AND(L432&gt;L_rampe,pos_xz&lt;=L_rampe),"Sortie de rampe","")</f>
        <v/>
      </c>
      <c r="Z431" s="424" t="str">
        <f aca="false">IF(ABS(t-T_para)&lt;pas/2,"Para","")</f>
        <v/>
      </c>
      <c r="AA431" s="425" t="str">
        <f aca="false">IF(ABS(t-T_satellite)&lt;pas/2,"Satellite","")</f>
        <v/>
      </c>
      <c r="AB431" s="413"/>
      <c r="AC431" s="421" t="e">
        <f aca="false">IF(ABS(t-ROUND(t,0))&lt;0.001,t,NA())</f>
        <v>#N/A</v>
      </c>
      <c r="AD431" s="426" t="e">
        <f aca="false">IF(ABS(t-ROUND(t,0))&lt;0.001,pos_x,NA())</f>
        <v>#N/A</v>
      </c>
      <c r="AE431" s="427" t="e">
        <f aca="false">IF(t&lt;T_para, pos_z, NA())</f>
        <v>#N/A</v>
      </c>
      <c r="AF431" s="413"/>
      <c r="AG431" s="419" t="n">
        <f aca="false">IF(AND(L430&lt;L_rampe,Poussee&lt;Poids*SIN(M430)),0,(-W430+Poussee)/m-Poids*SIN(M430)/m)</f>
        <v>5.96975945053662</v>
      </c>
      <c r="AH431" s="418" t="n">
        <f aca="false">IF(AND(L430&lt;L_rampe,Poussee&lt;Poids*SIN(M430)), g*SIN(M430), (-W430+Poussee)/m)</f>
        <v>-3.73874508638275</v>
      </c>
    </row>
    <row r="432" customFormat="false" ht="12" hidden="false" customHeight="false" outlineLevel="0" collapsed="false">
      <c r="A432" s="417" t="n">
        <f aca="false">IF(B431+0.01&lt;=T_ini+ROUNDUP(Temps_fin_propu,0), 0.01, IF(K431&gt;0, 0.1, 0.0001))</f>
        <v>0.0001</v>
      </c>
      <c r="B432" s="418" t="n">
        <f aca="false">B431+pas</f>
        <v>16.5083</v>
      </c>
      <c r="C432" s="402"/>
      <c r="D432" s="419" t="n">
        <f aca="false">IF(AND(L431&lt;L_rampe,Poussee&lt;Poids*SIN(M431)),0,(-W431+Poussee)/m*COS(M431)-U431/m*SIN(M431))</f>
        <v>-0.536420161432399</v>
      </c>
      <c r="E432" s="420" t="n">
        <f aca="false">IF(AND(L431&lt;L_rampe,Poussee&lt;Poids*SIN(M431)),0,(-W431+Poussee)/m*SIN(M431)+U431/m*COS(M431)-Poids/m)</f>
        <v>-6.10987111121945</v>
      </c>
      <c r="F432" s="418" t="n">
        <f aca="false">SQRT(acc_x^2+acc_z^2)</f>
        <v>6.13337358924965</v>
      </c>
      <c r="G432" s="419" t="n">
        <f aca="false">G431+acc_x*pas</f>
        <v>10.2827829987113</v>
      </c>
      <c r="H432" s="420" t="n">
        <f aca="false">H431+acc_z*pas</f>
        <v>-70.9297513299494</v>
      </c>
      <c r="I432" s="418" t="n">
        <f aca="false">SQRT(vit_x^2+vit_z^2)</f>
        <v>71.671230280546</v>
      </c>
      <c r="J432" s="419" t="n">
        <f aca="false">J431+0.5*(vit_x+G431)*pas*(K431&gt;=0)</f>
        <v>211.791153319536</v>
      </c>
      <c r="K432" s="420" t="n">
        <f aca="false">K431+0.5*(vit_z+H431)*pas</f>
        <v>-5.02136844332259</v>
      </c>
      <c r="L432" s="418" t="n">
        <f aca="false">SQRT(pos_x^2+pos_z^2)</f>
        <v>211.850670911052</v>
      </c>
      <c r="M432" s="419" t="n">
        <f aca="false">IF(AND(L431&gt;L_rampe,G432&gt;0),ATAN2(G432,H432),$M$4)</f>
        <v>-1.42682794876126</v>
      </c>
      <c r="N432" s="418" t="n">
        <f aca="false">DEGREES(Beta)</f>
        <v>-81.7512195553284</v>
      </c>
      <c r="O432" s="402"/>
      <c r="P432" s="421" t="n">
        <f aca="false">MATCH(t-pas/2-T_ini,CdP_t)</f>
        <v>23</v>
      </c>
      <c r="Q432" s="418" t="n">
        <f aca="false">(INDEX(CdP,2,i_P+1)-INDEX(CdP,2,i_P+0))/(INDEX(CdP,1,i_P+1)-INDEX(CdP,1,i_P+0))*(t-pas/2-T_ini-INDEX(CdP,1,i_P+0))+INDEX(CdP,2,i_P+0)</f>
        <v>0</v>
      </c>
      <c r="R432" s="419" t="n">
        <f aca="false">Poussee/(g*ISP)</f>
        <v>0</v>
      </c>
      <c r="S432" s="420" t="n">
        <f aca="false">S431-Débit*pas</f>
        <v>1.4843</v>
      </c>
      <c r="T432" s="418" t="n">
        <f aca="false">m*g</f>
        <v>14.560983</v>
      </c>
      <c r="U432" s="422" t="n">
        <f aca="false">IF(pos_xz&lt;L_rampe,Poids*COS(Beta),0)</f>
        <v>0</v>
      </c>
      <c r="V432" s="419" t="n">
        <f aca="false">Rho_moyen*(20000-Alt_rampe-pos_z)/(20000+Alt_rampe+pos_z)</f>
        <v>1.22561527210971</v>
      </c>
      <c r="W432" s="418" t="n">
        <f aca="false">1/2*Rho*Sref*Cx*vit_xz^2</f>
        <v>5.54961210058739</v>
      </c>
      <c r="X432" s="402"/>
      <c r="Y432" s="423" t="str">
        <f aca="false">IF(AND(pos_z&lt;=0,K431&gt;0),"Impact balistique","") &amp; IF(AND(H433&lt;0,vit_z&gt;=0),"Apogée","") &amp; IF(AND(Poussee=0,Q431&gt;0),"Fin de propulsion","") &amp; IF(AND(L433&gt;L_rampe,pos_xz&lt;=L_rampe),"Sortie de rampe","")</f>
        <v/>
      </c>
      <c r="Z432" s="424" t="str">
        <f aca="false">IF(ABS(t-T_para)&lt;pas/2,"Para","")</f>
        <v/>
      </c>
      <c r="AA432" s="425" t="str">
        <f aca="false">IF(ABS(t-T_satellite)&lt;pas/2,"Satellite","")</f>
        <v/>
      </c>
      <c r="AB432" s="413"/>
      <c r="AC432" s="421" t="e">
        <f aca="false">IF(ABS(t-ROUND(t,0))&lt;0.001,t,NA())</f>
        <v>#N/A</v>
      </c>
      <c r="AD432" s="426" t="e">
        <f aca="false">IF(ABS(t-ROUND(t,0))&lt;0.001,pos_x,NA())</f>
        <v>#N/A</v>
      </c>
      <c r="AE432" s="427" t="e">
        <f aca="false">IF(t&lt;T_para, pos_z, NA())</f>
        <v>#N/A</v>
      </c>
      <c r="AF432" s="413"/>
      <c r="AG432" s="419" t="n">
        <f aca="false">IF(AND(L431&lt;L_rampe,Poussee&lt;Poids*SIN(M431)),0,(-W431+Poussee)/m-Poids*SIN(M431)/m)</f>
        <v>5.96969727864509</v>
      </c>
      <c r="AH432" s="418" t="n">
        <f aca="false">IF(AND(L431&lt;L_rampe,Poussee&lt;Poids*SIN(M431)), g*SIN(M431), (-W431+Poussee)/m)</f>
        <v>-3.73881002234395</v>
      </c>
    </row>
    <row r="433" customFormat="false" ht="12" hidden="false" customHeight="false" outlineLevel="0" collapsed="false">
      <c r="A433" s="417" t="n">
        <f aca="false">IF(B432+0.01&lt;=T_ini+ROUNDUP(Temps_fin_propu,0), 0.01, IF(K432&gt;0, 0.1, 0.0001))</f>
        <v>0.0001</v>
      </c>
      <c r="B433" s="418" t="n">
        <f aca="false">B432+pas</f>
        <v>16.5084</v>
      </c>
      <c r="C433" s="402"/>
      <c r="D433" s="419" t="n">
        <f aca="false">IF(AND(L432&lt;L_rampe,Poussee&lt;Poids*SIN(M432)),0,(-W432+Poussee)/m*COS(M432)-U432/m*SIN(M432))</f>
        <v>-0.536422211602949</v>
      </c>
      <c r="E433" s="420" t="n">
        <f aca="false">IF(AND(L432&lt;L_rampe,Poussee&lt;Poids*SIN(M432)),0,(-W432+Poussee)/m*SIN(M432)+U432/m*COS(M432)-Poids/m)</f>
        <v>-6.10980579366235</v>
      </c>
      <c r="F433" s="418" t="n">
        <f aca="false">SQRT(acc_x^2+acc_z^2)</f>
        <v>6.13330870129419</v>
      </c>
      <c r="G433" s="419" t="n">
        <f aca="false">G432+acc_x*pas</f>
        <v>10.2827293564901</v>
      </c>
      <c r="H433" s="420" t="n">
        <f aca="false">H432+acc_z*pas</f>
        <v>-70.9303623105288</v>
      </c>
      <c r="I433" s="418" t="n">
        <f aca="false">SQRT(vit_x^2+vit_z^2)</f>
        <v>71.6718272441948</v>
      </c>
      <c r="J433" s="419" t="n">
        <f aca="false">J432+0.5*(vit_x+G432)*pas*(K432&gt;=0)</f>
        <v>211.791153319536</v>
      </c>
      <c r="K433" s="420" t="n">
        <f aca="false">K432+0.5*(vit_z+H432)*pas</f>
        <v>-5.02846144900461</v>
      </c>
      <c r="L433" s="418" t="n">
        <f aca="false">SQRT(pos_x^2+pos_z^2)</f>
        <v>211.850839150954</v>
      </c>
      <c r="M433" s="419" t="n">
        <f aca="false">IF(AND(L432&gt;L_rampe,G433&gt;0),ATAN2(G433,H433),$M$4)</f>
        <v>-1.42682991251191</v>
      </c>
      <c r="N433" s="418" t="n">
        <f aca="false">DEGREES(Beta)</f>
        <v>-81.7513320699527</v>
      </c>
      <c r="O433" s="402"/>
      <c r="P433" s="421" t="n">
        <f aca="false">MATCH(t-pas/2-T_ini,CdP_t)</f>
        <v>23</v>
      </c>
      <c r="Q433" s="418" t="n">
        <f aca="false">(INDEX(CdP,2,i_P+1)-INDEX(CdP,2,i_P+0))/(INDEX(CdP,1,i_P+1)-INDEX(CdP,1,i_P+0))*(t-pas/2-T_ini-INDEX(CdP,1,i_P+0))+INDEX(CdP,2,i_P+0)</f>
        <v>0</v>
      </c>
      <c r="R433" s="419" t="n">
        <f aca="false">Poussee/(g*ISP)</f>
        <v>0</v>
      </c>
      <c r="S433" s="420" t="n">
        <f aca="false">S432-Débit*pas</f>
        <v>1.4843</v>
      </c>
      <c r="T433" s="418" t="n">
        <f aca="false">m*g</f>
        <v>14.560983</v>
      </c>
      <c r="U433" s="422" t="n">
        <f aca="false">IF(pos_xz&lt;L_rampe,Poids*COS(Beta),0)</f>
        <v>0</v>
      </c>
      <c r="V433" s="419" t="n">
        <f aca="false">Rho_moyen*(20000-Alt_rampe-pos_z)/(20000+Alt_rampe+pos_z)</f>
        <v>1.22561614143968</v>
      </c>
      <c r="W433" s="418" t="n">
        <f aca="false">1/2*Rho*Sref*Cx*vit_xz^2</f>
        <v>5.54970848498473</v>
      </c>
      <c r="X433" s="402"/>
      <c r="Y433" s="423" t="str">
        <f aca="false">IF(AND(pos_z&lt;=0,K432&gt;0),"Impact balistique","") &amp; IF(AND(H434&lt;0,vit_z&gt;=0),"Apogée","") &amp; IF(AND(Poussee=0,Q432&gt;0),"Fin de propulsion","") &amp; IF(AND(L434&gt;L_rampe,pos_xz&lt;=L_rampe),"Sortie de rampe","")</f>
        <v/>
      </c>
      <c r="Z433" s="424" t="str">
        <f aca="false">IF(ABS(t-T_para)&lt;pas/2,"Para","")</f>
        <v/>
      </c>
      <c r="AA433" s="425" t="str">
        <f aca="false">IF(ABS(t-T_satellite)&lt;pas/2,"Satellite","")</f>
        <v/>
      </c>
      <c r="AB433" s="413"/>
      <c r="AC433" s="421" t="e">
        <f aca="false">IF(ABS(t-ROUND(t,0))&lt;0.001,t,NA())</f>
        <v>#N/A</v>
      </c>
      <c r="AD433" s="426" t="e">
        <f aca="false">IF(ABS(t-ROUND(t,0))&lt;0.001,pos_x,NA())</f>
        <v>#N/A</v>
      </c>
      <c r="AE433" s="427" t="e">
        <f aca="false">IF(t&lt;T_para, pos_z, NA())</f>
        <v>#N/A</v>
      </c>
      <c r="AF433" s="413"/>
      <c r="AG433" s="419" t="n">
        <f aca="false">IF(AND(L432&lt;L_rampe,Poussee&lt;Poids*SIN(M432)),0,(-W432+Poussee)/m-Poids*SIN(M432)/m)</f>
        <v>5.96963510667245</v>
      </c>
      <c r="AH433" s="418" t="n">
        <f aca="false">IF(AND(L432&lt;L_rampe,Poussee&lt;Poids*SIN(M432)), g*SIN(M432), (-W432+Poussee)/m)</f>
        <v>-3.73887495828835</v>
      </c>
    </row>
    <row r="434" customFormat="false" ht="12" hidden="false" customHeight="false" outlineLevel="0" collapsed="false">
      <c r="A434" s="417" t="n">
        <f aca="false">IF(B433+0.01&lt;=T_ini+ROUNDUP(Temps_fin_propu,0), 0.01, IF(K433&gt;0, 0.1, 0.0001))</f>
        <v>0.0001</v>
      </c>
      <c r="B434" s="418" t="n">
        <f aca="false">B433+pas</f>
        <v>16.5084999999999</v>
      </c>
      <c r="C434" s="402"/>
      <c r="D434" s="419" t="n">
        <f aca="false">IF(AND(L433&lt;L_rampe,Poussee&lt;Poids*SIN(M433)),0,(-W433+Poussee)/m*COS(M433)-U433/m*SIN(M433))</f>
        <v>-0.536424261675572</v>
      </c>
      <c r="E434" s="420" t="n">
        <f aca="false">IF(AND(L433&lt;L_rampe,Poussee&lt;Poids*SIN(M433)),0,(-W433+Poussee)/m*SIN(M433)+U433/m*COS(M433)-Poids/m)</f>
        <v>-6.1097404761226</v>
      </c>
      <c r="F434" s="418" t="n">
        <f aca="false">SQRT(acc_x^2+acc_z^2)</f>
        <v>6.13324381335725</v>
      </c>
      <c r="G434" s="419" t="n">
        <f aca="false">G433+acc_x*pas</f>
        <v>10.2826757140639</v>
      </c>
      <c r="H434" s="420" t="n">
        <f aca="false">H433+acc_z*pas</f>
        <v>-70.9309732845764</v>
      </c>
      <c r="I434" s="418" t="n">
        <f aca="false">SQRT(vit_x^2+vit_z^2)</f>
        <v>71.6724242016265</v>
      </c>
      <c r="J434" s="419" t="n">
        <f aca="false">J433+0.5*(vit_x+G433)*pas*(K433&gt;=0)</f>
        <v>211.791153319536</v>
      </c>
      <c r="K434" s="420" t="n">
        <f aca="false">K433+0.5*(vit_z+H433)*pas</f>
        <v>-5.03555451578437</v>
      </c>
      <c r="L434" s="418" t="n">
        <f aca="false">SQRT(pos_x^2+pos_z^2)</f>
        <v>211.851007629656</v>
      </c>
      <c r="M434" s="419" t="n">
        <f aca="false">IF(AND(L433&gt;L_rampe,G434&gt;0),ATAN2(G434,H434),$M$4)</f>
        <v>-1.4268318762196</v>
      </c>
      <c r="N434" s="418" t="n">
        <f aca="false">DEGREES(Beta)</f>
        <v>-81.7514445821158</v>
      </c>
      <c r="O434" s="402"/>
      <c r="P434" s="421" t="n">
        <f aca="false">MATCH(t-pas/2-T_ini,CdP_t)</f>
        <v>23</v>
      </c>
      <c r="Q434" s="418" t="n">
        <f aca="false">(INDEX(CdP,2,i_P+1)-INDEX(CdP,2,i_P+0))/(INDEX(CdP,1,i_P+1)-INDEX(CdP,1,i_P+0))*(t-pas/2-T_ini-INDEX(CdP,1,i_P+0))+INDEX(CdP,2,i_P+0)</f>
        <v>0</v>
      </c>
      <c r="R434" s="419" t="n">
        <f aca="false">Poussee/(g*ISP)</f>
        <v>0</v>
      </c>
      <c r="S434" s="420" t="n">
        <f aca="false">S433-Débit*pas</f>
        <v>1.4843</v>
      </c>
      <c r="T434" s="418" t="n">
        <f aca="false">m*g</f>
        <v>14.560983</v>
      </c>
      <c r="U434" s="422" t="n">
        <f aca="false">IF(pos_xz&lt;L_rampe,Poids*COS(Beta),0)</f>
        <v>0</v>
      </c>
      <c r="V434" s="419" t="n">
        <f aca="false">Rho_moyen*(20000-Alt_rampe-pos_z)/(20000+Alt_rampe+pos_z)</f>
        <v>1.22561701077775</v>
      </c>
      <c r="W434" s="418" t="n">
        <f aca="false">1/2*Rho*Sref*Cx*vit_xz^2</f>
        <v>5.5498048693571</v>
      </c>
      <c r="X434" s="402"/>
      <c r="Y434" s="423" t="str">
        <f aca="false">IF(AND(pos_z&lt;=0,K433&gt;0),"Impact balistique","") &amp; IF(AND(H435&lt;0,vit_z&gt;=0),"Apogée","") &amp; IF(AND(Poussee=0,Q433&gt;0),"Fin de propulsion","") &amp; IF(AND(L435&gt;L_rampe,pos_xz&lt;=L_rampe),"Sortie de rampe","")</f>
        <v/>
      </c>
      <c r="Z434" s="424" t="str">
        <f aca="false">IF(ABS(t-T_para)&lt;pas/2,"Para","")</f>
        <v/>
      </c>
      <c r="AA434" s="425" t="str">
        <f aca="false">IF(ABS(t-T_satellite)&lt;pas/2,"Satellite","")</f>
        <v/>
      </c>
      <c r="AB434" s="413"/>
      <c r="AC434" s="421" t="e">
        <f aca="false">IF(ABS(t-ROUND(t,0))&lt;0.001,t,NA())</f>
        <v>#N/A</v>
      </c>
      <c r="AD434" s="426" t="e">
        <f aca="false">IF(ABS(t-ROUND(t,0))&lt;0.001,pos_x,NA())</f>
        <v>#N/A</v>
      </c>
      <c r="AE434" s="427" t="e">
        <f aca="false">IF(t&lt;T_para, pos_z, NA())</f>
        <v>#N/A</v>
      </c>
      <c r="AF434" s="413"/>
      <c r="AG434" s="419" t="n">
        <f aca="false">IF(AND(L433&lt;L_rampe,Poussee&lt;Poids*SIN(M433)),0,(-W433+Poussee)/m-Poids*SIN(M433)/m)</f>
        <v>5.96957293461872</v>
      </c>
      <c r="AH434" s="418" t="n">
        <f aca="false">IF(AND(L433&lt;L_rampe,Poussee&lt;Poids*SIN(M433)), g*SIN(M433), (-W433+Poussee)/m)</f>
        <v>-3.73893989421595</v>
      </c>
    </row>
    <row r="435" customFormat="false" ht="12" hidden="false" customHeight="false" outlineLevel="0" collapsed="false">
      <c r="A435" s="417" t="n">
        <f aca="false">IF(B434+0.01&lt;=T_ini+ROUNDUP(Temps_fin_propu,0), 0.01, IF(K434&gt;0, 0.1, 0.0001))</f>
        <v>0.0001</v>
      </c>
      <c r="B435" s="418" t="n">
        <f aca="false">B434+pas</f>
        <v>16.5085999999999</v>
      </c>
      <c r="C435" s="402"/>
      <c r="D435" s="419" t="n">
        <f aca="false">IF(AND(L434&lt;L_rampe,Poussee&lt;Poids*SIN(M434)),0,(-W434+Poussee)/m*COS(M434)-U434/m*SIN(M434))</f>
        <v>-0.536426311650267</v>
      </c>
      <c r="E435" s="420" t="n">
        <f aca="false">IF(AND(L434&lt;L_rampe,Poussee&lt;Poids*SIN(M434)),0,(-W434+Poussee)/m*SIN(M434)+U434/m*COS(M434)-Poids/m)</f>
        <v>-6.10967515860022</v>
      </c>
      <c r="F435" s="418" t="n">
        <f aca="false">SQRT(acc_x^2+acc_z^2)</f>
        <v>6.13317892543886</v>
      </c>
      <c r="G435" s="419" t="n">
        <f aca="false">G434+acc_x*pas</f>
        <v>10.2826220714328</v>
      </c>
      <c r="H435" s="420" t="n">
        <f aca="false">H434+acc_z*pas</f>
        <v>-70.9315842520923</v>
      </c>
      <c r="I435" s="418" t="n">
        <f aca="false">SQRT(vit_x^2+vit_z^2)</f>
        <v>71.6730211528409</v>
      </c>
      <c r="J435" s="419" t="n">
        <f aca="false">J434+0.5*(vit_x+G434)*pas*(K434&gt;=0)</f>
        <v>211.791153319536</v>
      </c>
      <c r="K435" s="420" t="n">
        <f aca="false">K434+0.5*(vit_z+H434)*pas</f>
        <v>-5.0426476436612</v>
      </c>
      <c r="L435" s="418" t="n">
        <f aca="false">SQRT(pos_x^2+pos_z^2)</f>
        <v>211.851176347164</v>
      </c>
      <c r="M435" s="419" t="n">
        <f aca="false">IF(AND(L434&gt;L_rampe,G435&gt;0),ATAN2(G435,H435),$M$4)</f>
        <v>-1.42683383988434</v>
      </c>
      <c r="N435" s="418" t="n">
        <f aca="false">DEGREES(Beta)</f>
        <v>-81.7515570918178</v>
      </c>
      <c r="O435" s="402"/>
      <c r="P435" s="421" t="n">
        <f aca="false">MATCH(t-pas/2-T_ini,CdP_t)</f>
        <v>23</v>
      </c>
      <c r="Q435" s="418" t="n">
        <f aca="false">(INDEX(CdP,2,i_P+1)-INDEX(CdP,2,i_P+0))/(INDEX(CdP,1,i_P+1)-INDEX(CdP,1,i_P+0))*(t-pas/2-T_ini-INDEX(CdP,1,i_P+0))+INDEX(CdP,2,i_P+0)</f>
        <v>0</v>
      </c>
      <c r="R435" s="419" t="n">
        <f aca="false">Poussee/(g*ISP)</f>
        <v>0</v>
      </c>
      <c r="S435" s="420" t="n">
        <f aca="false">S434-Débit*pas</f>
        <v>1.4843</v>
      </c>
      <c r="T435" s="418" t="n">
        <f aca="false">m*g</f>
        <v>14.560983</v>
      </c>
      <c r="U435" s="422" t="n">
        <f aca="false">IF(pos_xz&lt;L_rampe,Poids*COS(Beta),0)</f>
        <v>0</v>
      </c>
      <c r="V435" s="419" t="n">
        <f aca="false">Rho_moyen*(20000-Alt_rampe-pos_z)/(20000+Alt_rampe+pos_z)</f>
        <v>1.22561788012394</v>
      </c>
      <c r="W435" s="418" t="n">
        <f aca="false">1/2*Rho*Sref*Cx*vit_xz^2</f>
        <v>5.54990125370447</v>
      </c>
      <c r="X435" s="402"/>
      <c r="Y435" s="423" t="str">
        <f aca="false">IF(AND(pos_z&lt;=0,K434&gt;0),"Impact balistique","") &amp; IF(AND(H436&lt;0,vit_z&gt;=0),"Apogée","") &amp; IF(AND(Poussee=0,Q434&gt;0),"Fin de propulsion","") &amp; IF(AND(L436&gt;L_rampe,pos_xz&lt;=L_rampe),"Sortie de rampe","")</f>
        <v/>
      </c>
      <c r="Z435" s="424" t="str">
        <f aca="false">IF(ABS(t-T_para)&lt;pas/2,"Para","")</f>
        <v/>
      </c>
      <c r="AA435" s="425" t="str">
        <f aca="false">IF(ABS(t-T_satellite)&lt;pas/2,"Satellite","")</f>
        <v/>
      </c>
      <c r="AB435" s="413"/>
      <c r="AC435" s="421" t="e">
        <f aca="false">IF(ABS(t-ROUND(t,0))&lt;0.001,t,NA())</f>
        <v>#N/A</v>
      </c>
      <c r="AD435" s="426" t="e">
        <f aca="false">IF(ABS(t-ROUND(t,0))&lt;0.001,pos_x,NA())</f>
        <v>#N/A</v>
      </c>
      <c r="AE435" s="427" t="e">
        <f aca="false">IF(t&lt;T_para, pos_z, NA())</f>
        <v>#N/A</v>
      </c>
      <c r="AF435" s="413"/>
      <c r="AG435" s="419" t="n">
        <f aca="false">IF(AND(L434&lt;L_rampe,Poussee&lt;Poids*SIN(M434)),0,(-W434+Poussee)/m-Poids*SIN(M434)/m)</f>
        <v>5.96951076248391</v>
      </c>
      <c r="AH435" s="418" t="n">
        <f aca="false">IF(AND(L434&lt;L_rampe,Poussee&lt;Poids*SIN(M434)), g*SIN(M434), (-W434+Poussee)/m)</f>
        <v>-3.73900483012673</v>
      </c>
    </row>
    <row r="436" customFormat="false" ht="12" hidden="false" customHeight="false" outlineLevel="0" collapsed="false">
      <c r="A436" s="417" t="n">
        <f aca="false">IF(B435+0.01&lt;=T_ini+ROUNDUP(Temps_fin_propu,0), 0.01, IF(K435&gt;0, 0.1, 0.0001))</f>
        <v>0.0001</v>
      </c>
      <c r="B436" s="418" t="n">
        <f aca="false">B435+pas</f>
        <v>16.5086999999999</v>
      </c>
      <c r="C436" s="402"/>
      <c r="D436" s="419" t="n">
        <f aca="false">IF(AND(L435&lt;L_rampe,Poussee&lt;Poids*SIN(M435)),0,(-W435+Poussee)/m*COS(M435)-U435/m*SIN(M435))</f>
        <v>-0.536428361527036</v>
      </c>
      <c r="E436" s="420" t="n">
        <f aca="false">IF(AND(L435&lt;L_rampe,Poussee&lt;Poids*SIN(M435)),0,(-W435+Poussee)/m*SIN(M435)+U435/m*COS(M435)-Poids/m)</f>
        <v>-6.10960984109523</v>
      </c>
      <c r="F436" s="418" t="n">
        <f aca="false">SQRT(acc_x^2+acc_z^2)</f>
        <v>6.13311403753903</v>
      </c>
      <c r="G436" s="419" t="n">
        <f aca="false">G435+acc_x*pas</f>
        <v>10.2825684285966</v>
      </c>
      <c r="H436" s="420" t="n">
        <f aca="false">H435+acc_z*pas</f>
        <v>-70.9321952130764</v>
      </c>
      <c r="I436" s="418" t="n">
        <f aca="false">SQRT(vit_x^2+vit_z^2)</f>
        <v>71.6736180978381</v>
      </c>
      <c r="J436" s="419" t="n">
        <f aca="false">J435+0.5*(vit_x+G435)*pas*(K435&gt;=0)</f>
        <v>211.791153319536</v>
      </c>
      <c r="K436" s="420" t="n">
        <f aca="false">K435+0.5*(vit_z+H435)*pas</f>
        <v>-5.04974083263446</v>
      </c>
      <c r="L436" s="418" t="n">
        <f aca="false">SQRT(pos_x^2+pos_z^2)</f>
        <v>211.851345303484</v>
      </c>
      <c r="M436" s="419" t="n">
        <f aca="false">IF(AND(L435&gt;L_rampe,G436&gt;0),ATAN2(G436,H436),$M$4)</f>
        <v>-1.42683580350613</v>
      </c>
      <c r="N436" s="418" t="n">
        <f aca="false">DEGREES(Beta)</f>
        <v>-81.7516695990587</v>
      </c>
      <c r="O436" s="402"/>
      <c r="P436" s="421" t="n">
        <f aca="false">MATCH(t-pas/2-T_ini,CdP_t)</f>
        <v>23</v>
      </c>
      <c r="Q436" s="418" t="n">
        <f aca="false">(INDEX(CdP,2,i_P+1)-INDEX(CdP,2,i_P+0))/(INDEX(CdP,1,i_P+1)-INDEX(CdP,1,i_P+0))*(t-pas/2-T_ini-INDEX(CdP,1,i_P+0))+INDEX(CdP,2,i_P+0)</f>
        <v>0</v>
      </c>
      <c r="R436" s="419" t="n">
        <f aca="false">Poussee/(g*ISP)</f>
        <v>0</v>
      </c>
      <c r="S436" s="420" t="n">
        <f aca="false">S435-Débit*pas</f>
        <v>1.4843</v>
      </c>
      <c r="T436" s="418" t="n">
        <f aca="false">m*g</f>
        <v>14.560983</v>
      </c>
      <c r="U436" s="422" t="n">
        <f aca="false">IF(pos_xz&lt;L_rampe,Poids*COS(Beta),0)</f>
        <v>0</v>
      </c>
      <c r="V436" s="419" t="n">
        <f aca="false">Rho_moyen*(20000-Alt_rampe-pos_z)/(20000+Alt_rampe+pos_z)</f>
        <v>1.22561874947822</v>
      </c>
      <c r="W436" s="418" t="n">
        <f aca="false">1/2*Rho*Sref*Cx*vit_xz^2</f>
        <v>5.54999763802682</v>
      </c>
      <c r="X436" s="402"/>
      <c r="Y436" s="423" t="str">
        <f aca="false">IF(AND(pos_z&lt;=0,K435&gt;0),"Impact balistique","") &amp; IF(AND(H437&lt;0,vit_z&gt;=0),"Apogée","") &amp; IF(AND(Poussee=0,Q435&gt;0),"Fin de propulsion","") &amp; IF(AND(L437&gt;L_rampe,pos_xz&lt;=L_rampe),"Sortie de rampe","")</f>
        <v/>
      </c>
      <c r="Z436" s="424" t="str">
        <f aca="false">IF(ABS(t-T_para)&lt;pas/2,"Para","")</f>
        <v/>
      </c>
      <c r="AA436" s="425" t="str">
        <f aca="false">IF(ABS(t-T_satellite)&lt;pas/2,"Satellite","")</f>
        <v/>
      </c>
      <c r="AB436" s="413"/>
      <c r="AC436" s="421" t="e">
        <f aca="false">IF(ABS(t-ROUND(t,0))&lt;0.001,t,NA())</f>
        <v>#N/A</v>
      </c>
      <c r="AD436" s="426" t="e">
        <f aca="false">IF(ABS(t-ROUND(t,0))&lt;0.001,pos_x,NA())</f>
        <v>#N/A</v>
      </c>
      <c r="AE436" s="427" t="e">
        <f aca="false">IF(t&lt;T_para, pos_z, NA())</f>
        <v>#N/A</v>
      </c>
      <c r="AF436" s="413"/>
      <c r="AG436" s="419" t="n">
        <f aca="false">IF(AND(L435&lt;L_rampe,Poussee&lt;Poids*SIN(M435)),0,(-W435+Poussee)/m-Poids*SIN(M435)/m)</f>
        <v>5.96944859026805</v>
      </c>
      <c r="AH436" s="418" t="n">
        <f aca="false">IF(AND(L435&lt;L_rampe,Poussee&lt;Poids*SIN(M435)), g*SIN(M435), (-W435+Poussee)/m)</f>
        <v>-3.73906976602067</v>
      </c>
    </row>
    <row r="437" customFormat="false" ht="12" hidden="false" customHeight="false" outlineLevel="0" collapsed="false">
      <c r="A437" s="417" t="n">
        <f aca="false">IF(B436+0.01&lt;=T_ini+ROUNDUP(Temps_fin_propu,0), 0.01, IF(K436&gt;0, 0.1, 0.0001))</f>
        <v>0.0001</v>
      </c>
      <c r="B437" s="418" t="n">
        <f aca="false">B436+pas</f>
        <v>16.5087999999999</v>
      </c>
      <c r="C437" s="402"/>
      <c r="D437" s="419" t="n">
        <f aca="false">IF(AND(L436&lt;L_rampe,Poussee&lt;Poids*SIN(M436)),0,(-W436+Poussee)/m*COS(M436)-U436/m*SIN(M436))</f>
        <v>-0.536430411305878</v>
      </c>
      <c r="E437" s="420" t="n">
        <f aca="false">IF(AND(L436&lt;L_rampe,Poussee&lt;Poids*SIN(M436)),0,(-W436+Poussee)/m*SIN(M436)+U436/m*COS(M436)-Poids/m)</f>
        <v>-6.10954452360765</v>
      </c>
      <c r="F437" s="418" t="n">
        <f aca="false">SQRT(acc_x^2+acc_z^2)</f>
        <v>6.13304914965778</v>
      </c>
      <c r="G437" s="419" t="n">
        <f aca="false">G436+acc_x*pas</f>
        <v>10.2825147855555</v>
      </c>
      <c r="H437" s="420" t="n">
        <f aca="false">H436+acc_z*pas</f>
        <v>-70.9328061675287</v>
      </c>
      <c r="I437" s="418" t="n">
        <f aca="false">SQRT(vit_x^2+vit_z^2)</f>
        <v>71.6742150366181</v>
      </c>
      <c r="J437" s="419" t="n">
        <f aca="false">J436+0.5*(vit_x+G436)*pas*(K436&gt;=0)</f>
        <v>211.791153319536</v>
      </c>
      <c r="K437" s="420" t="n">
        <f aca="false">K436+0.5*(vit_z+H436)*pas</f>
        <v>-5.05683408270349</v>
      </c>
      <c r="L437" s="418" t="n">
        <f aca="false">SQRT(pos_x^2+pos_z^2)</f>
        <v>211.851514498621</v>
      </c>
      <c r="M437" s="419" t="n">
        <f aca="false">IF(AND(L436&gt;L_rampe,G437&gt;0),ATAN2(G437,H437),$M$4)</f>
        <v>-1.42683776708496</v>
      </c>
      <c r="N437" s="418" t="n">
        <f aca="false">DEGREES(Beta)</f>
        <v>-81.7517821038386</v>
      </c>
      <c r="O437" s="402"/>
      <c r="P437" s="421" t="n">
        <f aca="false">MATCH(t-pas/2-T_ini,CdP_t)</f>
        <v>23</v>
      </c>
      <c r="Q437" s="418" t="n">
        <f aca="false">(INDEX(CdP,2,i_P+1)-INDEX(CdP,2,i_P+0))/(INDEX(CdP,1,i_P+1)-INDEX(CdP,1,i_P+0))*(t-pas/2-T_ini-INDEX(CdP,1,i_P+0))+INDEX(CdP,2,i_P+0)</f>
        <v>0</v>
      </c>
      <c r="R437" s="419" t="n">
        <f aca="false">Poussee/(g*ISP)</f>
        <v>0</v>
      </c>
      <c r="S437" s="420" t="n">
        <f aca="false">S436-Débit*pas</f>
        <v>1.4843</v>
      </c>
      <c r="T437" s="418" t="n">
        <f aca="false">m*g</f>
        <v>14.560983</v>
      </c>
      <c r="U437" s="422" t="n">
        <f aca="false">IF(pos_xz&lt;L_rampe,Poids*COS(Beta),0)</f>
        <v>0</v>
      </c>
      <c r="V437" s="419" t="n">
        <f aca="false">Rho_moyen*(20000-Alt_rampe-pos_z)/(20000+Alt_rampe+pos_z)</f>
        <v>1.22561961884062</v>
      </c>
      <c r="W437" s="418" t="n">
        <f aca="false">1/2*Rho*Sref*Cx*vit_xz^2</f>
        <v>5.55009402232413</v>
      </c>
      <c r="X437" s="402"/>
      <c r="Y437" s="423" t="str">
        <f aca="false">IF(AND(pos_z&lt;=0,K436&gt;0),"Impact balistique","") &amp; IF(AND(H438&lt;0,vit_z&gt;=0),"Apogée","") &amp; IF(AND(Poussee=0,Q436&gt;0),"Fin de propulsion","") &amp; IF(AND(L438&gt;L_rampe,pos_xz&lt;=L_rampe),"Sortie de rampe","")</f>
        <v/>
      </c>
      <c r="Z437" s="424" t="str">
        <f aca="false">IF(ABS(t-T_para)&lt;pas/2,"Para","")</f>
        <v/>
      </c>
      <c r="AA437" s="425" t="str">
        <f aca="false">IF(ABS(t-T_satellite)&lt;pas/2,"Satellite","")</f>
        <v/>
      </c>
      <c r="AB437" s="413"/>
      <c r="AC437" s="421" t="e">
        <f aca="false">IF(ABS(t-ROUND(t,0))&lt;0.001,t,NA())</f>
        <v>#N/A</v>
      </c>
      <c r="AD437" s="426" t="e">
        <f aca="false">IF(ABS(t-ROUND(t,0))&lt;0.001,pos_x,NA())</f>
        <v>#N/A</v>
      </c>
      <c r="AE437" s="427" t="e">
        <f aca="false">IF(t&lt;T_para, pos_z, NA())</f>
        <v>#N/A</v>
      </c>
      <c r="AF437" s="413"/>
      <c r="AG437" s="419" t="n">
        <f aca="false">IF(AND(L436&lt;L_rampe,Poussee&lt;Poids*SIN(M436)),0,(-W436+Poussee)/m-Poids*SIN(M436)/m)</f>
        <v>5.96938641797116</v>
      </c>
      <c r="AH437" s="418" t="n">
        <f aca="false">IF(AND(L436&lt;L_rampe,Poussee&lt;Poids*SIN(M436)), g*SIN(M436), (-W436+Poussee)/m)</f>
        <v>-3.73913470189775</v>
      </c>
    </row>
    <row r="438" customFormat="false" ht="12" hidden="false" customHeight="false" outlineLevel="0" collapsed="false">
      <c r="A438" s="417" t="n">
        <f aca="false">IF(B437+0.01&lt;=T_ini+ROUNDUP(Temps_fin_propu,0), 0.01, IF(K437&gt;0, 0.1, 0.0001))</f>
        <v>0.0001</v>
      </c>
      <c r="B438" s="418" t="n">
        <f aca="false">B437+pas</f>
        <v>16.5088999999999</v>
      </c>
      <c r="C438" s="402"/>
      <c r="D438" s="419" t="n">
        <f aca="false">IF(AND(L437&lt;L_rampe,Poussee&lt;Poids*SIN(M437)),0,(-W437+Poussee)/m*COS(M437)-U437/m*SIN(M437))</f>
        <v>-0.536432460986797</v>
      </c>
      <c r="E438" s="420" t="n">
        <f aca="false">IF(AND(L437&lt;L_rampe,Poussee&lt;Poids*SIN(M437)),0,(-W437+Poussee)/m*SIN(M437)+U437/m*COS(M437)-Poids/m)</f>
        <v>-6.10947920613748</v>
      </c>
      <c r="F438" s="418" t="n">
        <f aca="false">SQRT(acc_x^2+acc_z^2)</f>
        <v>6.13298426179512</v>
      </c>
      <c r="G438" s="419" t="n">
        <f aca="false">G437+acc_x*pas</f>
        <v>10.2824611423094</v>
      </c>
      <c r="H438" s="420" t="n">
        <f aca="false">H437+acc_z*pas</f>
        <v>-70.9334171154494</v>
      </c>
      <c r="I438" s="418" t="n">
        <f aca="false">SQRT(vit_x^2+vit_z^2)</f>
        <v>71.6748119691808</v>
      </c>
      <c r="J438" s="419" t="n">
        <f aca="false">J437+0.5*(vit_x+G437)*pas*(K437&gt;=0)</f>
        <v>211.791153319536</v>
      </c>
      <c r="K438" s="420" t="n">
        <f aca="false">K437+0.5*(vit_z+H437)*pas</f>
        <v>-5.06392739386764</v>
      </c>
      <c r="L438" s="418" t="n">
        <f aca="false">SQRT(pos_x^2+pos_z^2)</f>
        <v>211.85168393258</v>
      </c>
      <c r="M438" s="419" t="n">
        <f aca="false">IF(AND(L437&gt;L_rampe,G438&gt;0),ATAN2(G438,H438),$M$4)</f>
        <v>-1.42683973062084</v>
      </c>
      <c r="N438" s="418" t="n">
        <f aca="false">DEGREES(Beta)</f>
        <v>-81.7518946061577</v>
      </c>
      <c r="O438" s="402"/>
      <c r="P438" s="421" t="n">
        <f aca="false">MATCH(t-pas/2-T_ini,CdP_t)</f>
        <v>23</v>
      </c>
      <c r="Q438" s="418" t="n">
        <f aca="false">(INDEX(CdP,2,i_P+1)-INDEX(CdP,2,i_P+0))/(INDEX(CdP,1,i_P+1)-INDEX(CdP,1,i_P+0))*(t-pas/2-T_ini-INDEX(CdP,1,i_P+0))+INDEX(CdP,2,i_P+0)</f>
        <v>0</v>
      </c>
      <c r="R438" s="419" t="n">
        <f aca="false">Poussee/(g*ISP)</f>
        <v>0</v>
      </c>
      <c r="S438" s="420" t="n">
        <f aca="false">S437-Débit*pas</f>
        <v>1.4843</v>
      </c>
      <c r="T438" s="418" t="n">
        <f aca="false">m*g</f>
        <v>14.560983</v>
      </c>
      <c r="U438" s="422" t="n">
        <f aca="false">IF(pos_xz&lt;L_rampe,Poids*COS(Beta),0)</f>
        <v>0</v>
      </c>
      <c r="V438" s="419" t="n">
        <f aca="false">Rho_moyen*(20000-Alt_rampe-pos_z)/(20000+Alt_rampe+pos_z)</f>
        <v>1.22562048821111</v>
      </c>
      <c r="W438" s="418" t="n">
        <f aca="false">1/2*Rho*Sref*Cx*vit_xz^2</f>
        <v>5.55019040659637</v>
      </c>
      <c r="X438" s="402"/>
      <c r="Y438" s="423" t="str">
        <f aca="false">IF(AND(pos_z&lt;=0,K437&gt;0),"Impact balistique","") &amp; IF(AND(H439&lt;0,vit_z&gt;=0),"Apogée","") &amp; IF(AND(Poussee=0,Q437&gt;0),"Fin de propulsion","") &amp; IF(AND(L439&gt;L_rampe,pos_xz&lt;=L_rampe),"Sortie de rampe","")</f>
        <v/>
      </c>
      <c r="Z438" s="424" t="str">
        <f aca="false">IF(ABS(t-T_para)&lt;pas/2,"Para","")</f>
        <v/>
      </c>
      <c r="AA438" s="425" t="str">
        <f aca="false">IF(ABS(t-T_satellite)&lt;pas/2,"Satellite","")</f>
        <v/>
      </c>
      <c r="AB438" s="413"/>
      <c r="AC438" s="421" t="e">
        <f aca="false">IF(ABS(t-ROUND(t,0))&lt;0.001,t,NA())</f>
        <v>#N/A</v>
      </c>
      <c r="AD438" s="426" t="e">
        <f aca="false">IF(ABS(t-ROUND(t,0))&lt;0.001,pos_x,NA())</f>
        <v>#N/A</v>
      </c>
      <c r="AE438" s="427" t="e">
        <f aca="false">IF(t&lt;T_para, pos_z, NA())</f>
        <v>#N/A</v>
      </c>
      <c r="AF438" s="413"/>
      <c r="AG438" s="419" t="n">
        <f aca="false">IF(AND(L437&lt;L_rampe,Poussee&lt;Poids*SIN(M437)),0,(-W437+Poussee)/m-Poids*SIN(M437)/m)</f>
        <v>5.96932424559325</v>
      </c>
      <c r="AH438" s="418" t="n">
        <f aca="false">IF(AND(L437&lt;L_rampe,Poussee&lt;Poids*SIN(M437)), g*SIN(M437), (-W437+Poussee)/m)</f>
        <v>-3.73919963775796</v>
      </c>
    </row>
    <row r="439" customFormat="false" ht="12" hidden="false" customHeight="false" outlineLevel="0" collapsed="false">
      <c r="A439" s="417" t="n">
        <f aca="false">IF(B438+0.01&lt;=T_ini+ROUNDUP(Temps_fin_propu,0), 0.01, IF(K438&gt;0, 0.1, 0.0001))</f>
        <v>0.0001</v>
      </c>
      <c r="B439" s="418" t="n">
        <f aca="false">B438+pas</f>
        <v>16.5089999999999</v>
      </c>
      <c r="C439" s="402"/>
      <c r="D439" s="419" t="n">
        <f aca="false">IF(AND(L438&lt;L_rampe,Poussee&lt;Poids*SIN(M438)),0,(-W438+Poussee)/m*COS(M438)-U438/m*SIN(M438))</f>
        <v>-0.536434510569789</v>
      </c>
      <c r="E439" s="420" t="n">
        <f aca="false">IF(AND(L438&lt;L_rampe,Poussee&lt;Poids*SIN(M438)),0,(-W438+Poussee)/m*SIN(M438)+U438/m*COS(M438)-Poids/m)</f>
        <v>-6.10941388868475</v>
      </c>
      <c r="F439" s="418" t="n">
        <f aca="false">SQRT(acc_x^2+acc_z^2)</f>
        <v>6.13291937395107</v>
      </c>
      <c r="G439" s="419" t="n">
        <f aca="false">G438+acc_x*pas</f>
        <v>10.2824074988583</v>
      </c>
      <c r="H439" s="420" t="n">
        <f aca="false">H438+acc_z*pas</f>
        <v>-70.9340280568382</v>
      </c>
      <c r="I439" s="418" t="n">
        <f aca="false">SQRT(vit_x^2+vit_z^2)</f>
        <v>71.6754088955263</v>
      </c>
      <c r="J439" s="419" t="n">
        <f aca="false">J438+0.5*(vit_x+G438)*pas*(K438&gt;=0)</f>
        <v>211.791153319536</v>
      </c>
      <c r="K439" s="420" t="n">
        <f aca="false">K438+0.5*(vit_z+H438)*pas</f>
        <v>-5.07102076612625</v>
      </c>
      <c r="L439" s="418" t="n">
        <f aca="false">SQRT(pos_x^2+pos_z^2)</f>
        <v>211.851853605367</v>
      </c>
      <c r="M439" s="419" t="n">
        <f aca="false">IF(AND(L438&gt;L_rampe,G439&gt;0),ATAN2(G439,H439),$M$4)</f>
        <v>-1.42684169411378</v>
      </c>
      <c r="N439" s="418" t="n">
        <f aca="false">DEGREES(Beta)</f>
        <v>-81.7520071060159</v>
      </c>
      <c r="O439" s="402"/>
      <c r="P439" s="421" t="n">
        <f aca="false">MATCH(t-pas/2-T_ini,CdP_t)</f>
        <v>23</v>
      </c>
      <c r="Q439" s="418" t="n">
        <f aca="false">(INDEX(CdP,2,i_P+1)-INDEX(CdP,2,i_P+0))/(INDEX(CdP,1,i_P+1)-INDEX(CdP,1,i_P+0))*(t-pas/2-T_ini-INDEX(CdP,1,i_P+0))+INDEX(CdP,2,i_P+0)</f>
        <v>0</v>
      </c>
      <c r="R439" s="419" t="n">
        <f aca="false">Poussee/(g*ISP)</f>
        <v>0</v>
      </c>
      <c r="S439" s="420" t="n">
        <f aca="false">S438-Débit*pas</f>
        <v>1.4843</v>
      </c>
      <c r="T439" s="418" t="n">
        <f aca="false">m*g</f>
        <v>14.560983</v>
      </c>
      <c r="U439" s="422" t="n">
        <f aca="false">IF(pos_xz&lt;L_rampe,Poids*COS(Beta),0)</f>
        <v>0</v>
      </c>
      <c r="V439" s="419" t="n">
        <f aca="false">Rho_moyen*(20000-Alt_rampe-pos_z)/(20000+Alt_rampe+pos_z)</f>
        <v>1.22562135758971</v>
      </c>
      <c r="W439" s="418" t="n">
        <f aca="false">1/2*Rho*Sref*Cx*vit_xz^2</f>
        <v>5.55028679084352</v>
      </c>
      <c r="X439" s="402"/>
      <c r="Y439" s="423" t="str">
        <f aca="false">IF(AND(pos_z&lt;=0,K438&gt;0),"Impact balistique","") &amp; IF(AND(H440&lt;0,vit_z&gt;=0),"Apogée","") &amp; IF(AND(Poussee=0,Q438&gt;0),"Fin de propulsion","") &amp; IF(AND(L440&gt;L_rampe,pos_xz&lt;=L_rampe),"Sortie de rampe","")</f>
        <v/>
      </c>
      <c r="Z439" s="424" t="str">
        <f aca="false">IF(ABS(t-T_para)&lt;pas/2,"Para","")</f>
        <v/>
      </c>
      <c r="AA439" s="425" t="str">
        <f aca="false">IF(ABS(t-T_satellite)&lt;pas/2,"Satellite","")</f>
        <v/>
      </c>
      <c r="AB439" s="413"/>
      <c r="AC439" s="421" t="e">
        <f aca="false">IF(ABS(t-ROUND(t,0))&lt;0.001,t,NA())</f>
        <v>#N/A</v>
      </c>
      <c r="AD439" s="426" t="e">
        <f aca="false">IF(ABS(t-ROUND(t,0))&lt;0.001,pos_x,NA())</f>
        <v>#N/A</v>
      </c>
      <c r="AE439" s="427" t="e">
        <f aca="false">IF(t&lt;T_para, pos_z, NA())</f>
        <v>#N/A</v>
      </c>
      <c r="AF439" s="413"/>
      <c r="AG439" s="419" t="n">
        <f aca="false">IF(AND(L438&lt;L_rampe,Poussee&lt;Poids*SIN(M438)),0,(-W438+Poussee)/m-Poids*SIN(M438)/m)</f>
        <v>5.96926207313436</v>
      </c>
      <c r="AH439" s="418" t="n">
        <f aca="false">IF(AND(L438&lt;L_rampe,Poussee&lt;Poids*SIN(M438)), g*SIN(M438), (-W438+Poussee)/m)</f>
        <v>-3.73926457360128</v>
      </c>
    </row>
    <row r="440" customFormat="false" ht="12" hidden="false" customHeight="false" outlineLevel="0" collapsed="false">
      <c r="A440" s="417" t="n">
        <f aca="false">IF(B439+0.01&lt;=T_ini+ROUNDUP(Temps_fin_propu,0), 0.01, IF(K439&gt;0, 0.1, 0.0001))</f>
        <v>0.0001</v>
      </c>
      <c r="B440" s="418" t="n">
        <f aca="false">B439+pas</f>
        <v>16.5090999999999</v>
      </c>
      <c r="C440" s="402"/>
      <c r="D440" s="419" t="n">
        <f aca="false">IF(AND(L439&lt;L_rampe,Poussee&lt;Poids*SIN(M439)),0,(-W439+Poussee)/m*COS(M439)-U439/m*SIN(M439))</f>
        <v>-0.536436560054859</v>
      </c>
      <c r="E440" s="420" t="n">
        <f aca="false">IF(AND(L439&lt;L_rampe,Poussee&lt;Poids*SIN(M439)),0,(-W439+Poussee)/m*SIN(M439)+U439/m*COS(M439)-Poids/m)</f>
        <v>-6.10934857124948</v>
      </c>
      <c r="F440" s="418" t="n">
        <f aca="false">SQRT(acc_x^2+acc_z^2)</f>
        <v>6.13285448612565</v>
      </c>
      <c r="G440" s="419" t="n">
        <f aca="false">G439+acc_x*pas</f>
        <v>10.2823538552023</v>
      </c>
      <c r="H440" s="420" t="n">
        <f aca="false">H439+acc_z*pas</f>
        <v>-70.9346389916954</v>
      </c>
      <c r="I440" s="418" t="n">
        <f aca="false">SQRT(vit_x^2+vit_z^2)</f>
        <v>71.6760058156545</v>
      </c>
      <c r="J440" s="419" t="n">
        <f aca="false">J439+0.5*(vit_x+G439)*pas*(K439&gt;=0)</f>
        <v>211.791153319536</v>
      </c>
      <c r="K440" s="420" t="n">
        <f aca="false">K439+0.5*(vit_z+H439)*pas</f>
        <v>-5.07811419947868</v>
      </c>
      <c r="L440" s="418" t="n">
        <f aca="false">SQRT(pos_x^2+pos_z^2)</f>
        <v>211.852023516987</v>
      </c>
      <c r="M440" s="419" t="n">
        <f aca="false">IF(AND(L439&gt;L_rampe,G440&gt;0),ATAN2(G440,H440),$M$4)</f>
        <v>-1.42684365756377</v>
      </c>
      <c r="N440" s="418" t="n">
        <f aca="false">DEGREES(Beta)</f>
        <v>-81.7521196034135</v>
      </c>
      <c r="O440" s="402"/>
      <c r="P440" s="421" t="n">
        <f aca="false">MATCH(t-pas/2-T_ini,CdP_t)</f>
        <v>23</v>
      </c>
      <c r="Q440" s="418" t="n">
        <f aca="false">(INDEX(CdP,2,i_P+1)-INDEX(CdP,2,i_P+0))/(INDEX(CdP,1,i_P+1)-INDEX(CdP,1,i_P+0))*(t-pas/2-T_ini-INDEX(CdP,1,i_P+0))+INDEX(CdP,2,i_P+0)</f>
        <v>0</v>
      </c>
      <c r="R440" s="419" t="n">
        <f aca="false">Poussee/(g*ISP)</f>
        <v>0</v>
      </c>
      <c r="S440" s="420" t="n">
        <f aca="false">S439-Débit*pas</f>
        <v>1.4843</v>
      </c>
      <c r="T440" s="418" t="n">
        <f aca="false">m*g</f>
        <v>14.560983</v>
      </c>
      <c r="U440" s="422" t="n">
        <f aca="false">IF(pos_xz&lt;L_rampe,Poids*COS(Beta),0)</f>
        <v>0</v>
      </c>
      <c r="V440" s="419" t="n">
        <f aca="false">Rho_moyen*(20000-Alt_rampe-pos_z)/(20000+Alt_rampe+pos_z)</f>
        <v>1.22562222697642</v>
      </c>
      <c r="W440" s="418" t="n">
        <f aca="false">1/2*Rho*Sref*Cx*vit_xz^2</f>
        <v>5.55038317506556</v>
      </c>
      <c r="X440" s="402"/>
      <c r="Y440" s="423" t="str">
        <f aca="false">IF(AND(pos_z&lt;=0,K439&gt;0),"Impact balistique","") &amp; IF(AND(H441&lt;0,vit_z&gt;=0),"Apogée","") &amp; IF(AND(Poussee=0,Q439&gt;0),"Fin de propulsion","") &amp; IF(AND(L441&gt;L_rampe,pos_xz&lt;=L_rampe),"Sortie de rampe","")</f>
        <v/>
      </c>
      <c r="Z440" s="424" t="str">
        <f aca="false">IF(ABS(t-T_para)&lt;pas/2,"Para","")</f>
        <v/>
      </c>
      <c r="AA440" s="425" t="str">
        <f aca="false">IF(ABS(t-T_satellite)&lt;pas/2,"Satellite","")</f>
        <v/>
      </c>
      <c r="AB440" s="413"/>
      <c r="AC440" s="421" t="e">
        <f aca="false">IF(ABS(t-ROUND(t,0))&lt;0.001,t,NA())</f>
        <v>#N/A</v>
      </c>
      <c r="AD440" s="426" t="e">
        <f aca="false">IF(ABS(t-ROUND(t,0))&lt;0.001,pos_x,NA())</f>
        <v>#N/A</v>
      </c>
      <c r="AE440" s="427" t="e">
        <f aca="false">IF(t&lt;T_para, pos_z, NA())</f>
        <v>#N/A</v>
      </c>
      <c r="AF440" s="413"/>
      <c r="AG440" s="419" t="n">
        <f aca="false">IF(AND(L439&lt;L_rampe,Poussee&lt;Poids*SIN(M439)),0,(-W439+Poussee)/m-Poids*SIN(M439)/m)</f>
        <v>5.96919990059449</v>
      </c>
      <c r="AH440" s="418" t="n">
        <f aca="false">IF(AND(L439&lt;L_rampe,Poussee&lt;Poids*SIN(M439)), g*SIN(M439), (-W439+Poussee)/m)</f>
        <v>-3.7393295094277</v>
      </c>
    </row>
    <row r="441" customFormat="false" ht="12" hidden="false" customHeight="false" outlineLevel="0" collapsed="false">
      <c r="A441" s="417" t="n">
        <f aca="false">IF(B440+0.01&lt;=T_ini+ROUNDUP(Temps_fin_propu,0), 0.01, IF(K440&gt;0, 0.1, 0.0001))</f>
        <v>0.0001</v>
      </c>
      <c r="B441" s="418" t="n">
        <f aca="false">B440+pas</f>
        <v>16.5091999999999</v>
      </c>
      <c r="C441" s="402"/>
      <c r="D441" s="419" t="n">
        <f aca="false">IF(AND(L440&lt;L_rampe,Poussee&lt;Poids*SIN(M440)),0,(-W440+Poussee)/m*COS(M440)-U440/m*SIN(M440))</f>
        <v>-0.536438609442006</v>
      </c>
      <c r="E441" s="420" t="n">
        <f aca="false">IF(AND(L440&lt;L_rampe,Poussee&lt;Poids*SIN(M440)),0,(-W440+Poussee)/m*SIN(M440)+U440/m*COS(M440)-Poids/m)</f>
        <v>-6.10928325383167</v>
      </c>
      <c r="F441" s="418" t="n">
        <f aca="false">SQRT(acc_x^2+acc_z^2)</f>
        <v>6.13278959831887</v>
      </c>
      <c r="G441" s="419" t="n">
        <f aca="false">G440+acc_x*pas</f>
        <v>10.2823002113414</v>
      </c>
      <c r="H441" s="420" t="n">
        <f aca="false">H440+acc_z*pas</f>
        <v>-70.9352499200207</v>
      </c>
      <c r="I441" s="418" t="n">
        <f aca="false">SQRT(vit_x^2+vit_z^2)</f>
        <v>71.6766027295655</v>
      </c>
      <c r="J441" s="419" t="n">
        <f aca="false">J440+0.5*(vit_x+G440)*pas*(K440&gt;=0)</f>
        <v>211.791153319536</v>
      </c>
      <c r="K441" s="420" t="n">
        <f aca="false">K440+0.5*(vit_z+H440)*pas</f>
        <v>-5.08520769392427</v>
      </c>
      <c r="L441" s="418" t="n">
        <f aca="false">SQRT(pos_x^2+pos_z^2)</f>
        <v>211.852193667447</v>
      </c>
      <c r="M441" s="419" t="n">
        <f aca="false">IF(AND(L440&gt;L_rampe,G441&gt;0),ATAN2(G441,H441),$M$4)</f>
        <v>-1.42684562097081</v>
      </c>
      <c r="N441" s="418" t="n">
        <f aca="false">DEGREES(Beta)</f>
        <v>-81.7522320983504</v>
      </c>
      <c r="O441" s="402"/>
      <c r="P441" s="421" t="n">
        <f aca="false">MATCH(t-pas/2-T_ini,CdP_t)</f>
        <v>23</v>
      </c>
      <c r="Q441" s="418" t="n">
        <f aca="false">(INDEX(CdP,2,i_P+1)-INDEX(CdP,2,i_P+0))/(INDEX(CdP,1,i_P+1)-INDEX(CdP,1,i_P+0))*(t-pas/2-T_ini-INDEX(CdP,1,i_P+0))+INDEX(CdP,2,i_P+0)</f>
        <v>0</v>
      </c>
      <c r="R441" s="419" t="n">
        <f aca="false">Poussee/(g*ISP)</f>
        <v>0</v>
      </c>
      <c r="S441" s="420" t="n">
        <f aca="false">S440-Débit*pas</f>
        <v>1.4843</v>
      </c>
      <c r="T441" s="418" t="n">
        <f aca="false">m*g</f>
        <v>14.560983</v>
      </c>
      <c r="U441" s="422" t="n">
        <f aca="false">IF(pos_xz&lt;L_rampe,Poids*COS(Beta),0)</f>
        <v>0</v>
      </c>
      <c r="V441" s="419" t="n">
        <f aca="false">Rho_moyen*(20000-Alt_rampe-pos_z)/(20000+Alt_rampe+pos_z)</f>
        <v>1.22562309637123</v>
      </c>
      <c r="W441" s="418" t="n">
        <f aca="false">1/2*Rho*Sref*Cx*vit_xz^2</f>
        <v>5.55047955926245</v>
      </c>
      <c r="X441" s="402"/>
      <c r="Y441" s="423" t="str">
        <f aca="false">IF(AND(pos_z&lt;=0,K440&gt;0),"Impact balistique","") &amp; IF(AND(H442&lt;0,vit_z&gt;=0),"Apogée","") &amp; IF(AND(Poussee=0,Q440&gt;0),"Fin de propulsion","") &amp; IF(AND(L442&gt;L_rampe,pos_xz&lt;=L_rampe),"Sortie de rampe","")</f>
        <v/>
      </c>
      <c r="Z441" s="424" t="str">
        <f aca="false">IF(ABS(t-T_para)&lt;pas/2,"Para","")</f>
        <v/>
      </c>
      <c r="AA441" s="425" t="str">
        <f aca="false">IF(ABS(t-T_satellite)&lt;pas/2,"Satellite","")</f>
        <v/>
      </c>
      <c r="AB441" s="413"/>
      <c r="AC441" s="421" t="e">
        <f aca="false">IF(ABS(t-ROUND(t,0))&lt;0.001,t,NA())</f>
        <v>#N/A</v>
      </c>
      <c r="AD441" s="426" t="e">
        <f aca="false">IF(ABS(t-ROUND(t,0))&lt;0.001,pos_x,NA())</f>
        <v>#N/A</v>
      </c>
      <c r="AE441" s="427" t="e">
        <f aca="false">IF(t&lt;T_para, pos_z, NA())</f>
        <v>#N/A</v>
      </c>
      <c r="AF441" s="413"/>
      <c r="AG441" s="419" t="n">
        <f aca="false">IF(AND(L440&lt;L_rampe,Poussee&lt;Poids*SIN(M440)),0,(-W440+Poussee)/m-Poids*SIN(M440)/m)</f>
        <v>5.96913772797368</v>
      </c>
      <c r="AH441" s="418" t="n">
        <f aca="false">IF(AND(L440&lt;L_rampe,Poussee&lt;Poids*SIN(M440)), g*SIN(M440), (-W440+Poussee)/m)</f>
        <v>-3.73939444523719</v>
      </c>
    </row>
    <row r="442" customFormat="false" ht="12" hidden="false" customHeight="false" outlineLevel="0" collapsed="false">
      <c r="A442" s="417" t="n">
        <f aca="false">IF(B441+0.01&lt;=T_ini+ROUNDUP(Temps_fin_propu,0), 0.01, IF(K441&gt;0, 0.1, 0.0001))</f>
        <v>0.0001</v>
      </c>
      <c r="B442" s="418" t="n">
        <f aca="false">B441+pas</f>
        <v>16.5092999999999</v>
      </c>
      <c r="C442" s="402"/>
      <c r="D442" s="419" t="n">
        <f aca="false">IF(AND(L441&lt;L_rampe,Poussee&lt;Poids*SIN(M441)),0,(-W441+Poussee)/m*COS(M441)-U441/m*SIN(M441))</f>
        <v>-0.536440658731229</v>
      </c>
      <c r="E442" s="420" t="n">
        <f aca="false">IF(AND(L441&lt;L_rampe,Poussee&lt;Poids*SIN(M441)),0,(-W441+Poussee)/m*SIN(M441)+U441/m*COS(M441)-Poids/m)</f>
        <v>-6.10921793643135</v>
      </c>
      <c r="F442" s="418" t="n">
        <f aca="false">SQRT(acc_x^2+acc_z^2)</f>
        <v>6.13272471053076</v>
      </c>
      <c r="G442" s="419" t="n">
        <f aca="false">G441+acc_x*pas</f>
        <v>10.2822465672755</v>
      </c>
      <c r="H442" s="420" t="n">
        <f aca="false">H441+acc_z*pas</f>
        <v>-70.9358608418144</v>
      </c>
      <c r="I442" s="418" t="n">
        <f aca="false">SQRT(vit_x^2+vit_z^2)</f>
        <v>71.6771996372592</v>
      </c>
      <c r="J442" s="419" t="n">
        <f aca="false">J441+0.5*(vit_x+G441)*pas*(K441&gt;=0)</f>
        <v>211.791153319536</v>
      </c>
      <c r="K442" s="420" t="n">
        <f aca="false">K441+0.5*(vit_z+H441)*pas</f>
        <v>-5.09230124946236</v>
      </c>
      <c r="L442" s="418" t="n">
        <f aca="false">SQRT(pos_x^2+pos_z^2)</f>
        <v>211.852364056752</v>
      </c>
      <c r="M442" s="419" t="n">
        <f aca="false">IF(AND(L441&gt;L_rampe,G442&gt;0),ATAN2(G442,H442),$M$4)</f>
        <v>-1.4268475843349</v>
      </c>
      <c r="N442" s="418" t="n">
        <f aca="false">DEGREES(Beta)</f>
        <v>-81.7523445908268</v>
      </c>
      <c r="O442" s="402"/>
      <c r="P442" s="421" t="n">
        <f aca="false">MATCH(t-pas/2-T_ini,CdP_t)</f>
        <v>23</v>
      </c>
      <c r="Q442" s="418" t="n">
        <f aca="false">(INDEX(CdP,2,i_P+1)-INDEX(CdP,2,i_P+0))/(INDEX(CdP,1,i_P+1)-INDEX(CdP,1,i_P+0))*(t-pas/2-T_ini-INDEX(CdP,1,i_P+0))+INDEX(CdP,2,i_P+0)</f>
        <v>0</v>
      </c>
      <c r="R442" s="419" t="n">
        <f aca="false">Poussee/(g*ISP)</f>
        <v>0</v>
      </c>
      <c r="S442" s="420" t="n">
        <f aca="false">S441-Débit*pas</f>
        <v>1.4843</v>
      </c>
      <c r="T442" s="418" t="n">
        <f aca="false">m*g</f>
        <v>14.560983</v>
      </c>
      <c r="U442" s="422" t="n">
        <f aca="false">IF(pos_xz&lt;L_rampe,Poids*COS(Beta),0)</f>
        <v>0</v>
      </c>
      <c r="V442" s="419" t="n">
        <f aca="false">Rho_moyen*(20000-Alt_rampe-pos_z)/(20000+Alt_rampe+pos_z)</f>
        <v>1.22562396577414</v>
      </c>
      <c r="W442" s="418" t="n">
        <f aca="false">1/2*Rho*Sref*Cx*vit_xz^2</f>
        <v>5.55057594343419</v>
      </c>
      <c r="X442" s="402"/>
      <c r="Y442" s="423" t="str">
        <f aca="false">IF(AND(pos_z&lt;=0,K441&gt;0),"Impact balistique","") &amp; IF(AND(H443&lt;0,vit_z&gt;=0),"Apogée","") &amp; IF(AND(Poussee=0,Q441&gt;0),"Fin de propulsion","") &amp; IF(AND(L443&gt;L_rampe,pos_xz&lt;=L_rampe),"Sortie de rampe","")</f>
        <v/>
      </c>
      <c r="Z442" s="424" t="str">
        <f aca="false">IF(ABS(t-T_para)&lt;pas/2,"Para","")</f>
        <v/>
      </c>
      <c r="AA442" s="425" t="str">
        <f aca="false">IF(ABS(t-T_satellite)&lt;pas/2,"Satellite","")</f>
        <v/>
      </c>
      <c r="AB442" s="413"/>
      <c r="AC442" s="421" t="e">
        <f aca="false">IF(ABS(t-ROUND(t,0))&lt;0.001,t,NA())</f>
        <v>#N/A</v>
      </c>
      <c r="AD442" s="426" t="e">
        <f aca="false">IF(ABS(t-ROUND(t,0))&lt;0.001,pos_x,NA())</f>
        <v>#N/A</v>
      </c>
      <c r="AE442" s="427" t="e">
        <f aca="false">IF(t&lt;T_para, pos_z, NA())</f>
        <v>#N/A</v>
      </c>
      <c r="AF442" s="413"/>
      <c r="AG442" s="419" t="n">
        <f aca="false">IF(AND(L441&lt;L_rampe,Poussee&lt;Poids*SIN(M441)),0,(-W441+Poussee)/m-Poids*SIN(M441)/m)</f>
        <v>5.96907555527194</v>
      </c>
      <c r="AH442" s="418" t="n">
        <f aca="false">IF(AND(L441&lt;L_rampe,Poussee&lt;Poids*SIN(M441)), g*SIN(M441), (-W441+Poussee)/m)</f>
        <v>-3.73945938102975</v>
      </c>
    </row>
    <row r="443" customFormat="false" ht="12" hidden="false" customHeight="false" outlineLevel="0" collapsed="false">
      <c r="A443" s="417" t="n">
        <f aca="false">IF(B442+0.01&lt;=T_ini+ROUNDUP(Temps_fin_propu,0), 0.01, IF(K442&gt;0, 0.1, 0.0001))</f>
        <v>0.0001</v>
      </c>
      <c r="B443" s="418" t="n">
        <f aca="false">B442+pas</f>
        <v>16.5093999999999</v>
      </c>
      <c r="C443" s="402"/>
      <c r="D443" s="419" t="n">
        <f aca="false">IF(AND(L442&lt;L_rampe,Poussee&lt;Poids*SIN(M442)),0,(-W442+Poussee)/m*COS(M442)-U442/m*SIN(M442))</f>
        <v>-0.536442707922531</v>
      </c>
      <c r="E443" s="420" t="n">
        <f aca="false">IF(AND(L442&lt;L_rampe,Poussee&lt;Poids*SIN(M442)),0,(-W442+Poussee)/m*SIN(M442)+U442/m*COS(M442)-Poids/m)</f>
        <v>-6.10915261904854</v>
      </c>
      <c r="F443" s="418" t="n">
        <f aca="false">SQRT(acc_x^2+acc_z^2)</f>
        <v>6.13265982276131</v>
      </c>
      <c r="G443" s="419" t="n">
        <f aca="false">G442+acc_x*pas</f>
        <v>10.2821929230047</v>
      </c>
      <c r="H443" s="420" t="n">
        <f aca="false">H442+acc_z*pas</f>
        <v>-70.9364717570763</v>
      </c>
      <c r="I443" s="418" t="n">
        <f aca="false">SQRT(vit_x^2+vit_z^2)</f>
        <v>71.6777965387355</v>
      </c>
      <c r="J443" s="419" t="n">
        <f aca="false">J442+0.5*(vit_x+G442)*pas*(K442&gt;=0)</f>
        <v>211.791153319536</v>
      </c>
      <c r="K443" s="420" t="n">
        <f aca="false">K442+0.5*(vit_z+H442)*pas</f>
        <v>-5.0993948660923</v>
      </c>
      <c r="L443" s="418" t="n">
        <f aca="false">SQRT(pos_x^2+pos_z^2)</f>
        <v>211.852534684907</v>
      </c>
      <c r="M443" s="419" t="n">
        <f aca="false">IF(AND(L442&gt;L_rampe,G443&gt;0),ATAN2(G443,H443),$M$4)</f>
        <v>-1.42684954765606</v>
      </c>
      <c r="N443" s="418" t="n">
        <f aca="false">DEGREES(Beta)</f>
        <v>-81.7524570808427</v>
      </c>
      <c r="O443" s="402"/>
      <c r="P443" s="421" t="n">
        <f aca="false">MATCH(t-pas/2-T_ini,CdP_t)</f>
        <v>23</v>
      </c>
      <c r="Q443" s="418" t="n">
        <f aca="false">(INDEX(CdP,2,i_P+1)-INDEX(CdP,2,i_P+0))/(INDEX(CdP,1,i_P+1)-INDEX(CdP,1,i_P+0))*(t-pas/2-T_ini-INDEX(CdP,1,i_P+0))+INDEX(CdP,2,i_P+0)</f>
        <v>0</v>
      </c>
      <c r="R443" s="419" t="n">
        <f aca="false">Poussee/(g*ISP)</f>
        <v>0</v>
      </c>
      <c r="S443" s="420" t="n">
        <f aca="false">S442-Débit*pas</f>
        <v>1.4843</v>
      </c>
      <c r="T443" s="418" t="n">
        <f aca="false">m*g</f>
        <v>14.560983</v>
      </c>
      <c r="U443" s="422" t="n">
        <f aca="false">IF(pos_xz&lt;L_rampe,Poids*COS(Beta),0)</f>
        <v>0</v>
      </c>
      <c r="V443" s="419" t="n">
        <f aca="false">Rho_moyen*(20000-Alt_rampe-pos_z)/(20000+Alt_rampe+pos_z)</f>
        <v>1.22562483518516</v>
      </c>
      <c r="W443" s="418" t="n">
        <f aca="false">1/2*Rho*Sref*Cx*vit_xz^2</f>
        <v>5.55067232758073</v>
      </c>
      <c r="X443" s="402"/>
      <c r="Y443" s="423" t="str">
        <f aca="false">IF(AND(pos_z&lt;=0,K442&gt;0),"Impact balistique","") &amp; IF(AND(H444&lt;0,vit_z&gt;=0),"Apogée","") &amp; IF(AND(Poussee=0,Q442&gt;0),"Fin de propulsion","") &amp; IF(AND(L444&gt;L_rampe,pos_xz&lt;=L_rampe),"Sortie de rampe","")</f>
        <v/>
      </c>
      <c r="Z443" s="424" t="str">
        <f aca="false">IF(ABS(t-T_para)&lt;pas/2,"Para","")</f>
        <v/>
      </c>
      <c r="AA443" s="425" t="str">
        <f aca="false">IF(ABS(t-T_satellite)&lt;pas/2,"Satellite","")</f>
        <v/>
      </c>
      <c r="AB443" s="413"/>
      <c r="AC443" s="421" t="e">
        <f aca="false">IF(ABS(t-ROUND(t,0))&lt;0.001,t,NA())</f>
        <v>#N/A</v>
      </c>
      <c r="AD443" s="426" t="e">
        <f aca="false">IF(ABS(t-ROUND(t,0))&lt;0.001,pos_x,NA())</f>
        <v>#N/A</v>
      </c>
      <c r="AE443" s="427" t="e">
        <f aca="false">IF(t&lt;T_para, pos_z, NA())</f>
        <v>#N/A</v>
      </c>
      <c r="AF443" s="413"/>
      <c r="AG443" s="419" t="n">
        <f aca="false">IF(AND(L442&lt;L_rampe,Poussee&lt;Poids*SIN(M442)),0,(-W442+Poussee)/m-Poids*SIN(M442)/m)</f>
        <v>5.96901338248929</v>
      </c>
      <c r="AH443" s="418" t="n">
        <f aca="false">IF(AND(L442&lt;L_rampe,Poussee&lt;Poids*SIN(M442)), g*SIN(M442), (-W442+Poussee)/m)</f>
        <v>-3.73952431680536</v>
      </c>
    </row>
    <row r="444" customFormat="false" ht="12" hidden="false" customHeight="false" outlineLevel="0" collapsed="false">
      <c r="A444" s="417" t="n">
        <f aca="false">IF(B443+0.01&lt;=T_ini+ROUNDUP(Temps_fin_propu,0), 0.01, IF(K443&gt;0, 0.1, 0.0001))</f>
        <v>0.0001</v>
      </c>
      <c r="B444" s="418" t="n">
        <f aca="false">B443+pas</f>
        <v>16.5094999999999</v>
      </c>
      <c r="C444" s="402"/>
      <c r="D444" s="419" t="n">
        <f aca="false">IF(AND(L443&lt;L_rampe,Poussee&lt;Poids*SIN(M443)),0,(-W443+Poussee)/m*COS(M443)-U443/m*SIN(M443))</f>
        <v>-0.536444757015912</v>
      </c>
      <c r="E444" s="420" t="n">
        <f aca="false">IF(AND(L443&lt;L_rampe,Poussee&lt;Poids*SIN(M443)),0,(-W443+Poussee)/m*SIN(M443)+U443/m*COS(M443)-Poids/m)</f>
        <v>-6.10908730168324</v>
      </c>
      <c r="F444" s="418" t="n">
        <f aca="false">SQRT(acc_x^2+acc_z^2)</f>
        <v>6.13259493501057</v>
      </c>
      <c r="G444" s="419" t="n">
        <f aca="false">G443+acc_x*pas</f>
        <v>10.282139278529</v>
      </c>
      <c r="H444" s="420" t="n">
        <f aca="false">H443+acc_z*pas</f>
        <v>-70.9370826658064</v>
      </c>
      <c r="I444" s="418" t="n">
        <f aca="false">SQRT(vit_x^2+vit_z^2)</f>
        <v>71.6783934339946</v>
      </c>
      <c r="J444" s="419" t="n">
        <f aca="false">J443+0.5*(vit_x+G443)*pas*(K443&gt;=0)</f>
        <v>211.791153319536</v>
      </c>
      <c r="K444" s="420" t="n">
        <f aca="false">K443+0.5*(vit_z+H443)*pas</f>
        <v>-5.10648854381345</v>
      </c>
      <c r="L444" s="418" t="n">
        <f aca="false">SQRT(pos_x^2+pos_z^2)</f>
        <v>211.852705551917</v>
      </c>
      <c r="M444" s="419" t="n">
        <f aca="false">IF(AND(L443&gt;L_rampe,G444&gt;0),ATAN2(G444,H444),$M$4)</f>
        <v>-1.42685151093427</v>
      </c>
      <c r="N444" s="418" t="n">
        <f aca="false">DEGREES(Beta)</f>
        <v>-81.7525695683982</v>
      </c>
      <c r="O444" s="402"/>
      <c r="P444" s="421" t="n">
        <f aca="false">MATCH(t-pas/2-T_ini,CdP_t)</f>
        <v>23</v>
      </c>
      <c r="Q444" s="418" t="n">
        <f aca="false">(INDEX(CdP,2,i_P+1)-INDEX(CdP,2,i_P+0))/(INDEX(CdP,1,i_P+1)-INDEX(CdP,1,i_P+0))*(t-pas/2-T_ini-INDEX(CdP,1,i_P+0))+INDEX(CdP,2,i_P+0)</f>
        <v>0</v>
      </c>
      <c r="R444" s="419" t="n">
        <f aca="false">Poussee/(g*ISP)</f>
        <v>0</v>
      </c>
      <c r="S444" s="420" t="n">
        <f aca="false">S443-Débit*pas</f>
        <v>1.4843</v>
      </c>
      <c r="T444" s="418" t="n">
        <f aca="false">m*g</f>
        <v>14.560983</v>
      </c>
      <c r="U444" s="422" t="n">
        <f aca="false">IF(pos_xz&lt;L_rampe,Poids*COS(Beta),0)</f>
        <v>0</v>
      </c>
      <c r="V444" s="419" t="n">
        <f aca="false">Rho_moyen*(20000-Alt_rampe-pos_z)/(20000+Alt_rampe+pos_z)</f>
        <v>1.22562570460429</v>
      </c>
      <c r="W444" s="418" t="n">
        <f aca="false">1/2*Rho*Sref*Cx*vit_xz^2</f>
        <v>5.55076871170206</v>
      </c>
      <c r="X444" s="402"/>
      <c r="Y444" s="423" t="str">
        <f aca="false">IF(AND(pos_z&lt;=0,K443&gt;0),"Impact balistique","") &amp; IF(AND(H445&lt;0,vit_z&gt;=0),"Apogée","") &amp; IF(AND(Poussee=0,Q443&gt;0),"Fin de propulsion","") &amp; IF(AND(L445&gt;L_rampe,pos_xz&lt;=L_rampe),"Sortie de rampe","")</f>
        <v/>
      </c>
      <c r="Z444" s="424" t="str">
        <f aca="false">IF(ABS(t-T_para)&lt;pas/2,"Para","")</f>
        <v/>
      </c>
      <c r="AA444" s="425" t="str">
        <f aca="false">IF(ABS(t-T_satellite)&lt;pas/2,"Satellite","")</f>
        <v/>
      </c>
      <c r="AB444" s="413"/>
      <c r="AC444" s="421" t="e">
        <f aca="false">IF(ABS(t-ROUND(t,0))&lt;0.001,t,NA())</f>
        <v>#N/A</v>
      </c>
      <c r="AD444" s="426" t="e">
        <f aca="false">IF(ABS(t-ROUND(t,0))&lt;0.001,pos_x,NA())</f>
        <v>#N/A</v>
      </c>
      <c r="AE444" s="427" t="e">
        <f aca="false">IF(t&lt;T_para, pos_z, NA())</f>
        <v>#N/A</v>
      </c>
      <c r="AF444" s="413"/>
      <c r="AG444" s="419" t="n">
        <f aca="false">IF(AND(L443&lt;L_rampe,Poussee&lt;Poids*SIN(M443)),0,(-W443+Poussee)/m-Poids*SIN(M443)/m)</f>
        <v>5.96895120962576</v>
      </c>
      <c r="AH444" s="418" t="n">
        <f aca="false">IF(AND(L443&lt;L_rampe,Poussee&lt;Poids*SIN(M443)), g*SIN(M443), (-W443+Poussee)/m)</f>
        <v>-3.73958925256399</v>
      </c>
    </row>
    <row r="445" customFormat="false" ht="12" hidden="false" customHeight="false" outlineLevel="0" collapsed="false">
      <c r="A445" s="417" t="n">
        <f aca="false">IF(B444+0.01&lt;=T_ini+ROUNDUP(Temps_fin_propu,0), 0.01, IF(K444&gt;0, 0.1, 0.0001))</f>
        <v>0.0001</v>
      </c>
      <c r="B445" s="418" t="n">
        <f aca="false">B444+pas</f>
        <v>16.5095999999999</v>
      </c>
      <c r="C445" s="402"/>
      <c r="D445" s="419" t="n">
        <f aca="false">IF(AND(L444&lt;L_rampe,Poussee&lt;Poids*SIN(M444)),0,(-W444+Poussee)/m*COS(M444)-U444/m*SIN(M444))</f>
        <v>-0.536446806011373</v>
      </c>
      <c r="E445" s="420" t="n">
        <f aca="false">IF(AND(L444&lt;L_rampe,Poussee&lt;Poids*SIN(M444)),0,(-W444+Poussee)/m*SIN(M444)+U444/m*COS(M444)-Poids/m)</f>
        <v>-6.10902198433547</v>
      </c>
      <c r="F445" s="418" t="n">
        <f aca="false">SQRT(acc_x^2+acc_z^2)</f>
        <v>6.13253004727852</v>
      </c>
      <c r="G445" s="419" t="n">
        <f aca="false">G444+acc_x*pas</f>
        <v>10.2820856338484</v>
      </c>
      <c r="H445" s="420" t="n">
        <f aca="false">H444+acc_z*pas</f>
        <v>-70.9376935680049</v>
      </c>
      <c r="I445" s="418" t="n">
        <f aca="false">SQRT(vit_x^2+vit_z^2)</f>
        <v>71.6789903230364</v>
      </c>
      <c r="J445" s="419" t="n">
        <f aca="false">J444+0.5*(vit_x+G444)*pas*(K444&gt;=0)</f>
        <v>211.791153319536</v>
      </c>
      <c r="K445" s="420" t="n">
        <f aca="false">K444+0.5*(vit_z+H444)*pas</f>
        <v>-5.11358228262514</v>
      </c>
      <c r="L445" s="418" t="n">
        <f aca="false">SQRT(pos_x^2+pos_z^2)</f>
        <v>211.852876657789</v>
      </c>
      <c r="M445" s="419" t="n">
        <f aca="false">IF(AND(L444&gt;L_rampe,G445&gt;0),ATAN2(G445,H445),$M$4)</f>
        <v>-1.42685347416954</v>
      </c>
      <c r="N445" s="418" t="n">
        <f aca="false">DEGREES(Beta)</f>
        <v>-81.7526820534934</v>
      </c>
      <c r="O445" s="402"/>
      <c r="P445" s="421" t="n">
        <f aca="false">MATCH(t-pas/2-T_ini,CdP_t)</f>
        <v>23</v>
      </c>
      <c r="Q445" s="418" t="n">
        <f aca="false">(INDEX(CdP,2,i_P+1)-INDEX(CdP,2,i_P+0))/(INDEX(CdP,1,i_P+1)-INDEX(CdP,1,i_P+0))*(t-pas/2-T_ini-INDEX(CdP,1,i_P+0))+INDEX(CdP,2,i_P+0)</f>
        <v>0</v>
      </c>
      <c r="R445" s="419" t="n">
        <f aca="false">Poussee/(g*ISP)</f>
        <v>0</v>
      </c>
      <c r="S445" s="420" t="n">
        <f aca="false">S444-Débit*pas</f>
        <v>1.4843</v>
      </c>
      <c r="T445" s="418" t="n">
        <f aca="false">m*g</f>
        <v>14.560983</v>
      </c>
      <c r="U445" s="422" t="n">
        <f aca="false">IF(pos_xz&lt;L_rampe,Poids*COS(Beta),0)</f>
        <v>0</v>
      </c>
      <c r="V445" s="419" t="n">
        <f aca="false">Rho_moyen*(20000-Alt_rampe-pos_z)/(20000+Alt_rampe+pos_z)</f>
        <v>1.22562657403152</v>
      </c>
      <c r="W445" s="418" t="n">
        <f aca="false">1/2*Rho*Sref*Cx*vit_xz^2</f>
        <v>5.55086509579816</v>
      </c>
      <c r="X445" s="402"/>
      <c r="Y445" s="423" t="str">
        <f aca="false">IF(AND(pos_z&lt;=0,K444&gt;0),"Impact balistique","") &amp; IF(AND(H446&lt;0,vit_z&gt;=0),"Apogée","") &amp; IF(AND(Poussee=0,Q444&gt;0),"Fin de propulsion","") &amp; IF(AND(L446&gt;L_rampe,pos_xz&lt;=L_rampe),"Sortie de rampe","")</f>
        <v/>
      </c>
      <c r="Z445" s="424" t="str">
        <f aca="false">IF(ABS(t-T_para)&lt;pas/2,"Para","")</f>
        <v/>
      </c>
      <c r="AA445" s="425" t="str">
        <f aca="false">IF(ABS(t-T_satellite)&lt;pas/2,"Satellite","")</f>
        <v/>
      </c>
      <c r="AB445" s="413"/>
      <c r="AC445" s="421" t="e">
        <f aca="false">IF(ABS(t-ROUND(t,0))&lt;0.001,t,NA())</f>
        <v>#N/A</v>
      </c>
      <c r="AD445" s="426" t="e">
        <f aca="false">IF(ABS(t-ROUND(t,0))&lt;0.001,pos_x,NA())</f>
        <v>#N/A</v>
      </c>
      <c r="AE445" s="427" t="e">
        <f aca="false">IF(t&lt;T_para, pos_z, NA())</f>
        <v>#N/A</v>
      </c>
      <c r="AF445" s="413"/>
      <c r="AG445" s="419" t="n">
        <f aca="false">IF(AND(L444&lt;L_rampe,Poussee&lt;Poids*SIN(M444)),0,(-W444+Poussee)/m-Poids*SIN(M444)/m)</f>
        <v>5.96888903668136</v>
      </c>
      <c r="AH445" s="418" t="n">
        <f aca="false">IF(AND(L444&lt;L_rampe,Poussee&lt;Poids*SIN(M444)), g*SIN(M444), (-W444+Poussee)/m)</f>
        <v>-3.73965418830564</v>
      </c>
    </row>
    <row r="446" customFormat="false" ht="12" hidden="false" customHeight="false" outlineLevel="0" collapsed="false">
      <c r="A446" s="417" t="n">
        <f aca="false">IF(B445+0.01&lt;=T_ini+ROUNDUP(Temps_fin_propu,0), 0.01, IF(K445&gt;0, 0.1, 0.0001))</f>
        <v>0.0001</v>
      </c>
      <c r="B446" s="418" t="n">
        <f aca="false">B445+pas</f>
        <v>16.5096999999999</v>
      </c>
      <c r="C446" s="402"/>
      <c r="D446" s="419" t="n">
        <f aca="false">IF(AND(L445&lt;L_rampe,Poussee&lt;Poids*SIN(M445)),0,(-W445+Poussee)/m*COS(M445)-U445/m*SIN(M445))</f>
        <v>-0.536448854908914</v>
      </c>
      <c r="E446" s="420" t="n">
        <f aca="false">IF(AND(L445&lt;L_rampe,Poussee&lt;Poids*SIN(M445)),0,(-W445+Poussee)/m*SIN(M445)+U445/m*COS(M445)-Poids/m)</f>
        <v>-6.10895666700526</v>
      </c>
      <c r="F446" s="418" t="n">
        <f aca="false">SQRT(acc_x^2+acc_z^2)</f>
        <v>6.13246515956521</v>
      </c>
      <c r="G446" s="419" t="n">
        <f aca="false">G445+acc_x*pas</f>
        <v>10.2820319889629</v>
      </c>
      <c r="H446" s="420" t="n">
        <f aca="false">H445+acc_z*pas</f>
        <v>-70.9383044636716</v>
      </c>
      <c r="I446" s="418" t="n">
        <f aca="false">SQRT(vit_x^2+vit_z^2)</f>
        <v>71.6795872058609</v>
      </c>
      <c r="J446" s="419" t="n">
        <f aca="false">J445+0.5*(vit_x+G445)*pas*(K445&gt;=0)</f>
        <v>211.791153319536</v>
      </c>
      <c r="K446" s="420" t="n">
        <f aca="false">K445+0.5*(vit_z+H445)*pas</f>
        <v>-5.12067608252672</v>
      </c>
      <c r="L446" s="418" t="n">
        <f aca="false">SQRT(pos_x^2+pos_z^2)</f>
        <v>211.853048002528</v>
      </c>
      <c r="M446" s="419" t="n">
        <f aca="false">IF(AND(L445&gt;L_rampe,G446&gt;0),ATAN2(G446,H446),$M$4)</f>
        <v>-1.42685543736187</v>
      </c>
      <c r="N446" s="418" t="n">
        <f aca="false">DEGREES(Beta)</f>
        <v>-81.7527945361284</v>
      </c>
      <c r="O446" s="402"/>
      <c r="P446" s="421" t="n">
        <f aca="false">MATCH(t-pas/2-T_ini,CdP_t)</f>
        <v>23</v>
      </c>
      <c r="Q446" s="418" t="n">
        <f aca="false">(INDEX(CdP,2,i_P+1)-INDEX(CdP,2,i_P+0))/(INDEX(CdP,1,i_P+1)-INDEX(CdP,1,i_P+0))*(t-pas/2-T_ini-INDEX(CdP,1,i_P+0))+INDEX(CdP,2,i_P+0)</f>
        <v>0</v>
      </c>
      <c r="R446" s="419" t="n">
        <f aca="false">Poussee/(g*ISP)</f>
        <v>0</v>
      </c>
      <c r="S446" s="420" t="n">
        <f aca="false">S445-Débit*pas</f>
        <v>1.4843</v>
      </c>
      <c r="T446" s="418" t="n">
        <f aca="false">m*g</f>
        <v>14.560983</v>
      </c>
      <c r="U446" s="422" t="n">
        <f aca="false">IF(pos_xz&lt;L_rampe,Poids*COS(Beta),0)</f>
        <v>0</v>
      </c>
      <c r="V446" s="419" t="n">
        <f aca="false">Rho_moyen*(20000-Alt_rampe-pos_z)/(20000+Alt_rampe+pos_z)</f>
        <v>1.22562744346685</v>
      </c>
      <c r="W446" s="418" t="n">
        <f aca="false">1/2*Rho*Sref*Cx*vit_xz^2</f>
        <v>5.55096147986899</v>
      </c>
      <c r="X446" s="402"/>
      <c r="Y446" s="423" t="str">
        <f aca="false">IF(AND(pos_z&lt;=0,K445&gt;0),"Impact balistique","") &amp; IF(AND(H447&lt;0,vit_z&gt;=0),"Apogée","") &amp; IF(AND(Poussee=0,Q445&gt;0),"Fin de propulsion","") &amp; IF(AND(L447&gt;L_rampe,pos_xz&lt;=L_rampe),"Sortie de rampe","")</f>
        <v/>
      </c>
      <c r="Z446" s="424" t="str">
        <f aca="false">IF(ABS(t-T_para)&lt;pas/2,"Para","")</f>
        <v/>
      </c>
      <c r="AA446" s="425" t="str">
        <f aca="false">IF(ABS(t-T_satellite)&lt;pas/2,"Satellite","")</f>
        <v/>
      </c>
      <c r="AB446" s="413"/>
      <c r="AC446" s="421" t="e">
        <f aca="false">IF(ABS(t-ROUND(t,0))&lt;0.001,t,NA())</f>
        <v>#N/A</v>
      </c>
      <c r="AD446" s="426" t="e">
        <f aca="false">IF(ABS(t-ROUND(t,0))&lt;0.001,pos_x,NA())</f>
        <v>#N/A</v>
      </c>
      <c r="AE446" s="427" t="e">
        <f aca="false">IF(t&lt;T_para, pos_z, NA())</f>
        <v>#N/A</v>
      </c>
      <c r="AF446" s="413"/>
      <c r="AG446" s="419" t="n">
        <f aca="false">IF(AND(L445&lt;L_rampe,Poussee&lt;Poids*SIN(M445)),0,(-W445+Poussee)/m-Poids*SIN(M445)/m)</f>
        <v>5.96882686365611</v>
      </c>
      <c r="AH446" s="418" t="n">
        <f aca="false">IF(AND(L445&lt;L_rampe,Poussee&lt;Poids*SIN(M445)), g*SIN(M445), (-W445+Poussee)/m)</f>
        <v>-3.73971912403029</v>
      </c>
    </row>
    <row r="447" customFormat="false" ht="12" hidden="false" customHeight="false" outlineLevel="0" collapsed="false">
      <c r="A447" s="417" t="n">
        <f aca="false">IF(B446+0.01&lt;=T_ini+ROUNDUP(Temps_fin_propu,0), 0.01, IF(K446&gt;0, 0.1, 0.0001))</f>
        <v>0.0001</v>
      </c>
      <c r="B447" s="418" t="n">
        <f aca="false">B446+pas</f>
        <v>16.5097999999999</v>
      </c>
      <c r="C447" s="402"/>
      <c r="D447" s="419" t="n">
        <f aca="false">IF(AND(L446&lt;L_rampe,Poussee&lt;Poids*SIN(M446)),0,(-W446+Poussee)/m*COS(M446)-U446/m*SIN(M446))</f>
        <v>-0.536450903708536</v>
      </c>
      <c r="E447" s="420" t="n">
        <f aca="false">IF(AND(L446&lt;L_rampe,Poussee&lt;Poids*SIN(M446)),0,(-W446+Poussee)/m*SIN(M446)+U446/m*COS(M446)-Poids/m)</f>
        <v>-6.10889134969262</v>
      </c>
      <c r="F447" s="418" t="n">
        <f aca="false">SQRT(acc_x^2+acc_z^2)</f>
        <v>6.13240027187063</v>
      </c>
      <c r="G447" s="419" t="n">
        <f aca="false">G446+acc_x*pas</f>
        <v>10.2819783438725</v>
      </c>
      <c r="H447" s="420" t="n">
        <f aca="false">H446+acc_z*pas</f>
        <v>-70.9389153528066</v>
      </c>
      <c r="I447" s="418" t="n">
        <f aca="false">SQRT(vit_x^2+vit_z^2)</f>
        <v>71.6801840824681</v>
      </c>
      <c r="J447" s="419" t="n">
        <f aca="false">J446+0.5*(vit_x+G446)*pas*(K446&gt;=0)</f>
        <v>211.791153319536</v>
      </c>
      <c r="K447" s="420" t="n">
        <f aca="false">K446+0.5*(vit_z+H446)*pas</f>
        <v>-5.12776994351754</v>
      </c>
      <c r="L447" s="418" t="n">
        <f aca="false">SQRT(pos_x^2+pos_z^2)</f>
        <v>211.853219586139</v>
      </c>
      <c r="M447" s="419" t="n">
        <f aca="false">IF(AND(L446&gt;L_rampe,G447&gt;0),ATAN2(G447,H447),$M$4)</f>
        <v>-1.42685740051127</v>
      </c>
      <c r="N447" s="418" t="n">
        <f aca="false">DEGREES(Beta)</f>
        <v>-81.7529070163033</v>
      </c>
      <c r="O447" s="402"/>
      <c r="P447" s="421" t="n">
        <f aca="false">MATCH(t-pas/2-T_ini,CdP_t)</f>
        <v>23</v>
      </c>
      <c r="Q447" s="418" t="n">
        <f aca="false">(INDEX(CdP,2,i_P+1)-INDEX(CdP,2,i_P+0))/(INDEX(CdP,1,i_P+1)-INDEX(CdP,1,i_P+0))*(t-pas/2-T_ini-INDEX(CdP,1,i_P+0))+INDEX(CdP,2,i_P+0)</f>
        <v>0</v>
      </c>
      <c r="R447" s="419" t="n">
        <f aca="false">Poussee/(g*ISP)</f>
        <v>0</v>
      </c>
      <c r="S447" s="420" t="n">
        <f aca="false">S446-Débit*pas</f>
        <v>1.4843</v>
      </c>
      <c r="T447" s="418" t="n">
        <f aca="false">m*g</f>
        <v>14.560983</v>
      </c>
      <c r="U447" s="422" t="n">
        <f aca="false">IF(pos_xz&lt;L_rampe,Poids*COS(Beta),0)</f>
        <v>0</v>
      </c>
      <c r="V447" s="419" t="n">
        <f aca="false">Rho_moyen*(20000-Alt_rampe-pos_z)/(20000+Alt_rampe+pos_z)</f>
        <v>1.22562831291028</v>
      </c>
      <c r="W447" s="418" t="n">
        <f aca="false">1/2*Rho*Sref*Cx*vit_xz^2</f>
        <v>5.55105786391454</v>
      </c>
      <c r="X447" s="402"/>
      <c r="Y447" s="423" t="str">
        <f aca="false">IF(AND(pos_z&lt;=0,K446&gt;0),"Impact balistique","") &amp; IF(AND(H448&lt;0,vit_z&gt;=0),"Apogée","") &amp; IF(AND(Poussee=0,Q446&gt;0),"Fin de propulsion","") &amp; IF(AND(L448&gt;L_rampe,pos_xz&lt;=L_rampe),"Sortie de rampe","")</f>
        <v/>
      </c>
      <c r="Z447" s="424" t="str">
        <f aca="false">IF(ABS(t-T_para)&lt;pas/2,"Para","")</f>
        <v/>
      </c>
      <c r="AA447" s="425" t="str">
        <f aca="false">IF(ABS(t-T_satellite)&lt;pas/2,"Satellite","")</f>
        <v/>
      </c>
      <c r="AB447" s="413"/>
      <c r="AC447" s="421" t="e">
        <f aca="false">IF(ABS(t-ROUND(t,0))&lt;0.001,t,NA())</f>
        <v>#N/A</v>
      </c>
      <c r="AD447" s="426" t="e">
        <f aca="false">IF(ABS(t-ROUND(t,0))&lt;0.001,pos_x,NA())</f>
        <v>#N/A</v>
      </c>
      <c r="AE447" s="427" t="e">
        <f aca="false">IF(t&lt;T_para, pos_z, NA())</f>
        <v>#N/A</v>
      </c>
      <c r="AF447" s="413"/>
      <c r="AG447" s="419" t="n">
        <f aca="false">IF(AND(L446&lt;L_rampe,Poussee&lt;Poids*SIN(M446)),0,(-W446+Poussee)/m-Poids*SIN(M446)/m)</f>
        <v>5.96876469055004</v>
      </c>
      <c r="AH447" s="418" t="n">
        <f aca="false">IF(AND(L446&lt;L_rampe,Poussee&lt;Poids*SIN(M446)), g*SIN(M446), (-W446+Poussee)/m)</f>
        <v>-3.73978405973792</v>
      </c>
    </row>
    <row r="448" customFormat="false" ht="12" hidden="false" customHeight="false" outlineLevel="0" collapsed="false">
      <c r="A448" s="417" t="n">
        <f aca="false">IF(B447+0.01&lt;=T_ini+ROUNDUP(Temps_fin_propu,0), 0.01, IF(K447&gt;0, 0.1, 0.0001))</f>
        <v>0.0001</v>
      </c>
      <c r="B448" s="418" t="n">
        <f aca="false">B447+pas</f>
        <v>16.5098999999999</v>
      </c>
      <c r="C448" s="402"/>
      <c r="D448" s="419" t="n">
        <f aca="false">IF(AND(L447&lt;L_rampe,Poussee&lt;Poids*SIN(M447)),0,(-W447+Poussee)/m*COS(M447)-U447/m*SIN(M447))</f>
        <v>-0.53645295241024</v>
      </c>
      <c r="E448" s="420" t="n">
        <f aca="false">IF(AND(L447&lt;L_rampe,Poussee&lt;Poids*SIN(M447)),0,(-W447+Poussee)/m*SIN(M447)+U447/m*COS(M447)-Poids/m)</f>
        <v>-6.10882603239756</v>
      </c>
      <c r="F448" s="418" t="n">
        <f aca="false">SQRT(acc_x^2+acc_z^2)</f>
        <v>6.13233538419481</v>
      </c>
      <c r="G448" s="419" t="n">
        <f aca="false">G447+acc_x*pas</f>
        <v>10.2819246985773</v>
      </c>
      <c r="H448" s="420" t="n">
        <f aca="false">H447+acc_z*pas</f>
        <v>-70.9395262354098</v>
      </c>
      <c r="I448" s="418" t="n">
        <f aca="false">SQRT(vit_x^2+vit_z^2)</f>
        <v>71.680780952858</v>
      </c>
      <c r="J448" s="419" t="n">
        <f aca="false">J447+0.5*(vit_x+G447)*pas*(K447&gt;=0)</f>
        <v>211.791153319536</v>
      </c>
      <c r="K448" s="420" t="n">
        <f aca="false">K447+0.5*(vit_z+H447)*pas</f>
        <v>-5.13486386559695</v>
      </c>
      <c r="L448" s="418" t="n">
        <f aca="false">SQRT(pos_x^2+pos_z^2)</f>
        <v>211.853391408628</v>
      </c>
      <c r="M448" s="419" t="n">
        <f aca="false">IF(AND(L447&gt;L_rampe,G448&gt;0),ATAN2(G448,H448),$M$4)</f>
        <v>-1.42685936361773</v>
      </c>
      <c r="N448" s="418" t="n">
        <f aca="false">DEGREES(Beta)</f>
        <v>-81.7530194940181</v>
      </c>
      <c r="O448" s="402"/>
      <c r="P448" s="421" t="n">
        <f aca="false">MATCH(t-pas/2-T_ini,CdP_t)</f>
        <v>23</v>
      </c>
      <c r="Q448" s="418" t="n">
        <f aca="false">(INDEX(CdP,2,i_P+1)-INDEX(CdP,2,i_P+0))/(INDEX(CdP,1,i_P+1)-INDEX(CdP,1,i_P+0))*(t-pas/2-T_ini-INDEX(CdP,1,i_P+0))+INDEX(CdP,2,i_P+0)</f>
        <v>0</v>
      </c>
      <c r="R448" s="419" t="n">
        <f aca="false">Poussee/(g*ISP)</f>
        <v>0</v>
      </c>
      <c r="S448" s="420" t="n">
        <f aca="false">S447-Débit*pas</f>
        <v>1.4843</v>
      </c>
      <c r="T448" s="418" t="n">
        <f aca="false">m*g</f>
        <v>14.560983</v>
      </c>
      <c r="U448" s="422" t="n">
        <f aca="false">IF(pos_xz&lt;L_rampe,Poids*COS(Beta),0)</f>
        <v>0</v>
      </c>
      <c r="V448" s="419" t="n">
        <f aca="false">Rho_moyen*(20000-Alt_rampe-pos_z)/(20000+Alt_rampe+pos_z)</f>
        <v>1.22562918236182</v>
      </c>
      <c r="W448" s="418" t="n">
        <f aca="false">1/2*Rho*Sref*Cx*vit_xz^2</f>
        <v>5.55115424793478</v>
      </c>
      <c r="X448" s="402"/>
      <c r="Y448" s="423" t="str">
        <f aca="false">IF(AND(pos_z&lt;=0,K447&gt;0),"Impact balistique","") &amp; IF(AND(H449&lt;0,vit_z&gt;=0),"Apogée","") &amp; IF(AND(Poussee=0,Q447&gt;0),"Fin de propulsion","") &amp; IF(AND(L449&gt;L_rampe,pos_xz&lt;=L_rampe),"Sortie de rampe","")</f>
        <v/>
      </c>
      <c r="Z448" s="424" t="str">
        <f aca="false">IF(ABS(t-T_para)&lt;pas/2,"Para","")</f>
        <v/>
      </c>
      <c r="AA448" s="425" t="str">
        <f aca="false">IF(ABS(t-T_satellite)&lt;pas/2,"Satellite","")</f>
        <v/>
      </c>
      <c r="AB448" s="413"/>
      <c r="AC448" s="421" t="e">
        <f aca="false">IF(ABS(t-ROUND(t,0))&lt;0.001,t,NA())</f>
        <v>#N/A</v>
      </c>
      <c r="AD448" s="426" t="e">
        <f aca="false">IF(ABS(t-ROUND(t,0))&lt;0.001,pos_x,NA())</f>
        <v>#N/A</v>
      </c>
      <c r="AE448" s="427" t="e">
        <f aca="false">IF(t&lt;T_para, pos_z, NA())</f>
        <v>#N/A</v>
      </c>
      <c r="AF448" s="413"/>
      <c r="AG448" s="419" t="n">
        <f aca="false">IF(AND(L447&lt;L_rampe,Poussee&lt;Poids*SIN(M447)),0,(-W447+Poussee)/m-Poids*SIN(M447)/m)</f>
        <v>5.96870251736317</v>
      </c>
      <c r="AH448" s="418" t="n">
        <f aca="false">IF(AND(L447&lt;L_rampe,Poussee&lt;Poids*SIN(M447)), g*SIN(M447), (-W447+Poussee)/m)</f>
        <v>-3.73984899542852</v>
      </c>
    </row>
    <row r="449" customFormat="false" ht="12" hidden="false" customHeight="false" outlineLevel="0" collapsed="false">
      <c r="A449" s="417" t="n">
        <f aca="false">IF(B448+0.01&lt;=T_ini+ROUNDUP(Temps_fin_propu,0), 0.01, IF(K448&gt;0, 0.1, 0.0001))</f>
        <v>0.0001</v>
      </c>
      <c r="B449" s="418" t="n">
        <f aca="false">B448+pas</f>
        <v>16.5099999999999</v>
      </c>
      <c r="C449" s="402"/>
      <c r="D449" s="419" t="n">
        <f aca="false">IF(AND(L448&lt;L_rampe,Poussee&lt;Poids*SIN(M448)),0,(-W448+Poussee)/m*COS(M448)-U448/m*SIN(M448))</f>
        <v>-0.536455001014026</v>
      </c>
      <c r="E449" s="420" t="n">
        <f aca="false">IF(AND(L448&lt;L_rampe,Poussee&lt;Poids*SIN(M448)),0,(-W448+Poussee)/m*SIN(M448)+U448/m*COS(M448)-Poids/m)</f>
        <v>-6.1087607151201</v>
      </c>
      <c r="F449" s="418" t="n">
        <f aca="false">SQRT(acc_x^2+acc_z^2)</f>
        <v>6.13227049653777</v>
      </c>
      <c r="G449" s="419" t="n">
        <f aca="false">G448+acc_x*pas</f>
        <v>10.2818710530772</v>
      </c>
      <c r="H449" s="420" t="n">
        <f aca="false">H448+acc_z*pas</f>
        <v>-70.9401371114813</v>
      </c>
      <c r="I449" s="418" t="n">
        <f aca="false">SQRT(vit_x^2+vit_z^2)</f>
        <v>71.6813778170305</v>
      </c>
      <c r="J449" s="419" t="n">
        <f aca="false">J448+0.5*(vit_x+G448)*pas*(K448&gt;=0)</f>
        <v>211.791153319536</v>
      </c>
      <c r="K449" s="420" t="n">
        <f aca="false">K448+0.5*(vit_z+H448)*pas</f>
        <v>-5.1419578487643</v>
      </c>
      <c r="L449" s="418" t="n">
        <f aca="false">SQRT(pos_x^2+pos_z^2)</f>
        <v>211.853563470001</v>
      </c>
      <c r="M449" s="419" t="n">
        <f aca="false">IF(AND(L448&gt;L_rampe,G449&gt;0),ATAN2(G449,H449),$M$4)</f>
        <v>-1.42686132668125</v>
      </c>
      <c r="N449" s="418" t="n">
        <f aca="false">DEGREES(Beta)</f>
        <v>-81.753131969273</v>
      </c>
      <c r="O449" s="402"/>
      <c r="P449" s="421" t="n">
        <f aca="false">MATCH(t-pas/2-T_ini,CdP_t)</f>
        <v>23</v>
      </c>
      <c r="Q449" s="418" t="n">
        <f aca="false">(INDEX(CdP,2,i_P+1)-INDEX(CdP,2,i_P+0))/(INDEX(CdP,1,i_P+1)-INDEX(CdP,1,i_P+0))*(t-pas/2-T_ini-INDEX(CdP,1,i_P+0))+INDEX(CdP,2,i_P+0)</f>
        <v>0</v>
      </c>
      <c r="R449" s="419" t="n">
        <f aca="false">Poussee/(g*ISP)</f>
        <v>0</v>
      </c>
      <c r="S449" s="420" t="n">
        <f aca="false">S448-Débit*pas</f>
        <v>1.4843</v>
      </c>
      <c r="T449" s="418" t="n">
        <f aca="false">m*g</f>
        <v>14.560983</v>
      </c>
      <c r="U449" s="422" t="n">
        <f aca="false">IF(pos_xz&lt;L_rampe,Poids*COS(Beta),0)</f>
        <v>0</v>
      </c>
      <c r="V449" s="419" t="n">
        <f aca="false">Rho_moyen*(20000-Alt_rampe-pos_z)/(20000+Alt_rampe+pos_z)</f>
        <v>1.22563005182147</v>
      </c>
      <c r="W449" s="418" t="n">
        <f aca="false">1/2*Rho*Sref*Cx*vit_xz^2</f>
        <v>5.55125063192969</v>
      </c>
      <c r="X449" s="402"/>
      <c r="Y449" s="423" t="str">
        <f aca="false">IF(AND(pos_z&lt;=0,K448&gt;0),"Impact balistique","") &amp; IF(AND(H450&lt;0,vit_z&gt;=0),"Apogée","") &amp; IF(AND(Poussee=0,Q448&gt;0),"Fin de propulsion","") &amp; IF(AND(L450&gt;L_rampe,pos_xz&lt;=L_rampe),"Sortie de rampe","")</f>
        <v/>
      </c>
      <c r="Z449" s="424" t="str">
        <f aca="false">IF(ABS(t-T_para)&lt;pas/2,"Para","")</f>
        <v/>
      </c>
      <c r="AA449" s="425" t="str">
        <f aca="false">IF(ABS(t-T_satellite)&lt;pas/2,"Satellite","")</f>
        <v/>
      </c>
      <c r="AB449" s="413"/>
      <c r="AC449" s="421" t="e">
        <f aca="false">IF(ABS(t-ROUND(t,0))&lt;0.001,t,NA())</f>
        <v>#N/A</v>
      </c>
      <c r="AD449" s="426" t="e">
        <f aca="false">IF(ABS(t-ROUND(t,0))&lt;0.001,pos_x,NA())</f>
        <v>#N/A</v>
      </c>
      <c r="AE449" s="427" t="e">
        <f aca="false">IF(t&lt;T_para, pos_z, NA())</f>
        <v>#N/A</v>
      </c>
      <c r="AF449" s="413"/>
      <c r="AG449" s="419" t="n">
        <f aca="false">IF(AND(L448&lt;L_rampe,Poussee&lt;Poids*SIN(M448)),0,(-W448+Poussee)/m-Poids*SIN(M448)/m)</f>
        <v>5.96864034409551</v>
      </c>
      <c r="AH449" s="418" t="n">
        <f aca="false">IF(AND(L448&lt;L_rampe,Poussee&lt;Poids*SIN(M448)), g*SIN(M448), (-W448+Poussee)/m)</f>
        <v>-3.73991393110206</v>
      </c>
    </row>
    <row r="450" customFormat="false" ht="12" hidden="false" customHeight="false" outlineLevel="0" collapsed="false">
      <c r="A450" s="417" t="n">
        <f aca="false">IF(B449+0.01&lt;=T_ini+ROUNDUP(Temps_fin_propu,0), 0.01, IF(K449&gt;0, 0.1, 0.0001))</f>
        <v>0.0001</v>
      </c>
      <c r="B450" s="418" t="n">
        <f aca="false">B449+pas</f>
        <v>16.5100999999999</v>
      </c>
      <c r="C450" s="402"/>
      <c r="D450" s="419" t="n">
        <f aca="false">IF(AND(L449&lt;L_rampe,Poussee&lt;Poids*SIN(M449)),0,(-W449+Poussee)/m*COS(M449)-U449/m*SIN(M449))</f>
        <v>-0.536457049519896</v>
      </c>
      <c r="E450" s="420" t="n">
        <f aca="false">IF(AND(L449&lt;L_rampe,Poussee&lt;Poids*SIN(M449)),0,(-W449+Poussee)/m*SIN(M449)+U449/m*COS(M449)-Poids/m)</f>
        <v>-6.10869539786025</v>
      </c>
      <c r="F450" s="418" t="n">
        <f aca="false">SQRT(acc_x^2+acc_z^2)</f>
        <v>6.13220560889951</v>
      </c>
      <c r="G450" s="419" t="n">
        <f aca="false">G449+acc_x*pas</f>
        <v>10.2818174073723</v>
      </c>
      <c r="H450" s="420" t="n">
        <f aca="false">H449+acc_z*pas</f>
        <v>-70.9407479810211</v>
      </c>
      <c r="I450" s="418" t="n">
        <f aca="false">SQRT(vit_x^2+vit_z^2)</f>
        <v>71.6819746749857</v>
      </c>
      <c r="J450" s="419" t="n">
        <f aca="false">J449+0.5*(vit_x+G449)*pas*(K449&gt;=0)</f>
        <v>211.791153319536</v>
      </c>
      <c r="K450" s="420" t="n">
        <f aca="false">K449+0.5*(vit_z+H449)*pas</f>
        <v>-5.14905189301892</v>
      </c>
      <c r="L450" s="418" t="n">
        <f aca="false">SQRT(pos_x^2+pos_z^2)</f>
        <v>211.853735770263</v>
      </c>
      <c r="M450" s="419" t="n">
        <f aca="false">IF(AND(L449&gt;L_rampe,G450&gt;0),ATAN2(G450,H450),$M$4)</f>
        <v>-1.42686328970184</v>
      </c>
      <c r="N450" s="418" t="n">
        <f aca="false">DEGREES(Beta)</f>
        <v>-81.753244442068</v>
      </c>
      <c r="O450" s="402"/>
      <c r="P450" s="421" t="n">
        <f aca="false">MATCH(t-pas/2-T_ini,CdP_t)</f>
        <v>23</v>
      </c>
      <c r="Q450" s="418" t="n">
        <f aca="false">(INDEX(CdP,2,i_P+1)-INDEX(CdP,2,i_P+0))/(INDEX(CdP,1,i_P+1)-INDEX(CdP,1,i_P+0))*(t-pas/2-T_ini-INDEX(CdP,1,i_P+0))+INDEX(CdP,2,i_P+0)</f>
        <v>0</v>
      </c>
      <c r="R450" s="419" t="n">
        <f aca="false">Poussee/(g*ISP)</f>
        <v>0</v>
      </c>
      <c r="S450" s="420" t="n">
        <f aca="false">S449-Débit*pas</f>
        <v>1.4843</v>
      </c>
      <c r="T450" s="418" t="n">
        <f aca="false">m*g</f>
        <v>14.560983</v>
      </c>
      <c r="U450" s="422" t="n">
        <f aca="false">IF(pos_xz&lt;L_rampe,Poids*COS(Beta),0)</f>
        <v>0</v>
      </c>
      <c r="V450" s="419" t="n">
        <f aca="false">Rho_moyen*(20000-Alt_rampe-pos_z)/(20000+Alt_rampe+pos_z)</f>
        <v>1.22563092128922</v>
      </c>
      <c r="W450" s="418" t="n">
        <f aca="false">1/2*Rho*Sref*Cx*vit_xz^2</f>
        <v>5.55134701589924</v>
      </c>
      <c r="X450" s="402"/>
      <c r="Y450" s="423" t="str">
        <f aca="false">IF(AND(pos_z&lt;=0,K449&gt;0),"Impact balistique","") &amp; IF(AND(H451&lt;0,vit_z&gt;=0),"Apogée","") &amp; IF(AND(Poussee=0,Q449&gt;0),"Fin de propulsion","") &amp; IF(AND(L451&gt;L_rampe,pos_xz&lt;=L_rampe),"Sortie de rampe","")</f>
        <v/>
      </c>
      <c r="Z450" s="424" t="str">
        <f aca="false">IF(ABS(t-T_para)&lt;pas/2,"Para","")</f>
        <v/>
      </c>
      <c r="AA450" s="425" t="str">
        <f aca="false">IF(ABS(t-T_satellite)&lt;pas/2,"Satellite","")</f>
        <v/>
      </c>
      <c r="AB450" s="413"/>
      <c r="AC450" s="421" t="e">
        <f aca="false">IF(ABS(t-ROUND(t,0))&lt;0.001,t,NA())</f>
        <v>#N/A</v>
      </c>
      <c r="AD450" s="426" t="e">
        <f aca="false">IF(ABS(t-ROUND(t,0))&lt;0.001,pos_x,NA())</f>
        <v>#N/A</v>
      </c>
      <c r="AE450" s="427" t="e">
        <f aca="false">IF(t&lt;T_para, pos_z, NA())</f>
        <v>#N/A</v>
      </c>
      <c r="AF450" s="413"/>
      <c r="AG450" s="419" t="n">
        <f aca="false">IF(AND(L449&lt;L_rampe,Poussee&lt;Poids*SIN(M449)),0,(-W449+Poussee)/m-Poids*SIN(M449)/m)</f>
        <v>5.9685781707471</v>
      </c>
      <c r="AH450" s="418" t="n">
        <f aca="false">IF(AND(L449&lt;L_rampe,Poussee&lt;Poids*SIN(M449)), g*SIN(M449), (-W449+Poussee)/m)</f>
        <v>-3.73997886675854</v>
      </c>
    </row>
    <row r="451" customFormat="false" ht="12" hidden="false" customHeight="false" outlineLevel="0" collapsed="false">
      <c r="A451" s="417" t="n">
        <f aca="false">IF(B450+0.01&lt;=T_ini+ROUNDUP(Temps_fin_propu,0), 0.01, IF(K450&gt;0, 0.1, 0.0001))</f>
        <v>0.0001</v>
      </c>
      <c r="B451" s="418" t="n">
        <f aca="false">B450+pas</f>
        <v>16.5101999999999</v>
      </c>
      <c r="C451" s="402"/>
      <c r="D451" s="419" t="n">
        <f aca="false">IF(AND(L450&lt;L_rampe,Poussee&lt;Poids*SIN(M450)),0,(-W450+Poussee)/m*COS(M450)-U450/m*SIN(M450))</f>
        <v>-0.536459097927849</v>
      </c>
      <c r="E451" s="420" t="n">
        <f aca="false">IF(AND(L450&lt;L_rampe,Poussee&lt;Poids*SIN(M450)),0,(-W450+Poussee)/m*SIN(M450)+U450/m*COS(M450)-Poids/m)</f>
        <v>-6.10863008061804</v>
      </c>
      <c r="F451" s="418" t="n">
        <f aca="false">SQRT(acc_x^2+acc_z^2)</f>
        <v>6.13214072128006</v>
      </c>
      <c r="G451" s="419" t="n">
        <f aca="false">G450+acc_x*pas</f>
        <v>10.2817637614625</v>
      </c>
      <c r="H451" s="420" t="n">
        <f aca="false">H450+acc_z*pas</f>
        <v>-70.9413588440291</v>
      </c>
      <c r="I451" s="418" t="n">
        <f aca="false">SQRT(vit_x^2+vit_z^2)</f>
        <v>71.6825715267235</v>
      </c>
      <c r="J451" s="419" t="n">
        <f aca="false">J450+0.5*(vit_x+G450)*pas*(K450&gt;=0)</f>
        <v>211.791153319536</v>
      </c>
      <c r="K451" s="420" t="n">
        <f aca="false">K450+0.5*(vit_z+H450)*pas</f>
        <v>-5.15614599836018</v>
      </c>
      <c r="L451" s="418" t="n">
        <f aca="false">SQRT(pos_x^2+pos_z^2)</f>
        <v>211.853908309419</v>
      </c>
      <c r="M451" s="419" t="n">
        <f aca="false">IF(AND(L450&gt;L_rampe,G451&gt;0),ATAN2(G451,H451),$M$4)</f>
        <v>-1.4268652526795</v>
      </c>
      <c r="N451" s="418" t="n">
        <f aca="false">DEGREES(Beta)</f>
        <v>-81.7533569124032</v>
      </c>
      <c r="O451" s="402"/>
      <c r="P451" s="421" t="n">
        <f aca="false">MATCH(t-pas/2-T_ini,CdP_t)</f>
        <v>23</v>
      </c>
      <c r="Q451" s="418" t="n">
        <f aca="false">(INDEX(CdP,2,i_P+1)-INDEX(CdP,2,i_P+0))/(INDEX(CdP,1,i_P+1)-INDEX(CdP,1,i_P+0))*(t-pas/2-T_ini-INDEX(CdP,1,i_P+0))+INDEX(CdP,2,i_P+0)</f>
        <v>0</v>
      </c>
      <c r="R451" s="419" t="n">
        <f aca="false">Poussee/(g*ISP)</f>
        <v>0</v>
      </c>
      <c r="S451" s="420" t="n">
        <f aca="false">S450-Débit*pas</f>
        <v>1.4843</v>
      </c>
      <c r="T451" s="418" t="n">
        <f aca="false">m*g</f>
        <v>14.560983</v>
      </c>
      <c r="U451" s="422" t="n">
        <f aca="false">IF(pos_xz&lt;L_rampe,Poids*COS(Beta),0)</f>
        <v>0</v>
      </c>
      <c r="V451" s="419" t="n">
        <f aca="false">Rho_moyen*(20000-Alt_rampe-pos_z)/(20000+Alt_rampe+pos_z)</f>
        <v>1.22563179076507</v>
      </c>
      <c r="W451" s="418" t="n">
        <f aca="false">1/2*Rho*Sref*Cx*vit_xz^2</f>
        <v>5.55144339984341</v>
      </c>
      <c r="X451" s="402"/>
      <c r="Y451" s="423" t="str">
        <f aca="false">IF(AND(pos_z&lt;=0,K450&gt;0),"Impact balistique","") &amp; IF(AND(H452&lt;0,vit_z&gt;=0),"Apogée","") &amp; IF(AND(Poussee=0,Q450&gt;0),"Fin de propulsion","") &amp; IF(AND(L452&gt;L_rampe,pos_xz&lt;=L_rampe),"Sortie de rampe","")</f>
        <v/>
      </c>
      <c r="Z451" s="424" t="str">
        <f aca="false">IF(ABS(t-T_para)&lt;pas/2,"Para","")</f>
        <v/>
      </c>
      <c r="AA451" s="425" t="str">
        <f aca="false">IF(ABS(t-T_satellite)&lt;pas/2,"Satellite","")</f>
        <v/>
      </c>
      <c r="AB451" s="413"/>
      <c r="AC451" s="421" t="e">
        <f aca="false">IF(ABS(t-ROUND(t,0))&lt;0.001,t,NA())</f>
        <v>#N/A</v>
      </c>
      <c r="AD451" s="426" t="e">
        <f aca="false">IF(ABS(t-ROUND(t,0))&lt;0.001,pos_x,NA())</f>
        <v>#N/A</v>
      </c>
      <c r="AE451" s="427" t="e">
        <f aca="false">IF(t&lt;T_para, pos_z, NA())</f>
        <v>#N/A</v>
      </c>
      <c r="AF451" s="413"/>
      <c r="AG451" s="419" t="n">
        <f aca="false">IF(AND(L450&lt;L_rampe,Poussee&lt;Poids*SIN(M450)),0,(-W450+Poussee)/m-Poids*SIN(M450)/m)</f>
        <v>5.96851599731794</v>
      </c>
      <c r="AH451" s="418" t="n">
        <f aca="false">IF(AND(L450&lt;L_rampe,Poussee&lt;Poids*SIN(M450)), g*SIN(M450), (-W450+Poussee)/m)</f>
        <v>-3.74004380239793</v>
      </c>
    </row>
    <row r="452" customFormat="false" ht="12" hidden="false" customHeight="false" outlineLevel="0" collapsed="false">
      <c r="A452" s="417" t="n">
        <f aca="false">IF(B451+0.01&lt;=T_ini+ROUNDUP(Temps_fin_propu,0), 0.01, IF(K451&gt;0, 0.1, 0.0001))</f>
        <v>0.0001</v>
      </c>
      <c r="B452" s="418" t="n">
        <f aca="false">B451+pas</f>
        <v>16.5102999999999</v>
      </c>
      <c r="C452" s="402"/>
      <c r="D452" s="419" t="n">
        <f aca="false">IF(AND(L451&lt;L_rampe,Poussee&lt;Poids*SIN(M451)),0,(-W451+Poussee)/m*COS(M451)-U451/m*SIN(M451))</f>
        <v>-0.536461146237887</v>
      </c>
      <c r="E452" s="420" t="n">
        <f aca="false">IF(AND(L451&lt;L_rampe,Poussee&lt;Poids*SIN(M451)),0,(-W451+Poussee)/m*SIN(M451)+U451/m*COS(M451)-Poids/m)</f>
        <v>-6.10856476339348</v>
      </c>
      <c r="F452" s="418" t="n">
        <f aca="false">SQRT(acc_x^2+acc_z^2)</f>
        <v>6.13207583367944</v>
      </c>
      <c r="G452" s="419" t="n">
        <f aca="false">G451+acc_x*pas</f>
        <v>10.2817101153478</v>
      </c>
      <c r="H452" s="420" t="n">
        <f aca="false">H451+acc_z*pas</f>
        <v>-70.9419697005055</v>
      </c>
      <c r="I452" s="418" t="n">
        <f aca="false">SQRT(vit_x^2+vit_z^2)</f>
        <v>71.683168372244</v>
      </c>
      <c r="J452" s="419" t="n">
        <f aca="false">J451+0.5*(vit_x+G451)*pas*(K451&gt;=0)</f>
        <v>211.791153319536</v>
      </c>
      <c r="K452" s="420" t="n">
        <f aca="false">K451+0.5*(vit_z+H451)*pas</f>
        <v>-5.1632401647874</v>
      </c>
      <c r="L452" s="418" t="n">
        <f aca="false">SQRT(pos_x^2+pos_z^2)</f>
        <v>211.854081087475</v>
      </c>
      <c r="M452" s="419" t="n">
        <f aca="false">IF(AND(L451&gt;L_rampe,G452&gt;0),ATAN2(G452,H452),$M$4)</f>
        <v>-1.42686721561423</v>
      </c>
      <c r="N452" s="418" t="n">
        <f aca="false">DEGREES(Beta)</f>
        <v>-81.7534693802787</v>
      </c>
      <c r="O452" s="402"/>
      <c r="P452" s="421" t="n">
        <f aca="false">MATCH(t-pas/2-T_ini,CdP_t)</f>
        <v>23</v>
      </c>
      <c r="Q452" s="418" t="n">
        <f aca="false">(INDEX(CdP,2,i_P+1)-INDEX(CdP,2,i_P+0))/(INDEX(CdP,1,i_P+1)-INDEX(CdP,1,i_P+0))*(t-pas/2-T_ini-INDEX(CdP,1,i_P+0))+INDEX(CdP,2,i_P+0)</f>
        <v>0</v>
      </c>
      <c r="R452" s="419" t="n">
        <f aca="false">Poussee/(g*ISP)</f>
        <v>0</v>
      </c>
      <c r="S452" s="420" t="n">
        <f aca="false">S451-Débit*pas</f>
        <v>1.4843</v>
      </c>
      <c r="T452" s="418" t="n">
        <f aca="false">m*g</f>
        <v>14.560983</v>
      </c>
      <c r="U452" s="422" t="n">
        <f aca="false">IF(pos_xz&lt;L_rampe,Poids*COS(Beta),0)</f>
        <v>0</v>
      </c>
      <c r="V452" s="419" t="n">
        <f aca="false">Rho_moyen*(20000-Alt_rampe-pos_z)/(20000+Alt_rampe+pos_z)</f>
        <v>1.22563266024903</v>
      </c>
      <c r="W452" s="418" t="n">
        <f aca="false">1/2*Rho*Sref*Cx*vit_xz^2</f>
        <v>5.55153978376217</v>
      </c>
      <c r="X452" s="402"/>
      <c r="Y452" s="423" t="str">
        <f aca="false">IF(AND(pos_z&lt;=0,K451&gt;0),"Impact balistique","") &amp; IF(AND(H453&lt;0,vit_z&gt;=0),"Apogée","") &amp; IF(AND(Poussee=0,Q451&gt;0),"Fin de propulsion","") &amp; IF(AND(L453&gt;L_rampe,pos_xz&lt;=L_rampe),"Sortie de rampe","")</f>
        <v/>
      </c>
      <c r="Z452" s="424" t="str">
        <f aca="false">IF(ABS(t-T_para)&lt;pas/2,"Para","")</f>
        <v/>
      </c>
      <c r="AA452" s="425" t="str">
        <f aca="false">IF(ABS(t-T_satellite)&lt;pas/2,"Satellite","")</f>
        <v/>
      </c>
      <c r="AB452" s="413"/>
      <c r="AC452" s="421" t="e">
        <f aca="false">IF(ABS(t-ROUND(t,0))&lt;0.001,t,NA())</f>
        <v>#N/A</v>
      </c>
      <c r="AD452" s="426" t="e">
        <f aca="false">IF(ABS(t-ROUND(t,0))&lt;0.001,pos_x,NA())</f>
        <v>#N/A</v>
      </c>
      <c r="AE452" s="427" t="e">
        <f aca="false">IF(t&lt;T_para, pos_z, NA())</f>
        <v>#N/A</v>
      </c>
      <c r="AF452" s="413"/>
      <c r="AG452" s="419" t="n">
        <f aca="false">IF(AND(L451&lt;L_rampe,Poussee&lt;Poids*SIN(M451)),0,(-W451+Poussee)/m-Poids*SIN(M451)/m)</f>
        <v>5.96845382380806</v>
      </c>
      <c r="AH452" s="418" t="n">
        <f aca="false">IF(AND(L451&lt;L_rampe,Poussee&lt;Poids*SIN(M451)), g*SIN(M451), (-W451+Poussee)/m)</f>
        <v>-3.74010873802022</v>
      </c>
    </row>
    <row r="453" customFormat="false" ht="12" hidden="false" customHeight="false" outlineLevel="0" collapsed="false">
      <c r="A453" s="417" t="n">
        <f aca="false">IF(B452+0.01&lt;=T_ini+ROUNDUP(Temps_fin_propu,0), 0.01, IF(K452&gt;0, 0.1, 0.0001))</f>
        <v>0.0001</v>
      </c>
      <c r="B453" s="418" t="n">
        <f aca="false">B452+pas</f>
        <v>16.5103999999999</v>
      </c>
      <c r="C453" s="402"/>
      <c r="D453" s="419" t="n">
        <f aca="false">IF(AND(L452&lt;L_rampe,Poussee&lt;Poids*SIN(M452)),0,(-W452+Poussee)/m*COS(M452)-U452/m*SIN(M452))</f>
        <v>-0.53646319445001</v>
      </c>
      <c r="E453" s="420" t="n">
        <f aca="false">IF(AND(L452&lt;L_rampe,Poussee&lt;Poids*SIN(M452)),0,(-W452+Poussee)/m*SIN(M452)+U452/m*COS(M452)-Poids/m)</f>
        <v>-6.10849944618659</v>
      </c>
      <c r="F453" s="418" t="n">
        <f aca="false">SQRT(acc_x^2+acc_z^2)</f>
        <v>6.13201094609765</v>
      </c>
      <c r="G453" s="419" t="n">
        <f aca="false">G452+acc_x*pas</f>
        <v>10.2816564690284</v>
      </c>
      <c r="H453" s="420" t="n">
        <f aca="false">H452+acc_z*pas</f>
        <v>-70.9425805504501</v>
      </c>
      <c r="I453" s="418" t="n">
        <f aca="false">SQRT(vit_x^2+vit_z^2)</f>
        <v>71.6837652115471</v>
      </c>
      <c r="J453" s="419" t="n">
        <f aca="false">J452+0.5*(vit_x+G452)*pas*(K452&gt;=0)</f>
        <v>211.791153319536</v>
      </c>
      <c r="K453" s="420" t="n">
        <f aca="false">K452+0.5*(vit_z+H452)*pas</f>
        <v>-5.17033439229995</v>
      </c>
      <c r="L453" s="418" t="n">
        <f aca="false">SQRT(pos_x^2+pos_z^2)</f>
        <v>211.854254104437</v>
      </c>
      <c r="M453" s="419" t="n">
        <f aca="false">IF(AND(L452&gt;L_rampe,G453&gt;0),ATAN2(G453,H453),$M$4)</f>
        <v>-1.42686917850603</v>
      </c>
      <c r="N453" s="418" t="n">
        <f aca="false">DEGREES(Beta)</f>
        <v>-81.7535818456945</v>
      </c>
      <c r="O453" s="402"/>
      <c r="P453" s="421" t="n">
        <f aca="false">MATCH(t-pas/2-T_ini,CdP_t)</f>
        <v>23</v>
      </c>
      <c r="Q453" s="418" t="n">
        <f aca="false">(INDEX(CdP,2,i_P+1)-INDEX(CdP,2,i_P+0))/(INDEX(CdP,1,i_P+1)-INDEX(CdP,1,i_P+0))*(t-pas/2-T_ini-INDEX(CdP,1,i_P+0))+INDEX(CdP,2,i_P+0)</f>
        <v>0</v>
      </c>
      <c r="R453" s="419" t="n">
        <f aca="false">Poussee/(g*ISP)</f>
        <v>0</v>
      </c>
      <c r="S453" s="420" t="n">
        <f aca="false">S452-Débit*pas</f>
        <v>1.4843</v>
      </c>
      <c r="T453" s="418" t="n">
        <f aca="false">m*g</f>
        <v>14.560983</v>
      </c>
      <c r="U453" s="422" t="n">
        <f aca="false">IF(pos_xz&lt;L_rampe,Poids*COS(Beta),0)</f>
        <v>0</v>
      </c>
      <c r="V453" s="419" t="n">
        <f aca="false">Rho_moyen*(20000-Alt_rampe-pos_z)/(20000+Alt_rampe+pos_z)</f>
        <v>1.22563352974109</v>
      </c>
      <c r="W453" s="418" t="n">
        <f aca="false">1/2*Rho*Sref*Cx*vit_xz^2</f>
        <v>5.55163616765551</v>
      </c>
      <c r="X453" s="402"/>
      <c r="Y453" s="423" t="str">
        <f aca="false">IF(AND(pos_z&lt;=0,K452&gt;0),"Impact balistique","") &amp; IF(AND(H454&lt;0,vit_z&gt;=0),"Apogée","") &amp; IF(AND(Poussee=0,Q452&gt;0),"Fin de propulsion","") &amp; IF(AND(L454&gt;L_rampe,pos_xz&lt;=L_rampe),"Sortie de rampe","")</f>
        <v/>
      </c>
      <c r="Z453" s="424" t="str">
        <f aca="false">IF(ABS(t-T_para)&lt;pas/2,"Para","")</f>
        <v/>
      </c>
      <c r="AA453" s="425" t="str">
        <f aca="false">IF(ABS(t-T_satellite)&lt;pas/2,"Satellite","")</f>
        <v/>
      </c>
      <c r="AB453" s="413"/>
      <c r="AC453" s="421" t="e">
        <f aca="false">IF(ABS(t-ROUND(t,0))&lt;0.001,t,NA())</f>
        <v>#N/A</v>
      </c>
      <c r="AD453" s="426" t="e">
        <f aca="false">IF(ABS(t-ROUND(t,0))&lt;0.001,pos_x,NA())</f>
        <v>#N/A</v>
      </c>
      <c r="AE453" s="427" t="e">
        <f aca="false">IF(t&lt;T_para, pos_z, NA())</f>
        <v>#N/A</v>
      </c>
      <c r="AF453" s="413"/>
      <c r="AG453" s="419" t="n">
        <f aca="false">IF(AND(L452&lt;L_rampe,Poussee&lt;Poids*SIN(M452)),0,(-W452+Poussee)/m-Poids*SIN(M452)/m)</f>
        <v>5.96839165021748</v>
      </c>
      <c r="AH453" s="418" t="n">
        <f aca="false">IF(AND(L452&lt;L_rampe,Poussee&lt;Poids*SIN(M452)), g*SIN(M452), (-W452+Poussee)/m)</f>
        <v>-3.7401736736254</v>
      </c>
    </row>
    <row r="454" customFormat="false" ht="12" hidden="false" customHeight="false" outlineLevel="0" collapsed="false">
      <c r="A454" s="417" t="n">
        <f aca="false">IF(B453+0.01&lt;=T_ini+ROUNDUP(Temps_fin_propu,0), 0.01, IF(K453&gt;0, 0.1, 0.0001))</f>
        <v>0.0001</v>
      </c>
      <c r="B454" s="418" t="n">
        <f aca="false">B453+pas</f>
        <v>16.5104999999999</v>
      </c>
      <c r="C454" s="402"/>
      <c r="D454" s="419" t="n">
        <f aca="false">IF(AND(L453&lt;L_rampe,Poussee&lt;Poids*SIN(M453)),0,(-W453+Poussee)/m*COS(M453)-U453/m*SIN(M453))</f>
        <v>-0.536465242564219</v>
      </c>
      <c r="E454" s="420" t="n">
        <f aca="false">IF(AND(L453&lt;L_rampe,Poussee&lt;Poids*SIN(M453)),0,(-W453+Poussee)/m*SIN(M453)+U453/m*COS(M453)-Poids/m)</f>
        <v>-6.10843412899738</v>
      </c>
      <c r="F454" s="418" t="n">
        <f aca="false">SQRT(acc_x^2+acc_z^2)</f>
        <v>6.13194605853471</v>
      </c>
      <c r="G454" s="419" t="n">
        <f aca="false">G453+acc_x*pas</f>
        <v>10.2816028225041</v>
      </c>
      <c r="H454" s="420" t="n">
        <f aca="false">H453+acc_z*pas</f>
        <v>-70.943191393863</v>
      </c>
      <c r="I454" s="418" t="n">
        <f aca="false">SQRT(vit_x^2+vit_z^2)</f>
        <v>71.6843620446329</v>
      </c>
      <c r="J454" s="419" t="n">
        <f aca="false">J453+0.5*(vit_x+G453)*pas*(K453&gt;=0)</f>
        <v>211.791153319536</v>
      </c>
      <c r="K454" s="420" t="n">
        <f aca="false">K453+0.5*(vit_z+H453)*pas</f>
        <v>-5.17742868089717</v>
      </c>
      <c r="L454" s="418" t="n">
        <f aca="false">SQRT(pos_x^2+pos_z^2)</f>
        <v>211.85442736031</v>
      </c>
      <c r="M454" s="419" t="n">
        <f aca="false">IF(AND(L453&gt;L_rampe,G454&gt;0),ATAN2(G454,H454),$M$4)</f>
        <v>-1.42687114135491</v>
      </c>
      <c r="N454" s="418" t="n">
        <f aca="false">DEGREES(Beta)</f>
        <v>-81.7536943086508</v>
      </c>
      <c r="O454" s="402"/>
      <c r="P454" s="421" t="n">
        <f aca="false">MATCH(t-pas/2-T_ini,CdP_t)</f>
        <v>23</v>
      </c>
      <c r="Q454" s="418" t="n">
        <f aca="false">(INDEX(CdP,2,i_P+1)-INDEX(CdP,2,i_P+0))/(INDEX(CdP,1,i_P+1)-INDEX(CdP,1,i_P+0))*(t-pas/2-T_ini-INDEX(CdP,1,i_P+0))+INDEX(CdP,2,i_P+0)</f>
        <v>0</v>
      </c>
      <c r="R454" s="419" t="n">
        <f aca="false">Poussee/(g*ISP)</f>
        <v>0</v>
      </c>
      <c r="S454" s="420" t="n">
        <f aca="false">S453-Débit*pas</f>
        <v>1.4843</v>
      </c>
      <c r="T454" s="418" t="n">
        <f aca="false">m*g</f>
        <v>14.560983</v>
      </c>
      <c r="U454" s="422" t="n">
        <f aca="false">IF(pos_xz&lt;L_rampe,Poids*COS(Beta),0)</f>
        <v>0</v>
      </c>
      <c r="V454" s="419" t="n">
        <f aca="false">Rho_moyen*(20000-Alt_rampe-pos_z)/(20000+Alt_rampe+pos_z)</f>
        <v>1.22563439924125</v>
      </c>
      <c r="W454" s="418" t="n">
        <f aca="false">1/2*Rho*Sref*Cx*vit_xz^2</f>
        <v>5.55173255152339</v>
      </c>
      <c r="X454" s="402"/>
      <c r="Y454" s="423" t="str">
        <f aca="false">IF(AND(pos_z&lt;=0,K453&gt;0),"Impact balistique","") &amp; IF(AND(H455&lt;0,vit_z&gt;=0),"Apogée","") &amp; IF(AND(Poussee=0,Q453&gt;0),"Fin de propulsion","") &amp; IF(AND(L455&gt;L_rampe,pos_xz&lt;=L_rampe),"Sortie de rampe","")</f>
        <v/>
      </c>
      <c r="Z454" s="424" t="str">
        <f aca="false">IF(ABS(t-T_para)&lt;pas/2,"Para","")</f>
        <v/>
      </c>
      <c r="AA454" s="425" t="str">
        <f aca="false">IF(ABS(t-T_satellite)&lt;pas/2,"Satellite","")</f>
        <v/>
      </c>
      <c r="AB454" s="413"/>
      <c r="AC454" s="421" t="e">
        <f aca="false">IF(ABS(t-ROUND(t,0))&lt;0.001,t,NA())</f>
        <v>#N/A</v>
      </c>
      <c r="AD454" s="426" t="e">
        <f aca="false">IF(ABS(t-ROUND(t,0))&lt;0.001,pos_x,NA())</f>
        <v>#N/A</v>
      </c>
      <c r="AE454" s="427" t="e">
        <f aca="false">IF(t&lt;T_para, pos_z, NA())</f>
        <v>#N/A</v>
      </c>
      <c r="AF454" s="413"/>
      <c r="AG454" s="419" t="n">
        <f aca="false">IF(AND(L453&lt;L_rampe,Poussee&lt;Poids*SIN(M453)),0,(-W453+Poussee)/m-Poids*SIN(M453)/m)</f>
        <v>5.96832947654622</v>
      </c>
      <c r="AH454" s="418" t="n">
        <f aca="false">IF(AND(L453&lt;L_rampe,Poussee&lt;Poids*SIN(M453)), g*SIN(M453), (-W453+Poussee)/m)</f>
        <v>-3.74023860921344</v>
      </c>
    </row>
    <row r="455" customFormat="false" ht="12" hidden="false" customHeight="false" outlineLevel="0" collapsed="false">
      <c r="A455" s="417" t="n">
        <f aca="false">IF(B454+0.01&lt;=T_ini+ROUNDUP(Temps_fin_propu,0), 0.01, IF(K454&gt;0, 0.1, 0.0001))</f>
        <v>0.0001</v>
      </c>
      <c r="B455" s="418" t="n">
        <f aca="false">B454+pas</f>
        <v>16.5105999999999</v>
      </c>
      <c r="C455" s="402"/>
      <c r="D455" s="419" t="n">
        <f aca="false">IF(AND(L454&lt;L_rampe,Poussee&lt;Poids*SIN(M454)),0,(-W454+Poussee)/m*COS(M454)-U454/m*SIN(M454))</f>
        <v>-0.536467290580514</v>
      </c>
      <c r="E455" s="420" t="n">
        <f aca="false">IF(AND(L454&lt;L_rampe,Poussee&lt;Poids*SIN(M454)),0,(-W454+Poussee)/m*SIN(M454)+U454/m*COS(M454)-Poids/m)</f>
        <v>-6.10836881182586</v>
      </c>
      <c r="F455" s="418" t="n">
        <f aca="false">SQRT(acc_x^2+acc_z^2)</f>
        <v>6.13188117099065</v>
      </c>
      <c r="G455" s="419" t="n">
        <f aca="false">G454+acc_x*pas</f>
        <v>10.2815491757751</v>
      </c>
      <c r="H455" s="420" t="n">
        <f aca="false">H454+acc_z*pas</f>
        <v>-70.9438022307442</v>
      </c>
      <c r="I455" s="418" t="n">
        <f aca="false">SQRT(vit_x^2+vit_z^2)</f>
        <v>71.6849588715012</v>
      </c>
      <c r="J455" s="419" t="n">
        <f aca="false">J454+0.5*(vit_x+G454)*pas*(K454&gt;=0)</f>
        <v>211.791153319536</v>
      </c>
      <c r="K455" s="420" t="n">
        <f aca="false">K454+0.5*(vit_z+H454)*pas</f>
        <v>-5.1845230305784</v>
      </c>
      <c r="L455" s="418" t="n">
        <f aca="false">SQRT(pos_x^2+pos_z^2)</f>
        <v>211.8546008551</v>
      </c>
      <c r="M455" s="419" t="n">
        <f aca="false">IF(AND(L454&gt;L_rampe,G455&gt;0),ATAN2(G455,H455),$M$4)</f>
        <v>-1.42687310416085</v>
      </c>
      <c r="N455" s="418" t="n">
        <f aca="false">DEGREES(Beta)</f>
        <v>-81.7538067691477</v>
      </c>
      <c r="O455" s="402"/>
      <c r="P455" s="421" t="n">
        <f aca="false">MATCH(t-pas/2-T_ini,CdP_t)</f>
        <v>23</v>
      </c>
      <c r="Q455" s="418" t="n">
        <f aca="false">(INDEX(CdP,2,i_P+1)-INDEX(CdP,2,i_P+0))/(INDEX(CdP,1,i_P+1)-INDEX(CdP,1,i_P+0))*(t-pas/2-T_ini-INDEX(CdP,1,i_P+0))+INDEX(CdP,2,i_P+0)</f>
        <v>0</v>
      </c>
      <c r="R455" s="419" t="n">
        <f aca="false">Poussee/(g*ISP)</f>
        <v>0</v>
      </c>
      <c r="S455" s="420" t="n">
        <f aca="false">S454-Débit*pas</f>
        <v>1.4843</v>
      </c>
      <c r="T455" s="418" t="n">
        <f aca="false">m*g</f>
        <v>14.560983</v>
      </c>
      <c r="U455" s="422" t="n">
        <f aca="false">IF(pos_xz&lt;L_rampe,Poids*COS(Beta),0)</f>
        <v>0</v>
      </c>
      <c r="V455" s="419" t="n">
        <f aca="false">Rho_moyen*(20000-Alt_rampe-pos_z)/(20000+Alt_rampe+pos_z)</f>
        <v>1.22563526874952</v>
      </c>
      <c r="W455" s="418" t="n">
        <f aca="false">1/2*Rho*Sref*Cx*vit_xz^2</f>
        <v>5.55182893536579</v>
      </c>
      <c r="X455" s="402"/>
      <c r="Y455" s="423" t="str">
        <f aca="false">IF(AND(pos_z&lt;=0,K454&gt;0),"Impact balistique","") &amp; IF(AND(H456&lt;0,vit_z&gt;=0),"Apogée","") &amp; IF(AND(Poussee=0,Q454&gt;0),"Fin de propulsion","") &amp; IF(AND(L456&gt;L_rampe,pos_xz&lt;=L_rampe),"Sortie de rampe","")</f>
        <v/>
      </c>
      <c r="Z455" s="424" t="str">
        <f aca="false">IF(ABS(t-T_para)&lt;pas/2,"Para","")</f>
        <v/>
      </c>
      <c r="AA455" s="425" t="str">
        <f aca="false">IF(ABS(t-T_satellite)&lt;pas/2,"Satellite","")</f>
        <v/>
      </c>
      <c r="AB455" s="413"/>
      <c r="AC455" s="421" t="e">
        <f aca="false">IF(ABS(t-ROUND(t,0))&lt;0.001,t,NA())</f>
        <v>#N/A</v>
      </c>
      <c r="AD455" s="426" t="e">
        <f aca="false">IF(ABS(t-ROUND(t,0))&lt;0.001,pos_x,NA())</f>
        <v>#N/A</v>
      </c>
      <c r="AE455" s="427" t="e">
        <f aca="false">IF(t&lt;T_para, pos_z, NA())</f>
        <v>#N/A</v>
      </c>
      <c r="AF455" s="413"/>
      <c r="AG455" s="419" t="n">
        <f aca="false">IF(AND(L454&lt;L_rampe,Poussee&lt;Poids*SIN(M454)),0,(-W454+Poussee)/m-Poids*SIN(M454)/m)</f>
        <v>5.96826730279431</v>
      </c>
      <c r="AH455" s="418" t="n">
        <f aca="false">IF(AND(L454&lt;L_rampe,Poussee&lt;Poids*SIN(M454)), g*SIN(M454), (-W454+Poussee)/m)</f>
        <v>-3.74030354478434</v>
      </c>
    </row>
    <row r="456" customFormat="false" ht="12" hidden="false" customHeight="false" outlineLevel="0" collapsed="false">
      <c r="A456" s="417" t="n">
        <f aca="false">IF(B455+0.01&lt;=T_ini+ROUNDUP(Temps_fin_propu,0), 0.01, IF(K455&gt;0, 0.1, 0.0001))</f>
        <v>0.0001</v>
      </c>
      <c r="B456" s="418" t="n">
        <f aca="false">B455+pas</f>
        <v>16.5106999999999</v>
      </c>
      <c r="C456" s="402"/>
      <c r="D456" s="419" t="n">
        <f aca="false">IF(AND(L455&lt;L_rampe,Poussee&lt;Poids*SIN(M455)),0,(-W455+Poussee)/m*COS(M455)-U455/m*SIN(M455))</f>
        <v>-0.536469338498897</v>
      </c>
      <c r="E456" s="420" t="n">
        <f aca="false">IF(AND(L455&lt;L_rampe,Poussee&lt;Poids*SIN(M455)),0,(-W455+Poussee)/m*SIN(M455)+U455/m*COS(M455)-Poids/m)</f>
        <v>-6.10830349467206</v>
      </c>
      <c r="F456" s="418" t="n">
        <f aca="false">SQRT(acc_x^2+acc_z^2)</f>
        <v>6.13181628346548</v>
      </c>
      <c r="G456" s="419" t="n">
        <f aca="false">G455+acc_x*pas</f>
        <v>10.2814955288412</v>
      </c>
      <c r="H456" s="420" t="n">
        <f aca="false">H455+acc_z*pas</f>
        <v>-70.9444130610937</v>
      </c>
      <c r="I456" s="418" t="n">
        <f aca="false">SQRT(vit_x^2+vit_z^2)</f>
        <v>71.6855556921522</v>
      </c>
      <c r="J456" s="419" t="n">
        <f aca="false">J455+0.5*(vit_x+G455)*pas*(K455&gt;=0)</f>
        <v>211.791153319536</v>
      </c>
      <c r="K456" s="420" t="n">
        <f aca="false">K455+0.5*(vit_z+H455)*pas</f>
        <v>-5.19161744134299</v>
      </c>
      <c r="L456" s="418" t="n">
        <f aca="false">SQRT(pos_x^2+pos_z^2)</f>
        <v>211.854774588812</v>
      </c>
      <c r="M456" s="419" t="n">
        <f aca="false">IF(AND(L455&gt;L_rampe,G456&gt;0),ATAN2(G456,H456),$M$4)</f>
        <v>-1.42687506692388</v>
      </c>
      <c r="N456" s="418" t="n">
        <f aca="false">DEGREES(Beta)</f>
        <v>-81.7539192271852</v>
      </c>
      <c r="O456" s="402"/>
      <c r="P456" s="421" t="n">
        <f aca="false">MATCH(t-pas/2-T_ini,CdP_t)</f>
        <v>23</v>
      </c>
      <c r="Q456" s="418" t="n">
        <f aca="false">(INDEX(CdP,2,i_P+1)-INDEX(CdP,2,i_P+0))/(INDEX(CdP,1,i_P+1)-INDEX(CdP,1,i_P+0))*(t-pas/2-T_ini-INDEX(CdP,1,i_P+0))+INDEX(CdP,2,i_P+0)</f>
        <v>0</v>
      </c>
      <c r="R456" s="419" t="n">
        <f aca="false">Poussee/(g*ISP)</f>
        <v>0</v>
      </c>
      <c r="S456" s="420" t="n">
        <f aca="false">S455-Débit*pas</f>
        <v>1.4843</v>
      </c>
      <c r="T456" s="418" t="n">
        <f aca="false">m*g</f>
        <v>14.560983</v>
      </c>
      <c r="U456" s="422" t="n">
        <f aca="false">IF(pos_xz&lt;L_rampe,Poids*COS(Beta),0)</f>
        <v>0</v>
      </c>
      <c r="V456" s="419" t="n">
        <f aca="false">Rho_moyen*(20000-Alt_rampe-pos_z)/(20000+Alt_rampe+pos_z)</f>
        <v>1.22563613826589</v>
      </c>
      <c r="W456" s="418" t="n">
        <f aca="false">1/2*Rho*Sref*Cx*vit_xz^2</f>
        <v>5.55192531918269</v>
      </c>
      <c r="X456" s="402"/>
      <c r="Y456" s="423" t="str">
        <f aca="false">IF(AND(pos_z&lt;=0,K455&gt;0),"Impact balistique","") &amp; IF(AND(H457&lt;0,vit_z&gt;=0),"Apogée","") &amp; IF(AND(Poussee=0,Q455&gt;0),"Fin de propulsion","") &amp; IF(AND(L457&gt;L_rampe,pos_xz&lt;=L_rampe),"Sortie de rampe","")</f>
        <v/>
      </c>
      <c r="Z456" s="424" t="str">
        <f aca="false">IF(ABS(t-T_para)&lt;pas/2,"Para","")</f>
        <v/>
      </c>
      <c r="AA456" s="425" t="str">
        <f aca="false">IF(ABS(t-T_satellite)&lt;pas/2,"Satellite","")</f>
        <v/>
      </c>
      <c r="AB456" s="413"/>
      <c r="AC456" s="421" t="e">
        <f aca="false">IF(ABS(t-ROUND(t,0))&lt;0.001,t,NA())</f>
        <v>#N/A</v>
      </c>
      <c r="AD456" s="426" t="e">
        <f aca="false">IF(ABS(t-ROUND(t,0))&lt;0.001,pos_x,NA())</f>
        <v>#N/A</v>
      </c>
      <c r="AE456" s="427" t="e">
        <f aca="false">IF(t&lt;T_para, pos_z, NA())</f>
        <v>#N/A</v>
      </c>
      <c r="AF456" s="413"/>
      <c r="AG456" s="419" t="n">
        <f aca="false">IF(AND(L455&lt;L_rampe,Poussee&lt;Poids*SIN(M455)),0,(-W455+Poussee)/m-Poids*SIN(M455)/m)</f>
        <v>5.96820512896176</v>
      </c>
      <c r="AH456" s="418" t="n">
        <f aca="false">IF(AND(L455&lt;L_rampe,Poussee&lt;Poids*SIN(M455)), g*SIN(M455), (-W455+Poussee)/m)</f>
        <v>-3.74036848033807</v>
      </c>
    </row>
    <row r="457" customFormat="false" ht="12" hidden="false" customHeight="false" outlineLevel="0" collapsed="false">
      <c r="A457" s="417" t="n">
        <f aca="false">IF(B456+0.01&lt;=T_ini+ROUNDUP(Temps_fin_propu,0), 0.01, IF(K456&gt;0, 0.1, 0.0001))</f>
        <v>0.0001</v>
      </c>
      <c r="B457" s="418" t="n">
        <f aca="false">B456+pas</f>
        <v>16.5107999999999</v>
      </c>
      <c r="C457" s="402"/>
      <c r="D457" s="419" t="n">
        <f aca="false">IF(AND(L456&lt;L_rampe,Poussee&lt;Poids*SIN(M456)),0,(-W456+Poussee)/m*COS(M456)-U456/m*SIN(M456))</f>
        <v>-0.536471386319368</v>
      </c>
      <c r="E457" s="420" t="n">
        <f aca="false">IF(AND(L456&lt;L_rampe,Poussee&lt;Poids*SIN(M456)),0,(-W456+Poussee)/m*SIN(M456)+U456/m*COS(M456)-Poids/m)</f>
        <v>-6.108238177536</v>
      </c>
      <c r="F457" s="418" t="n">
        <f aca="false">SQRT(acc_x^2+acc_z^2)</f>
        <v>6.13175139595921</v>
      </c>
      <c r="G457" s="419" t="n">
        <f aca="false">G456+acc_x*pas</f>
        <v>10.2814418817026</v>
      </c>
      <c r="H457" s="420" t="n">
        <f aca="false">H456+acc_z*pas</f>
        <v>-70.9450238849114</v>
      </c>
      <c r="I457" s="418" t="n">
        <f aca="false">SQRT(vit_x^2+vit_z^2)</f>
        <v>71.6861525065858</v>
      </c>
      <c r="J457" s="419" t="n">
        <f aca="false">J456+0.5*(vit_x+G456)*pas*(K456&gt;=0)</f>
        <v>211.791153319536</v>
      </c>
      <c r="K457" s="420" t="n">
        <f aca="false">K456+0.5*(vit_z+H456)*pas</f>
        <v>-5.19871191319029</v>
      </c>
      <c r="L457" s="418" t="n">
        <f aca="false">SQRT(pos_x^2+pos_z^2)</f>
        <v>211.854948561452</v>
      </c>
      <c r="M457" s="419" t="n">
        <f aca="false">IF(AND(L456&gt;L_rampe,G457&gt;0),ATAN2(G457,H457),$M$4)</f>
        <v>-1.42687702964398</v>
      </c>
      <c r="N457" s="418" t="n">
        <f aca="false">DEGREES(Beta)</f>
        <v>-81.7540316827633</v>
      </c>
      <c r="O457" s="402"/>
      <c r="P457" s="421" t="n">
        <f aca="false">MATCH(t-pas/2-T_ini,CdP_t)</f>
        <v>23</v>
      </c>
      <c r="Q457" s="418" t="n">
        <f aca="false">(INDEX(CdP,2,i_P+1)-INDEX(CdP,2,i_P+0))/(INDEX(CdP,1,i_P+1)-INDEX(CdP,1,i_P+0))*(t-pas/2-T_ini-INDEX(CdP,1,i_P+0))+INDEX(CdP,2,i_P+0)</f>
        <v>0</v>
      </c>
      <c r="R457" s="419" t="n">
        <f aca="false">Poussee/(g*ISP)</f>
        <v>0</v>
      </c>
      <c r="S457" s="420" t="n">
        <f aca="false">S456-Débit*pas</f>
        <v>1.4843</v>
      </c>
      <c r="T457" s="418" t="n">
        <f aca="false">m*g</f>
        <v>14.560983</v>
      </c>
      <c r="U457" s="422" t="n">
        <f aca="false">IF(pos_xz&lt;L_rampe,Poids*COS(Beta),0)</f>
        <v>0</v>
      </c>
      <c r="V457" s="419" t="n">
        <f aca="false">Rho_moyen*(20000-Alt_rampe-pos_z)/(20000+Alt_rampe+pos_z)</f>
        <v>1.22563700779037</v>
      </c>
      <c r="W457" s="418" t="n">
        <f aca="false">1/2*Rho*Sref*Cx*vit_xz^2</f>
        <v>5.55202170297406</v>
      </c>
      <c r="X457" s="402"/>
      <c r="Y457" s="423" t="str">
        <f aca="false">IF(AND(pos_z&lt;=0,K456&gt;0),"Impact balistique","") &amp; IF(AND(H458&lt;0,vit_z&gt;=0),"Apogée","") &amp; IF(AND(Poussee=0,Q456&gt;0),"Fin de propulsion","") &amp; IF(AND(L458&gt;L_rampe,pos_xz&lt;=L_rampe),"Sortie de rampe","")</f>
        <v/>
      </c>
      <c r="Z457" s="424" t="str">
        <f aca="false">IF(ABS(t-T_para)&lt;pas/2,"Para","")</f>
        <v/>
      </c>
      <c r="AA457" s="425" t="str">
        <f aca="false">IF(ABS(t-T_satellite)&lt;pas/2,"Satellite","")</f>
        <v/>
      </c>
      <c r="AB457" s="413"/>
      <c r="AC457" s="421" t="e">
        <f aca="false">IF(ABS(t-ROUND(t,0))&lt;0.001,t,NA())</f>
        <v>#N/A</v>
      </c>
      <c r="AD457" s="426" t="e">
        <f aca="false">IF(ABS(t-ROUND(t,0))&lt;0.001,pos_x,NA())</f>
        <v>#N/A</v>
      </c>
      <c r="AE457" s="427" t="e">
        <f aca="false">IF(t&lt;T_para, pos_z, NA())</f>
        <v>#N/A</v>
      </c>
      <c r="AF457" s="413"/>
      <c r="AG457" s="419" t="n">
        <f aca="false">IF(AND(L456&lt;L_rampe,Poussee&lt;Poids*SIN(M456)),0,(-W456+Poussee)/m-Poids*SIN(M456)/m)</f>
        <v>5.96814295504859</v>
      </c>
      <c r="AH457" s="418" t="n">
        <f aca="false">IF(AND(L456&lt;L_rampe,Poussee&lt;Poids*SIN(M456)), g*SIN(M456), (-W456+Poussee)/m)</f>
        <v>-3.74043341587462</v>
      </c>
    </row>
    <row r="458" customFormat="false" ht="12" hidden="false" customHeight="false" outlineLevel="0" collapsed="false">
      <c r="A458" s="417" t="n">
        <f aca="false">IF(B457+0.01&lt;=T_ini+ROUNDUP(Temps_fin_propu,0), 0.01, IF(K457&gt;0, 0.1, 0.0001))</f>
        <v>0.0001</v>
      </c>
      <c r="B458" s="418" t="n">
        <f aca="false">B457+pas</f>
        <v>16.5108999999999</v>
      </c>
      <c r="C458" s="402"/>
      <c r="D458" s="419" t="n">
        <f aca="false">IF(AND(L457&lt;L_rampe,Poussee&lt;Poids*SIN(M457)),0,(-W457+Poussee)/m*COS(M457)-U457/m*SIN(M457))</f>
        <v>-0.536473434041928</v>
      </c>
      <c r="E458" s="420" t="n">
        <f aca="false">IF(AND(L457&lt;L_rampe,Poussee&lt;Poids*SIN(M457)),0,(-W457+Poussee)/m*SIN(M457)+U457/m*COS(M457)-Poids/m)</f>
        <v>-6.10817286041768</v>
      </c>
      <c r="F458" s="418" t="n">
        <f aca="false">SQRT(acc_x^2+acc_z^2)</f>
        <v>6.13168650847186</v>
      </c>
      <c r="G458" s="419" t="n">
        <f aca="false">G457+acc_x*pas</f>
        <v>10.2813882343592</v>
      </c>
      <c r="H458" s="420" t="n">
        <f aca="false">H457+acc_z*pas</f>
        <v>-70.9456347021975</v>
      </c>
      <c r="I458" s="418" t="n">
        <f aca="false">SQRT(vit_x^2+vit_z^2)</f>
        <v>71.686749314802</v>
      </c>
      <c r="J458" s="419" t="n">
        <f aca="false">J457+0.5*(vit_x+G457)*pas*(K457&gt;=0)</f>
        <v>211.791153319536</v>
      </c>
      <c r="K458" s="420" t="n">
        <f aca="false">K457+0.5*(vit_z+H457)*pas</f>
        <v>-5.20580644611964</v>
      </c>
      <c r="L458" s="418" t="n">
        <f aca="false">SQRT(pos_x^2+pos_z^2)</f>
        <v>211.855122773026</v>
      </c>
      <c r="M458" s="419" t="n">
        <f aca="false">IF(AND(L457&gt;L_rampe,G458&gt;0),ATAN2(G458,H458),$M$4)</f>
        <v>-1.42687899232116</v>
      </c>
      <c r="N458" s="418" t="n">
        <f aca="false">DEGREES(Beta)</f>
        <v>-81.7541441358823</v>
      </c>
      <c r="O458" s="402"/>
      <c r="P458" s="421" t="n">
        <f aca="false">MATCH(t-pas/2-T_ini,CdP_t)</f>
        <v>23</v>
      </c>
      <c r="Q458" s="418" t="n">
        <f aca="false">(INDEX(CdP,2,i_P+1)-INDEX(CdP,2,i_P+0))/(INDEX(CdP,1,i_P+1)-INDEX(CdP,1,i_P+0))*(t-pas/2-T_ini-INDEX(CdP,1,i_P+0))+INDEX(CdP,2,i_P+0)</f>
        <v>0</v>
      </c>
      <c r="R458" s="419" t="n">
        <f aca="false">Poussee/(g*ISP)</f>
        <v>0</v>
      </c>
      <c r="S458" s="420" t="n">
        <f aca="false">S457-Débit*pas</f>
        <v>1.4843</v>
      </c>
      <c r="T458" s="418" t="n">
        <f aca="false">m*g</f>
        <v>14.560983</v>
      </c>
      <c r="U458" s="422" t="n">
        <f aca="false">IF(pos_xz&lt;L_rampe,Poids*COS(Beta),0)</f>
        <v>0</v>
      </c>
      <c r="V458" s="419" t="n">
        <f aca="false">Rho_moyen*(20000-Alt_rampe-pos_z)/(20000+Alt_rampe+pos_z)</f>
        <v>1.22563787732294</v>
      </c>
      <c r="W458" s="418" t="n">
        <f aca="false">1/2*Rho*Sref*Cx*vit_xz^2</f>
        <v>5.55211808673988</v>
      </c>
      <c r="X458" s="402"/>
      <c r="Y458" s="423" t="str">
        <f aca="false">IF(AND(pos_z&lt;=0,K457&gt;0),"Impact balistique","") &amp; IF(AND(H459&lt;0,vit_z&gt;=0),"Apogée","") &amp; IF(AND(Poussee=0,Q457&gt;0),"Fin de propulsion","") &amp; IF(AND(L459&gt;L_rampe,pos_xz&lt;=L_rampe),"Sortie de rampe","")</f>
        <v/>
      </c>
      <c r="Z458" s="424" t="str">
        <f aca="false">IF(ABS(t-T_para)&lt;pas/2,"Para","")</f>
        <v/>
      </c>
      <c r="AA458" s="425" t="str">
        <f aca="false">IF(ABS(t-T_satellite)&lt;pas/2,"Satellite","")</f>
        <v/>
      </c>
      <c r="AB458" s="413"/>
      <c r="AC458" s="421" t="e">
        <f aca="false">IF(ABS(t-ROUND(t,0))&lt;0.001,t,NA())</f>
        <v>#N/A</v>
      </c>
      <c r="AD458" s="426" t="e">
        <f aca="false">IF(ABS(t-ROUND(t,0))&lt;0.001,pos_x,NA())</f>
        <v>#N/A</v>
      </c>
      <c r="AE458" s="427" t="e">
        <f aca="false">IF(t&lt;T_para, pos_z, NA())</f>
        <v>#N/A</v>
      </c>
      <c r="AF458" s="413"/>
      <c r="AG458" s="419" t="n">
        <f aca="false">IF(AND(L457&lt;L_rampe,Poussee&lt;Poids*SIN(M457)),0,(-W457+Poussee)/m-Poids*SIN(M457)/m)</f>
        <v>5.96808078105483</v>
      </c>
      <c r="AH458" s="418" t="n">
        <f aca="false">IF(AND(L457&lt;L_rampe,Poussee&lt;Poids*SIN(M457)), g*SIN(M457), (-W457+Poussee)/m)</f>
        <v>-3.74049835139397</v>
      </c>
    </row>
    <row r="459" customFormat="false" ht="12" hidden="false" customHeight="false" outlineLevel="0" collapsed="false">
      <c r="A459" s="417" t="n">
        <f aca="false">IF(B458+0.01&lt;=T_ini+ROUNDUP(Temps_fin_propu,0), 0.01, IF(K458&gt;0, 0.1, 0.0001))</f>
        <v>0.0001</v>
      </c>
      <c r="B459" s="418" t="n">
        <f aca="false">B458+pas</f>
        <v>16.5109999999999</v>
      </c>
      <c r="C459" s="402"/>
      <c r="D459" s="419" t="n">
        <f aca="false">IF(AND(L458&lt;L_rampe,Poussee&lt;Poids*SIN(M458)),0,(-W458+Poussee)/m*COS(M458)-U458/m*SIN(M458))</f>
        <v>-0.536475481666577</v>
      </c>
      <c r="E459" s="420" t="n">
        <f aca="false">IF(AND(L458&lt;L_rampe,Poussee&lt;Poids*SIN(M458)),0,(-W458+Poussee)/m*SIN(M458)+U458/m*COS(M458)-Poids/m)</f>
        <v>-6.10810754331712</v>
      </c>
      <c r="F459" s="418" t="n">
        <f aca="false">SQRT(acc_x^2+acc_z^2)</f>
        <v>6.13162162100344</v>
      </c>
      <c r="G459" s="419" t="n">
        <f aca="false">G458+acc_x*pas</f>
        <v>10.281334586811</v>
      </c>
      <c r="H459" s="420" t="n">
        <f aca="false">H458+acc_z*pas</f>
        <v>-70.9462455129518</v>
      </c>
      <c r="I459" s="418" t="n">
        <f aca="false">SQRT(vit_x^2+vit_z^2)</f>
        <v>71.6873461168008</v>
      </c>
      <c r="J459" s="419" t="n">
        <f aca="false">J458+0.5*(vit_x+G458)*pas*(K458&gt;=0)</f>
        <v>211.791153319536</v>
      </c>
      <c r="K459" s="420" t="n">
        <f aca="false">K458+0.5*(vit_z+H458)*pas</f>
        <v>-5.2129010401304</v>
      </c>
      <c r="L459" s="418" t="n">
        <f aca="false">SQRT(pos_x^2+pos_z^2)</f>
        <v>211.855297223538</v>
      </c>
      <c r="M459" s="419" t="n">
        <f aca="false">IF(AND(L458&gt;L_rampe,G459&gt;0),ATAN2(G459,H459),$M$4)</f>
        <v>-1.42688095495542</v>
      </c>
      <c r="N459" s="418" t="n">
        <f aca="false">DEGREES(Beta)</f>
        <v>-81.7542565865422</v>
      </c>
      <c r="O459" s="402"/>
      <c r="P459" s="421" t="n">
        <f aca="false">MATCH(t-pas/2-T_ini,CdP_t)</f>
        <v>23</v>
      </c>
      <c r="Q459" s="418" t="n">
        <f aca="false">(INDEX(CdP,2,i_P+1)-INDEX(CdP,2,i_P+0))/(INDEX(CdP,1,i_P+1)-INDEX(CdP,1,i_P+0))*(t-pas/2-T_ini-INDEX(CdP,1,i_P+0))+INDEX(CdP,2,i_P+0)</f>
        <v>0</v>
      </c>
      <c r="R459" s="419" t="n">
        <f aca="false">Poussee/(g*ISP)</f>
        <v>0</v>
      </c>
      <c r="S459" s="420" t="n">
        <f aca="false">S458-Débit*pas</f>
        <v>1.4843</v>
      </c>
      <c r="T459" s="418" t="n">
        <f aca="false">m*g</f>
        <v>14.560983</v>
      </c>
      <c r="U459" s="422" t="n">
        <f aca="false">IF(pos_xz&lt;L_rampe,Poids*COS(Beta),0)</f>
        <v>0</v>
      </c>
      <c r="V459" s="419" t="n">
        <f aca="false">Rho_moyen*(20000-Alt_rampe-pos_z)/(20000+Alt_rampe+pos_z)</f>
        <v>1.22563874686363</v>
      </c>
      <c r="W459" s="418" t="n">
        <f aca="false">1/2*Rho*Sref*Cx*vit_xz^2</f>
        <v>5.55221447048013</v>
      </c>
      <c r="X459" s="402"/>
      <c r="Y459" s="423" t="str">
        <f aca="false">IF(AND(pos_z&lt;=0,K458&gt;0),"Impact balistique","") &amp; IF(AND(H460&lt;0,vit_z&gt;=0),"Apogée","") &amp; IF(AND(Poussee=0,Q458&gt;0),"Fin de propulsion","") &amp; IF(AND(L460&gt;L_rampe,pos_xz&lt;=L_rampe),"Sortie de rampe","")</f>
        <v/>
      </c>
      <c r="Z459" s="424" t="str">
        <f aca="false">IF(ABS(t-T_para)&lt;pas/2,"Para","")</f>
        <v/>
      </c>
      <c r="AA459" s="425" t="str">
        <f aca="false">IF(ABS(t-T_satellite)&lt;pas/2,"Satellite","")</f>
        <v/>
      </c>
      <c r="AB459" s="413"/>
      <c r="AC459" s="421" t="e">
        <f aca="false">IF(ABS(t-ROUND(t,0))&lt;0.001,t,NA())</f>
        <v>#N/A</v>
      </c>
      <c r="AD459" s="426" t="e">
        <f aca="false">IF(ABS(t-ROUND(t,0))&lt;0.001,pos_x,NA())</f>
        <v>#N/A</v>
      </c>
      <c r="AE459" s="427" t="e">
        <f aca="false">IF(t&lt;T_para, pos_z, NA())</f>
        <v>#N/A</v>
      </c>
      <c r="AF459" s="413"/>
      <c r="AG459" s="419" t="n">
        <f aca="false">IF(AND(L458&lt;L_rampe,Poussee&lt;Poids*SIN(M458)),0,(-W458+Poussee)/m-Poids*SIN(M458)/m)</f>
        <v>5.96801860698049</v>
      </c>
      <c r="AH459" s="418" t="n">
        <f aca="false">IF(AND(L458&lt;L_rampe,Poussee&lt;Poids*SIN(M458)), g*SIN(M458), (-W458+Poussee)/m)</f>
        <v>-3.74056328689611</v>
      </c>
    </row>
    <row r="460" customFormat="false" ht="12" hidden="false" customHeight="false" outlineLevel="0" collapsed="false">
      <c r="A460" s="417" t="n">
        <f aca="false">IF(B459+0.01&lt;=T_ini+ROUNDUP(Temps_fin_propu,0), 0.01, IF(K459&gt;0, 0.1, 0.0001))</f>
        <v>0.0001</v>
      </c>
      <c r="B460" s="418" t="n">
        <f aca="false">B459+pas</f>
        <v>16.5110999999999</v>
      </c>
      <c r="C460" s="402"/>
      <c r="D460" s="419" t="n">
        <f aca="false">IF(AND(L459&lt;L_rampe,Poussee&lt;Poids*SIN(M459)),0,(-W459+Poussee)/m*COS(M459)-U459/m*SIN(M459))</f>
        <v>-0.536477529193316</v>
      </c>
      <c r="E460" s="420" t="n">
        <f aca="false">IF(AND(L459&lt;L_rampe,Poussee&lt;Poids*SIN(M459)),0,(-W459+Poussee)/m*SIN(M459)+U459/m*COS(M459)-Poids/m)</f>
        <v>-6.10804222623435</v>
      </c>
      <c r="F460" s="418" t="n">
        <f aca="false">SQRT(acc_x^2+acc_z^2)</f>
        <v>6.13155673355398</v>
      </c>
      <c r="G460" s="419" t="n">
        <f aca="false">G459+acc_x*pas</f>
        <v>10.2812809390581</v>
      </c>
      <c r="H460" s="420" t="n">
        <f aca="false">H459+acc_z*pas</f>
        <v>-70.9468563171744</v>
      </c>
      <c r="I460" s="418" t="n">
        <f aca="false">SQRT(vit_x^2+vit_z^2)</f>
        <v>71.6879429125821</v>
      </c>
      <c r="J460" s="419" t="n">
        <f aca="false">J459+0.5*(vit_x+G459)*pas*(K459&gt;=0)</f>
        <v>211.791153319536</v>
      </c>
      <c r="K460" s="420" t="n">
        <f aca="false">K459+0.5*(vit_z+H459)*pas</f>
        <v>-5.21999569522191</v>
      </c>
      <c r="L460" s="418" t="n">
        <f aca="false">SQRT(pos_x^2+pos_z^2)</f>
        <v>211.855471912994</v>
      </c>
      <c r="M460" s="419" t="n">
        <f aca="false">IF(AND(L459&gt;L_rampe,G460&gt;0),ATAN2(G460,H460),$M$4)</f>
        <v>-1.42688291754676</v>
      </c>
      <c r="N460" s="418" t="n">
        <f aca="false">DEGREES(Beta)</f>
        <v>-81.7543690347429</v>
      </c>
      <c r="O460" s="402"/>
      <c r="P460" s="421" t="n">
        <f aca="false">MATCH(t-pas/2-T_ini,CdP_t)</f>
        <v>23</v>
      </c>
      <c r="Q460" s="418" t="n">
        <f aca="false">(INDEX(CdP,2,i_P+1)-INDEX(CdP,2,i_P+0))/(INDEX(CdP,1,i_P+1)-INDEX(CdP,1,i_P+0))*(t-pas/2-T_ini-INDEX(CdP,1,i_P+0))+INDEX(CdP,2,i_P+0)</f>
        <v>0</v>
      </c>
      <c r="R460" s="419" t="n">
        <f aca="false">Poussee/(g*ISP)</f>
        <v>0</v>
      </c>
      <c r="S460" s="420" t="n">
        <f aca="false">S459-Débit*pas</f>
        <v>1.4843</v>
      </c>
      <c r="T460" s="418" t="n">
        <f aca="false">m*g</f>
        <v>14.560983</v>
      </c>
      <c r="U460" s="422" t="n">
        <f aca="false">IF(pos_xz&lt;L_rampe,Poids*COS(Beta),0)</f>
        <v>0</v>
      </c>
      <c r="V460" s="419" t="n">
        <f aca="false">Rho_moyen*(20000-Alt_rampe-pos_z)/(20000+Alt_rampe+pos_z)</f>
        <v>1.22563961641241</v>
      </c>
      <c r="W460" s="418" t="n">
        <f aca="false">1/2*Rho*Sref*Cx*vit_xz^2</f>
        <v>5.55231085419478</v>
      </c>
      <c r="X460" s="402"/>
      <c r="Y460" s="423" t="str">
        <f aca="false">IF(AND(pos_z&lt;=0,K459&gt;0),"Impact balistique","") &amp; IF(AND(H461&lt;0,vit_z&gt;=0),"Apogée","") &amp; IF(AND(Poussee=0,Q459&gt;0),"Fin de propulsion","") &amp; IF(AND(L461&gt;L_rampe,pos_xz&lt;=L_rampe),"Sortie de rampe","")</f>
        <v/>
      </c>
      <c r="Z460" s="424" t="str">
        <f aca="false">IF(ABS(t-T_para)&lt;pas/2,"Para","")</f>
        <v/>
      </c>
      <c r="AA460" s="425" t="str">
        <f aca="false">IF(ABS(t-T_satellite)&lt;pas/2,"Satellite","")</f>
        <v/>
      </c>
      <c r="AB460" s="413"/>
      <c r="AC460" s="421" t="e">
        <f aca="false">IF(ABS(t-ROUND(t,0))&lt;0.001,t,NA())</f>
        <v>#N/A</v>
      </c>
      <c r="AD460" s="426" t="e">
        <f aca="false">IF(ABS(t-ROUND(t,0))&lt;0.001,pos_x,NA())</f>
        <v>#N/A</v>
      </c>
      <c r="AE460" s="427" t="e">
        <f aca="false">IF(t&lt;T_para, pos_z, NA())</f>
        <v>#N/A</v>
      </c>
      <c r="AF460" s="413"/>
      <c r="AG460" s="419" t="n">
        <f aca="false">IF(AND(L459&lt;L_rampe,Poussee&lt;Poids*SIN(M459)),0,(-W459+Poussee)/m-Poids*SIN(M459)/m)</f>
        <v>5.9679564328256</v>
      </c>
      <c r="AH460" s="418" t="n">
        <f aca="false">IF(AND(L459&lt;L_rampe,Poussee&lt;Poids*SIN(M459)), g*SIN(M459), (-W459+Poussee)/m)</f>
        <v>-3.74062822238101</v>
      </c>
    </row>
    <row r="461" customFormat="false" ht="12" hidden="false" customHeight="false" outlineLevel="0" collapsed="false">
      <c r="A461" s="417" t="n">
        <f aca="false">IF(B460+0.01&lt;=T_ini+ROUNDUP(Temps_fin_propu,0), 0.01, IF(K460&gt;0, 0.1, 0.0001))</f>
        <v>0.0001</v>
      </c>
      <c r="B461" s="418" t="n">
        <f aca="false">B460+pas</f>
        <v>16.5111999999999</v>
      </c>
      <c r="C461" s="402"/>
      <c r="D461" s="419" t="n">
        <f aca="false">IF(AND(L460&lt;L_rampe,Poussee&lt;Poids*SIN(M460)),0,(-W460+Poussee)/m*COS(M460)-U460/m*SIN(M460))</f>
        <v>-0.536479576622147</v>
      </c>
      <c r="E461" s="420" t="n">
        <f aca="false">IF(AND(L460&lt;L_rampe,Poussee&lt;Poids*SIN(M460)),0,(-W460+Poussee)/m*SIN(M460)+U460/m*COS(M460)-Poids/m)</f>
        <v>-6.10797690916937</v>
      </c>
      <c r="F461" s="418" t="n">
        <f aca="false">SQRT(acc_x^2+acc_z^2)</f>
        <v>6.13149184612349</v>
      </c>
      <c r="G461" s="419" t="n">
        <f aca="false">G460+acc_x*pas</f>
        <v>10.2812272911004</v>
      </c>
      <c r="H461" s="420" t="n">
        <f aca="false">H460+acc_z*pas</f>
        <v>-70.9474671148653</v>
      </c>
      <c r="I461" s="418" t="n">
        <f aca="false">SQRT(vit_x^2+vit_z^2)</f>
        <v>71.688539702146</v>
      </c>
      <c r="J461" s="419" t="n">
        <f aca="false">J460+0.5*(vit_x+G460)*pas*(K460&gt;=0)</f>
        <v>211.791153319536</v>
      </c>
      <c r="K461" s="420" t="n">
        <f aca="false">K460+0.5*(vit_z+H460)*pas</f>
        <v>-5.22709041139351</v>
      </c>
      <c r="L461" s="418" t="n">
        <f aca="false">SQRT(pos_x^2+pos_z^2)</f>
        <v>211.8556468414</v>
      </c>
      <c r="M461" s="419" t="n">
        <f aca="false">IF(AND(L460&gt;L_rampe,G461&gt;0),ATAN2(G461,H461),$M$4)</f>
        <v>-1.42688488009519</v>
      </c>
      <c r="N461" s="418" t="n">
        <f aca="false">DEGREES(Beta)</f>
        <v>-81.7544814804848</v>
      </c>
      <c r="O461" s="402"/>
      <c r="P461" s="421" t="n">
        <f aca="false">MATCH(t-pas/2-T_ini,CdP_t)</f>
        <v>23</v>
      </c>
      <c r="Q461" s="418" t="n">
        <f aca="false">(INDEX(CdP,2,i_P+1)-INDEX(CdP,2,i_P+0))/(INDEX(CdP,1,i_P+1)-INDEX(CdP,1,i_P+0))*(t-pas/2-T_ini-INDEX(CdP,1,i_P+0))+INDEX(CdP,2,i_P+0)</f>
        <v>0</v>
      </c>
      <c r="R461" s="419" t="n">
        <f aca="false">Poussee/(g*ISP)</f>
        <v>0</v>
      </c>
      <c r="S461" s="420" t="n">
        <f aca="false">S460-Débit*pas</f>
        <v>1.4843</v>
      </c>
      <c r="T461" s="418" t="n">
        <f aca="false">m*g</f>
        <v>14.560983</v>
      </c>
      <c r="U461" s="422" t="n">
        <f aca="false">IF(pos_xz&lt;L_rampe,Poids*COS(Beta),0)</f>
        <v>0</v>
      </c>
      <c r="V461" s="419" t="n">
        <f aca="false">Rho_moyen*(20000-Alt_rampe-pos_z)/(20000+Alt_rampe+pos_z)</f>
        <v>1.2256404859693</v>
      </c>
      <c r="W461" s="418" t="n">
        <f aca="false">1/2*Rho*Sref*Cx*vit_xz^2</f>
        <v>5.5524072378838</v>
      </c>
      <c r="X461" s="402"/>
      <c r="Y461" s="423" t="str">
        <f aca="false">IF(AND(pos_z&lt;=0,K460&gt;0),"Impact balistique","") &amp; IF(AND(H462&lt;0,vit_z&gt;=0),"Apogée","") &amp; IF(AND(Poussee=0,Q460&gt;0),"Fin de propulsion","") &amp; IF(AND(L462&gt;L_rampe,pos_xz&lt;=L_rampe),"Sortie de rampe","")</f>
        <v/>
      </c>
      <c r="Z461" s="424" t="str">
        <f aca="false">IF(ABS(t-T_para)&lt;pas/2,"Para","")</f>
        <v/>
      </c>
      <c r="AA461" s="425" t="str">
        <f aca="false">IF(ABS(t-T_satellite)&lt;pas/2,"Satellite","")</f>
        <v/>
      </c>
      <c r="AB461" s="413"/>
      <c r="AC461" s="421" t="e">
        <f aca="false">IF(ABS(t-ROUND(t,0))&lt;0.001,t,NA())</f>
        <v>#N/A</v>
      </c>
      <c r="AD461" s="426" t="e">
        <f aca="false">IF(ABS(t-ROUND(t,0))&lt;0.001,pos_x,NA())</f>
        <v>#N/A</v>
      </c>
      <c r="AE461" s="427" t="e">
        <f aca="false">IF(t&lt;T_para, pos_z, NA())</f>
        <v>#N/A</v>
      </c>
      <c r="AF461" s="413"/>
      <c r="AG461" s="419" t="n">
        <f aca="false">IF(AND(L460&lt;L_rampe,Poussee&lt;Poids*SIN(M460)),0,(-W460+Poussee)/m-Poids*SIN(M460)/m)</f>
        <v>5.96789425859017</v>
      </c>
      <c r="AH461" s="418" t="n">
        <f aca="false">IF(AND(L460&lt;L_rampe,Poussee&lt;Poids*SIN(M460)), g*SIN(M460), (-W460+Poussee)/m)</f>
        <v>-3.74069315784867</v>
      </c>
    </row>
    <row r="462" customFormat="false" ht="12" hidden="false" customHeight="false" outlineLevel="0" collapsed="false">
      <c r="A462" s="417" t="n">
        <f aca="false">IF(B461+0.01&lt;=T_ini+ROUNDUP(Temps_fin_propu,0), 0.01, IF(K461&gt;0, 0.1, 0.0001))</f>
        <v>0.0001</v>
      </c>
      <c r="B462" s="418" t="n">
        <f aca="false">B461+pas</f>
        <v>16.5112999999999</v>
      </c>
      <c r="C462" s="402"/>
      <c r="D462" s="419" t="n">
        <f aca="false">IF(AND(L461&lt;L_rampe,Poussee&lt;Poids*SIN(M461)),0,(-W461+Poussee)/m*COS(M461)-U461/m*SIN(M461))</f>
        <v>-0.536481623953067</v>
      </c>
      <c r="E462" s="420" t="n">
        <f aca="false">IF(AND(L461&lt;L_rampe,Poussee&lt;Poids*SIN(M461)),0,(-W461+Poussee)/m*SIN(M461)+U461/m*COS(M461)-Poids/m)</f>
        <v>-6.1079115921222</v>
      </c>
      <c r="F462" s="418" t="n">
        <f aca="false">SQRT(acc_x^2+acc_z^2)</f>
        <v>6.13142695871198</v>
      </c>
      <c r="G462" s="419" t="n">
        <f aca="false">G461+acc_x*pas</f>
        <v>10.281173642938</v>
      </c>
      <c r="H462" s="420" t="n">
        <f aca="false">H461+acc_z*pas</f>
        <v>-70.9480779060245</v>
      </c>
      <c r="I462" s="418" t="n">
        <f aca="false">SQRT(vit_x^2+vit_z^2)</f>
        <v>71.6891364854925</v>
      </c>
      <c r="J462" s="419" t="n">
        <f aca="false">J461+0.5*(vit_x+G461)*pas*(K461&gt;=0)</f>
        <v>211.791153319536</v>
      </c>
      <c r="K462" s="420" t="n">
        <f aca="false">K461+0.5*(vit_z+H461)*pas</f>
        <v>-5.23418518864455</v>
      </c>
      <c r="L462" s="418" t="n">
        <f aca="false">SQRT(pos_x^2+pos_z^2)</f>
        <v>211.855822008762</v>
      </c>
      <c r="M462" s="419" t="n">
        <f aca="false">IF(AND(L461&gt;L_rampe,G462&gt;0),ATAN2(G462,H462),$M$4)</f>
        <v>-1.4268868426007</v>
      </c>
      <c r="N462" s="418" t="n">
        <f aca="false">DEGREES(Beta)</f>
        <v>-81.7545939237678</v>
      </c>
      <c r="O462" s="402"/>
      <c r="P462" s="421" t="n">
        <f aca="false">MATCH(t-pas/2-T_ini,CdP_t)</f>
        <v>23</v>
      </c>
      <c r="Q462" s="418" t="n">
        <f aca="false">(INDEX(CdP,2,i_P+1)-INDEX(CdP,2,i_P+0))/(INDEX(CdP,1,i_P+1)-INDEX(CdP,1,i_P+0))*(t-pas/2-T_ini-INDEX(CdP,1,i_P+0))+INDEX(CdP,2,i_P+0)</f>
        <v>0</v>
      </c>
      <c r="R462" s="419" t="n">
        <f aca="false">Poussee/(g*ISP)</f>
        <v>0</v>
      </c>
      <c r="S462" s="420" t="n">
        <f aca="false">S461-Débit*pas</f>
        <v>1.4843</v>
      </c>
      <c r="T462" s="418" t="n">
        <f aca="false">m*g</f>
        <v>14.560983</v>
      </c>
      <c r="U462" s="422" t="n">
        <f aca="false">IF(pos_xz&lt;L_rampe,Poids*COS(Beta),0)</f>
        <v>0</v>
      </c>
      <c r="V462" s="419" t="n">
        <f aca="false">Rho_moyen*(20000-Alt_rampe-pos_z)/(20000+Alt_rampe+pos_z)</f>
        <v>1.22564135553429</v>
      </c>
      <c r="W462" s="418" t="n">
        <f aca="false">1/2*Rho*Sref*Cx*vit_xz^2</f>
        <v>5.55250362154718</v>
      </c>
      <c r="X462" s="402"/>
      <c r="Y462" s="423" t="str">
        <f aca="false">IF(AND(pos_z&lt;=0,K461&gt;0),"Impact balistique","") &amp; IF(AND(H463&lt;0,vit_z&gt;=0),"Apogée","") &amp; IF(AND(Poussee=0,Q461&gt;0),"Fin de propulsion","") &amp; IF(AND(L463&gt;L_rampe,pos_xz&lt;=L_rampe),"Sortie de rampe","")</f>
        <v/>
      </c>
      <c r="Z462" s="424" t="str">
        <f aca="false">IF(ABS(t-T_para)&lt;pas/2,"Para","")</f>
        <v/>
      </c>
      <c r="AA462" s="425" t="str">
        <f aca="false">IF(ABS(t-T_satellite)&lt;pas/2,"Satellite","")</f>
        <v/>
      </c>
      <c r="AB462" s="413"/>
      <c r="AC462" s="421" t="e">
        <f aca="false">IF(ABS(t-ROUND(t,0))&lt;0.001,t,NA())</f>
        <v>#N/A</v>
      </c>
      <c r="AD462" s="426" t="e">
        <f aca="false">IF(ABS(t-ROUND(t,0))&lt;0.001,pos_x,NA())</f>
        <v>#N/A</v>
      </c>
      <c r="AE462" s="427" t="e">
        <f aca="false">IF(t&lt;T_para, pos_z, NA())</f>
        <v>#N/A</v>
      </c>
      <c r="AF462" s="413"/>
      <c r="AG462" s="419" t="n">
        <f aca="false">IF(AND(L461&lt;L_rampe,Poussee&lt;Poids*SIN(M461)),0,(-W461+Poussee)/m-Poids*SIN(M461)/m)</f>
        <v>5.96783208427424</v>
      </c>
      <c r="AH462" s="418" t="n">
        <f aca="false">IF(AND(L461&lt;L_rampe,Poussee&lt;Poids*SIN(M461)), g*SIN(M461), (-W461+Poussee)/m)</f>
        <v>-3.74075809329907</v>
      </c>
    </row>
    <row r="463" customFormat="false" ht="12" hidden="false" customHeight="false" outlineLevel="0" collapsed="false">
      <c r="A463" s="417" t="n">
        <f aca="false">IF(B462+0.01&lt;=T_ini+ROUNDUP(Temps_fin_propu,0), 0.01, IF(K462&gt;0, 0.1, 0.0001))</f>
        <v>0.0001</v>
      </c>
      <c r="B463" s="418" t="n">
        <f aca="false">B462+pas</f>
        <v>16.5113999999999</v>
      </c>
      <c r="C463" s="402"/>
      <c r="D463" s="419" t="n">
        <f aca="false">IF(AND(L462&lt;L_rampe,Poussee&lt;Poids*SIN(M462)),0,(-W462+Poussee)/m*COS(M462)-U462/m*SIN(M462))</f>
        <v>-0.536483671186081</v>
      </c>
      <c r="E463" s="420" t="n">
        <f aca="false">IF(AND(L462&lt;L_rampe,Poussee&lt;Poids*SIN(M462)),0,(-W462+Poussee)/m*SIN(M462)+U462/m*COS(M462)-Poids/m)</f>
        <v>-6.10784627509286</v>
      </c>
      <c r="F463" s="418" t="n">
        <f aca="false">SQRT(acc_x^2+acc_z^2)</f>
        <v>6.13136207131948</v>
      </c>
      <c r="G463" s="419" t="n">
        <f aca="false">G462+acc_x*pas</f>
        <v>10.2811199945709</v>
      </c>
      <c r="H463" s="420" t="n">
        <f aca="false">H462+acc_z*pas</f>
        <v>-70.9486886906521</v>
      </c>
      <c r="I463" s="418" t="n">
        <f aca="false">SQRT(vit_x^2+vit_z^2)</f>
        <v>71.6897332626215</v>
      </c>
      <c r="J463" s="419" t="n">
        <f aca="false">J462+0.5*(vit_x+G462)*pas*(K462&gt;=0)</f>
        <v>211.791153319536</v>
      </c>
      <c r="K463" s="420" t="n">
        <f aca="false">K462+0.5*(vit_z+H462)*pas</f>
        <v>-5.24128002697439</v>
      </c>
      <c r="L463" s="418" t="n">
        <f aca="false">SQRT(pos_x^2+pos_z^2)</f>
        <v>211.855997415085</v>
      </c>
      <c r="M463" s="419" t="n">
        <f aca="false">IF(AND(L462&gt;L_rampe,G463&gt;0),ATAN2(G463,H463),$M$4)</f>
        <v>-1.42688880506329</v>
      </c>
      <c r="N463" s="418" t="n">
        <f aca="false">DEGREES(Beta)</f>
        <v>-81.7547063645919</v>
      </c>
      <c r="O463" s="402"/>
      <c r="P463" s="421" t="n">
        <f aca="false">MATCH(t-pas/2-T_ini,CdP_t)</f>
        <v>23</v>
      </c>
      <c r="Q463" s="418" t="n">
        <f aca="false">(INDEX(CdP,2,i_P+1)-INDEX(CdP,2,i_P+0))/(INDEX(CdP,1,i_P+1)-INDEX(CdP,1,i_P+0))*(t-pas/2-T_ini-INDEX(CdP,1,i_P+0))+INDEX(CdP,2,i_P+0)</f>
        <v>0</v>
      </c>
      <c r="R463" s="419" t="n">
        <f aca="false">Poussee/(g*ISP)</f>
        <v>0</v>
      </c>
      <c r="S463" s="420" t="n">
        <f aca="false">S462-Débit*pas</f>
        <v>1.4843</v>
      </c>
      <c r="T463" s="418" t="n">
        <f aca="false">m*g</f>
        <v>14.560983</v>
      </c>
      <c r="U463" s="422" t="n">
        <f aca="false">IF(pos_xz&lt;L_rampe,Poids*COS(Beta),0)</f>
        <v>0</v>
      </c>
      <c r="V463" s="419" t="n">
        <f aca="false">Rho_moyen*(20000-Alt_rampe-pos_z)/(20000+Alt_rampe+pos_z)</f>
        <v>1.22564222510739</v>
      </c>
      <c r="W463" s="418" t="n">
        <f aca="false">1/2*Rho*Sref*Cx*vit_xz^2</f>
        <v>5.55260000518489</v>
      </c>
      <c r="X463" s="402"/>
      <c r="Y463" s="423" t="str">
        <f aca="false">IF(AND(pos_z&lt;=0,K462&gt;0),"Impact balistique","") &amp; IF(AND(H464&lt;0,vit_z&gt;=0),"Apogée","") &amp; IF(AND(Poussee=0,Q462&gt;0),"Fin de propulsion","") &amp; IF(AND(L464&gt;L_rampe,pos_xz&lt;=L_rampe),"Sortie de rampe","")</f>
        <v/>
      </c>
      <c r="Z463" s="424" t="str">
        <f aca="false">IF(ABS(t-T_para)&lt;pas/2,"Para","")</f>
        <v/>
      </c>
      <c r="AA463" s="425" t="str">
        <f aca="false">IF(ABS(t-T_satellite)&lt;pas/2,"Satellite","")</f>
        <v/>
      </c>
      <c r="AB463" s="413"/>
      <c r="AC463" s="421" t="e">
        <f aca="false">IF(ABS(t-ROUND(t,0))&lt;0.001,t,NA())</f>
        <v>#N/A</v>
      </c>
      <c r="AD463" s="426" t="e">
        <f aca="false">IF(ABS(t-ROUND(t,0))&lt;0.001,pos_x,NA())</f>
        <v>#N/A</v>
      </c>
      <c r="AE463" s="427" t="e">
        <f aca="false">IF(t&lt;T_para, pos_z, NA())</f>
        <v>#N/A</v>
      </c>
      <c r="AF463" s="413"/>
      <c r="AG463" s="419" t="n">
        <f aca="false">IF(AND(L462&lt;L_rampe,Poussee&lt;Poids*SIN(M462)),0,(-W462+Poussee)/m-Poids*SIN(M462)/m)</f>
        <v>5.96776990987781</v>
      </c>
      <c r="AH463" s="418" t="n">
        <f aca="false">IF(AND(L462&lt;L_rampe,Poussee&lt;Poids*SIN(M462)), g*SIN(M462), (-W462+Poussee)/m)</f>
        <v>-3.74082302873219</v>
      </c>
    </row>
    <row r="464" customFormat="false" ht="12" hidden="false" customHeight="false" outlineLevel="0" collapsed="false">
      <c r="A464" s="417" t="n">
        <f aca="false">IF(B463+0.01&lt;=T_ini+ROUNDUP(Temps_fin_propu,0), 0.01, IF(K463&gt;0, 0.1, 0.0001))</f>
        <v>0.0001</v>
      </c>
      <c r="B464" s="418" t="n">
        <f aca="false">B463+pas</f>
        <v>16.5114999999999</v>
      </c>
      <c r="C464" s="402"/>
      <c r="D464" s="419" t="n">
        <f aca="false">IF(AND(L463&lt;L_rampe,Poussee&lt;Poids*SIN(M463)),0,(-W463+Poussee)/m*COS(M463)-U463/m*SIN(M463))</f>
        <v>-0.536485718321188</v>
      </c>
      <c r="E464" s="420" t="n">
        <f aca="false">IF(AND(L463&lt;L_rampe,Poussee&lt;Poids*SIN(M463)),0,(-W463+Poussee)/m*SIN(M463)+U463/m*COS(M463)-Poids/m)</f>
        <v>-6.10778095808137</v>
      </c>
      <c r="F464" s="418" t="n">
        <f aca="false">SQRT(acc_x^2+acc_z^2)</f>
        <v>6.13129718394599</v>
      </c>
      <c r="G464" s="419" t="n">
        <f aca="false">G463+acc_x*pas</f>
        <v>10.2810663459991</v>
      </c>
      <c r="H464" s="420" t="n">
        <f aca="false">H463+acc_z*pas</f>
        <v>-70.9492994687479</v>
      </c>
      <c r="I464" s="418" t="n">
        <f aca="false">SQRT(vit_x^2+vit_z^2)</f>
        <v>71.6903300335331</v>
      </c>
      <c r="J464" s="419" t="n">
        <f aca="false">J463+0.5*(vit_x+G463)*pas*(K463&gt;=0)</f>
        <v>211.791153319536</v>
      </c>
      <c r="K464" s="420" t="n">
        <f aca="false">K463+0.5*(vit_z+H463)*pas</f>
        <v>-5.24837492638236</v>
      </c>
      <c r="L464" s="418" t="n">
        <f aca="false">SQRT(pos_x^2+pos_z^2)</f>
        <v>211.856173060374</v>
      </c>
      <c r="M464" s="419" t="n">
        <f aca="false">IF(AND(L463&gt;L_rampe,G464&gt;0),ATAN2(G464,H464),$M$4)</f>
        <v>-1.42689076748298</v>
      </c>
      <c r="N464" s="418" t="n">
        <f aca="false">DEGREES(Beta)</f>
        <v>-81.7548188029574</v>
      </c>
      <c r="O464" s="402"/>
      <c r="P464" s="421" t="n">
        <f aca="false">MATCH(t-pas/2-T_ini,CdP_t)</f>
        <v>23</v>
      </c>
      <c r="Q464" s="418" t="n">
        <f aca="false">(INDEX(CdP,2,i_P+1)-INDEX(CdP,2,i_P+0))/(INDEX(CdP,1,i_P+1)-INDEX(CdP,1,i_P+0))*(t-pas/2-T_ini-INDEX(CdP,1,i_P+0))+INDEX(CdP,2,i_P+0)</f>
        <v>0</v>
      </c>
      <c r="R464" s="419" t="n">
        <f aca="false">Poussee/(g*ISP)</f>
        <v>0</v>
      </c>
      <c r="S464" s="420" t="n">
        <f aca="false">S463-Débit*pas</f>
        <v>1.4843</v>
      </c>
      <c r="T464" s="418" t="n">
        <f aca="false">m*g</f>
        <v>14.560983</v>
      </c>
      <c r="U464" s="422" t="n">
        <f aca="false">IF(pos_xz&lt;L_rampe,Poids*COS(Beta),0)</f>
        <v>0</v>
      </c>
      <c r="V464" s="419" t="n">
        <f aca="false">Rho_moyen*(20000-Alt_rampe-pos_z)/(20000+Alt_rampe+pos_z)</f>
        <v>1.22564309468858</v>
      </c>
      <c r="W464" s="418" t="n">
        <f aca="false">1/2*Rho*Sref*Cx*vit_xz^2</f>
        <v>5.5526963887969</v>
      </c>
      <c r="X464" s="402"/>
      <c r="Y464" s="423" t="str">
        <f aca="false">IF(AND(pos_z&lt;=0,K463&gt;0),"Impact balistique","") &amp; IF(AND(H465&lt;0,vit_z&gt;=0),"Apogée","") &amp; IF(AND(Poussee=0,Q463&gt;0),"Fin de propulsion","") &amp; IF(AND(L465&gt;L_rampe,pos_xz&lt;=L_rampe),"Sortie de rampe","")</f>
        <v/>
      </c>
      <c r="Z464" s="424" t="str">
        <f aca="false">IF(ABS(t-T_para)&lt;pas/2,"Para","")</f>
        <v/>
      </c>
      <c r="AA464" s="425" t="str">
        <f aca="false">IF(ABS(t-T_satellite)&lt;pas/2,"Satellite","")</f>
        <v/>
      </c>
      <c r="AB464" s="413"/>
      <c r="AC464" s="421" t="e">
        <f aca="false">IF(ABS(t-ROUND(t,0))&lt;0.001,t,NA())</f>
        <v>#N/A</v>
      </c>
      <c r="AD464" s="426" t="e">
        <f aca="false">IF(ABS(t-ROUND(t,0))&lt;0.001,pos_x,NA())</f>
        <v>#N/A</v>
      </c>
      <c r="AE464" s="427" t="e">
        <f aca="false">IF(t&lt;T_para, pos_z, NA())</f>
        <v>#N/A</v>
      </c>
      <c r="AF464" s="413"/>
      <c r="AG464" s="419" t="n">
        <f aca="false">IF(AND(L463&lt;L_rampe,Poussee&lt;Poids*SIN(M463)),0,(-W463+Poussee)/m-Poids*SIN(M463)/m)</f>
        <v>5.96770773540091</v>
      </c>
      <c r="AH464" s="418" t="n">
        <f aca="false">IF(AND(L463&lt;L_rampe,Poussee&lt;Poids*SIN(M463)), g*SIN(M463), (-W463+Poussee)/m)</f>
        <v>-3.74088796414801</v>
      </c>
    </row>
    <row r="465" customFormat="false" ht="12" hidden="false" customHeight="false" outlineLevel="0" collapsed="false">
      <c r="A465" s="417" t="n">
        <f aca="false">IF(B464+0.01&lt;=T_ini+ROUNDUP(Temps_fin_propu,0), 0.01, IF(K464&gt;0, 0.1, 0.0001))</f>
        <v>0.0001</v>
      </c>
      <c r="B465" s="418" t="n">
        <f aca="false">B464+pas</f>
        <v>16.5115999999999</v>
      </c>
      <c r="C465" s="402"/>
      <c r="D465" s="419" t="n">
        <f aca="false">IF(AND(L464&lt;L_rampe,Poussee&lt;Poids*SIN(M464)),0,(-W464+Poussee)/m*COS(M464)-U464/m*SIN(M464))</f>
        <v>-0.536487765358388</v>
      </c>
      <c r="E465" s="420" t="n">
        <f aca="false">IF(AND(L464&lt;L_rampe,Poussee&lt;Poids*SIN(M464)),0,(-W464+Poussee)/m*SIN(M464)+U464/m*COS(M464)-Poids/m)</f>
        <v>-6.10771564108775</v>
      </c>
      <c r="F465" s="418" t="n">
        <f aca="false">SQRT(acc_x^2+acc_z^2)</f>
        <v>6.13123229659154</v>
      </c>
      <c r="G465" s="419" t="n">
        <f aca="false">G464+acc_x*pas</f>
        <v>10.2810126972226</v>
      </c>
      <c r="H465" s="420" t="n">
        <f aca="false">H464+acc_z*pas</f>
        <v>-70.949910240312</v>
      </c>
      <c r="I465" s="418" t="n">
        <f aca="false">SQRT(vit_x^2+vit_z^2)</f>
        <v>71.6909267982272</v>
      </c>
      <c r="J465" s="419" t="n">
        <f aca="false">J464+0.5*(vit_x+G464)*pas*(K464&gt;=0)</f>
        <v>211.791153319536</v>
      </c>
      <c r="K465" s="420" t="n">
        <f aca="false">K464+0.5*(vit_z+H464)*pas</f>
        <v>-5.25546988686781</v>
      </c>
      <c r="L465" s="418" t="n">
        <f aca="false">SQRT(pos_x^2+pos_z^2)</f>
        <v>211.856348944635</v>
      </c>
      <c r="M465" s="419" t="n">
        <f aca="false">IF(AND(L464&gt;L_rampe,G465&gt;0),ATAN2(G465,H465),$M$4)</f>
        <v>-1.42689272985975</v>
      </c>
      <c r="N465" s="418" t="n">
        <f aca="false">DEGREES(Beta)</f>
        <v>-81.7549312388642</v>
      </c>
      <c r="O465" s="402"/>
      <c r="P465" s="421" t="n">
        <f aca="false">MATCH(t-pas/2-T_ini,CdP_t)</f>
        <v>23</v>
      </c>
      <c r="Q465" s="418" t="n">
        <f aca="false">(INDEX(CdP,2,i_P+1)-INDEX(CdP,2,i_P+0))/(INDEX(CdP,1,i_P+1)-INDEX(CdP,1,i_P+0))*(t-pas/2-T_ini-INDEX(CdP,1,i_P+0))+INDEX(CdP,2,i_P+0)</f>
        <v>0</v>
      </c>
      <c r="R465" s="419" t="n">
        <f aca="false">Poussee/(g*ISP)</f>
        <v>0</v>
      </c>
      <c r="S465" s="420" t="n">
        <f aca="false">S464-Débit*pas</f>
        <v>1.4843</v>
      </c>
      <c r="T465" s="418" t="n">
        <f aca="false">m*g</f>
        <v>14.560983</v>
      </c>
      <c r="U465" s="422" t="n">
        <f aca="false">IF(pos_xz&lt;L_rampe,Poids*COS(Beta),0)</f>
        <v>0</v>
      </c>
      <c r="V465" s="419" t="n">
        <f aca="false">Rho_moyen*(20000-Alt_rampe-pos_z)/(20000+Alt_rampe+pos_z)</f>
        <v>1.22564396427788</v>
      </c>
      <c r="W465" s="418" t="n">
        <f aca="false">1/2*Rho*Sref*Cx*vit_xz^2</f>
        <v>5.55279277238319</v>
      </c>
      <c r="X465" s="402"/>
      <c r="Y465" s="423" t="str">
        <f aca="false">IF(AND(pos_z&lt;=0,K464&gt;0),"Impact balistique","") &amp; IF(AND(H466&lt;0,vit_z&gt;=0),"Apogée","") &amp; IF(AND(Poussee=0,Q464&gt;0),"Fin de propulsion","") &amp; IF(AND(L466&gt;L_rampe,pos_xz&lt;=L_rampe),"Sortie de rampe","")</f>
        <v/>
      </c>
      <c r="Z465" s="424" t="str">
        <f aca="false">IF(ABS(t-T_para)&lt;pas/2,"Para","")</f>
        <v/>
      </c>
      <c r="AA465" s="425" t="str">
        <f aca="false">IF(ABS(t-T_satellite)&lt;pas/2,"Satellite","")</f>
        <v/>
      </c>
      <c r="AB465" s="413"/>
      <c r="AC465" s="421" t="e">
        <f aca="false">IF(ABS(t-ROUND(t,0))&lt;0.001,t,NA())</f>
        <v>#N/A</v>
      </c>
      <c r="AD465" s="426" t="e">
        <f aca="false">IF(ABS(t-ROUND(t,0))&lt;0.001,pos_x,NA())</f>
        <v>#N/A</v>
      </c>
      <c r="AE465" s="427" t="e">
        <f aca="false">IF(t&lt;T_para, pos_z, NA())</f>
        <v>#N/A</v>
      </c>
      <c r="AF465" s="413"/>
      <c r="AG465" s="419" t="n">
        <f aca="false">IF(AND(L464&lt;L_rampe,Poussee&lt;Poids*SIN(M464)),0,(-W464+Poussee)/m-Poids*SIN(M464)/m)</f>
        <v>5.96764556084356</v>
      </c>
      <c r="AH465" s="418" t="n">
        <f aca="false">IF(AND(L464&lt;L_rampe,Poussee&lt;Poids*SIN(M464)), g*SIN(M464), (-W464+Poussee)/m)</f>
        <v>-3.74095289954652</v>
      </c>
    </row>
    <row r="466" customFormat="false" ht="12" hidden="false" customHeight="false" outlineLevel="0" collapsed="false">
      <c r="A466" s="417" t="n">
        <f aca="false">IF(B465+0.01&lt;=T_ini+ROUNDUP(Temps_fin_propu,0), 0.01, IF(K465&gt;0, 0.1, 0.0001))</f>
        <v>0.0001</v>
      </c>
      <c r="B466" s="418" t="n">
        <f aca="false">B465+pas</f>
        <v>16.5116999999999</v>
      </c>
      <c r="C466" s="402"/>
      <c r="D466" s="419" t="n">
        <f aca="false">IF(AND(L465&lt;L_rampe,Poussee&lt;Poids*SIN(M465)),0,(-W465+Poussee)/m*COS(M465)-U465/m*SIN(M465))</f>
        <v>-0.536489812297683</v>
      </c>
      <c r="E466" s="420" t="n">
        <f aca="false">IF(AND(L465&lt;L_rampe,Poussee&lt;Poids*SIN(M465)),0,(-W465+Poussee)/m*SIN(M465)+U465/m*COS(M465)-Poids/m)</f>
        <v>-6.107650324112</v>
      </c>
      <c r="F466" s="418" t="n">
        <f aca="false">SQRT(acc_x^2+acc_z^2)</f>
        <v>6.13116740925614</v>
      </c>
      <c r="G466" s="419" t="n">
        <f aca="false">G465+acc_x*pas</f>
        <v>10.2809590482413</v>
      </c>
      <c r="H466" s="420" t="n">
        <f aca="false">H465+acc_z*pas</f>
        <v>-70.9505210053444</v>
      </c>
      <c r="I466" s="418" t="n">
        <f aca="false">SQRT(vit_x^2+vit_z^2)</f>
        <v>71.6915235567039</v>
      </c>
      <c r="J466" s="419" t="n">
        <f aca="false">J465+0.5*(vit_x+G465)*pas*(K465&gt;=0)</f>
        <v>211.791153319536</v>
      </c>
      <c r="K466" s="420" t="n">
        <f aca="false">K465+0.5*(vit_z+H465)*pas</f>
        <v>-5.26256490843009</v>
      </c>
      <c r="L466" s="418" t="n">
        <f aca="false">SQRT(pos_x^2+pos_z^2)</f>
        <v>211.856525067874</v>
      </c>
      <c r="M466" s="419" t="n">
        <f aca="false">IF(AND(L465&gt;L_rampe,G466&gt;0),ATAN2(G466,H466),$M$4)</f>
        <v>-1.42689469219361</v>
      </c>
      <c r="N466" s="418" t="n">
        <f aca="false">DEGREES(Beta)</f>
        <v>-81.7550436723125</v>
      </c>
      <c r="O466" s="402"/>
      <c r="P466" s="421" t="n">
        <f aca="false">MATCH(t-pas/2-T_ini,CdP_t)</f>
        <v>23</v>
      </c>
      <c r="Q466" s="418" t="n">
        <f aca="false">(INDEX(CdP,2,i_P+1)-INDEX(CdP,2,i_P+0))/(INDEX(CdP,1,i_P+1)-INDEX(CdP,1,i_P+0))*(t-pas/2-T_ini-INDEX(CdP,1,i_P+0))+INDEX(CdP,2,i_P+0)</f>
        <v>0</v>
      </c>
      <c r="R466" s="419" t="n">
        <f aca="false">Poussee/(g*ISP)</f>
        <v>0</v>
      </c>
      <c r="S466" s="420" t="n">
        <f aca="false">S465-Débit*pas</f>
        <v>1.4843</v>
      </c>
      <c r="T466" s="418" t="n">
        <f aca="false">m*g</f>
        <v>14.560983</v>
      </c>
      <c r="U466" s="422" t="n">
        <f aca="false">IF(pos_xz&lt;L_rampe,Poids*COS(Beta),0)</f>
        <v>0</v>
      </c>
      <c r="V466" s="419" t="n">
        <f aca="false">Rho_moyen*(20000-Alt_rampe-pos_z)/(20000+Alt_rampe+pos_z)</f>
        <v>1.22564483387529</v>
      </c>
      <c r="W466" s="418" t="n">
        <f aca="false">1/2*Rho*Sref*Cx*vit_xz^2</f>
        <v>5.55288915594374</v>
      </c>
      <c r="X466" s="402"/>
      <c r="Y466" s="423" t="str">
        <f aca="false">IF(AND(pos_z&lt;=0,K465&gt;0),"Impact balistique","") &amp; IF(AND(H467&lt;0,vit_z&gt;=0),"Apogée","") &amp; IF(AND(Poussee=0,Q465&gt;0),"Fin de propulsion","") &amp; IF(AND(L467&gt;L_rampe,pos_xz&lt;=L_rampe),"Sortie de rampe","")</f>
        <v/>
      </c>
      <c r="Z466" s="424" t="str">
        <f aca="false">IF(ABS(t-T_para)&lt;pas/2,"Para","")</f>
        <v/>
      </c>
      <c r="AA466" s="425" t="str">
        <f aca="false">IF(ABS(t-T_satellite)&lt;pas/2,"Satellite","")</f>
        <v/>
      </c>
      <c r="AB466" s="413"/>
      <c r="AC466" s="421" t="e">
        <f aca="false">IF(ABS(t-ROUND(t,0))&lt;0.001,t,NA())</f>
        <v>#N/A</v>
      </c>
      <c r="AD466" s="426" t="e">
        <f aca="false">IF(ABS(t-ROUND(t,0))&lt;0.001,pos_x,NA())</f>
        <v>#N/A</v>
      </c>
      <c r="AE466" s="427" t="e">
        <f aca="false">IF(t&lt;T_para, pos_z, NA())</f>
        <v>#N/A</v>
      </c>
      <c r="AF466" s="413"/>
      <c r="AG466" s="419" t="n">
        <f aca="false">IF(AND(L465&lt;L_rampe,Poussee&lt;Poids*SIN(M465)),0,(-W465+Poussee)/m-Poids*SIN(M465)/m)</f>
        <v>5.96758338620578</v>
      </c>
      <c r="AH466" s="418" t="n">
        <f aca="false">IF(AND(L465&lt;L_rampe,Poussee&lt;Poids*SIN(M465)), g*SIN(M465), (-W465+Poussee)/m)</f>
        <v>-3.74101783492771</v>
      </c>
    </row>
    <row r="467" customFormat="false" ht="12" hidden="false" customHeight="false" outlineLevel="0" collapsed="false">
      <c r="A467" s="417" t="n">
        <f aca="false">IF(B466+0.01&lt;=T_ini+ROUNDUP(Temps_fin_propu,0), 0.01, IF(K466&gt;0, 0.1, 0.0001))</f>
        <v>0.0001</v>
      </c>
      <c r="B467" s="418" t="n">
        <f aca="false">B466+pas</f>
        <v>16.5117999999999</v>
      </c>
      <c r="C467" s="402"/>
      <c r="D467" s="419" t="n">
        <f aca="false">IF(AND(L466&lt;L_rampe,Poussee&lt;Poids*SIN(M466)),0,(-W466+Poussee)/m*COS(M466)-U466/m*SIN(M466))</f>
        <v>-0.536491859139072</v>
      </c>
      <c r="E467" s="420" t="n">
        <f aca="false">IF(AND(L466&lt;L_rampe,Poussee&lt;Poids*SIN(M466)),0,(-W466+Poussee)/m*SIN(M466)+U466/m*COS(M466)-Poids/m)</f>
        <v>-6.10758500715414</v>
      </c>
      <c r="F467" s="418" t="n">
        <f aca="false">SQRT(acc_x^2+acc_z^2)</f>
        <v>6.1311025219398</v>
      </c>
      <c r="G467" s="419" t="n">
        <f aca="false">G466+acc_x*pas</f>
        <v>10.2809053990554</v>
      </c>
      <c r="H467" s="420" t="n">
        <f aca="false">H466+acc_z*pas</f>
        <v>-70.9511317638451</v>
      </c>
      <c r="I467" s="418" t="n">
        <f aca="false">SQRT(vit_x^2+vit_z^2)</f>
        <v>71.6921203089631</v>
      </c>
      <c r="J467" s="419" t="n">
        <f aca="false">J466+0.5*(vit_x+G466)*pas*(K466&gt;=0)</f>
        <v>211.791153319536</v>
      </c>
      <c r="K467" s="420" t="n">
        <f aca="false">K466+0.5*(vit_z+H466)*pas</f>
        <v>-5.26965999106855</v>
      </c>
      <c r="L467" s="418" t="n">
        <f aca="false">SQRT(pos_x^2+pos_z^2)</f>
        <v>211.856701430096</v>
      </c>
      <c r="M467" s="419" t="n">
        <f aca="false">IF(AND(L466&gt;L_rampe,G467&gt;0),ATAN2(G467,H467),$M$4)</f>
        <v>-1.42689665448456</v>
      </c>
      <c r="N467" s="418" t="n">
        <f aca="false">DEGREES(Beta)</f>
        <v>-81.7551561033024</v>
      </c>
      <c r="O467" s="402"/>
      <c r="P467" s="421" t="n">
        <f aca="false">MATCH(t-pas/2-T_ini,CdP_t)</f>
        <v>23</v>
      </c>
      <c r="Q467" s="418" t="n">
        <f aca="false">(INDEX(CdP,2,i_P+1)-INDEX(CdP,2,i_P+0))/(INDEX(CdP,1,i_P+1)-INDEX(CdP,1,i_P+0))*(t-pas/2-T_ini-INDEX(CdP,1,i_P+0))+INDEX(CdP,2,i_P+0)</f>
        <v>0</v>
      </c>
      <c r="R467" s="419" t="n">
        <f aca="false">Poussee/(g*ISP)</f>
        <v>0</v>
      </c>
      <c r="S467" s="420" t="n">
        <f aca="false">S466-Débit*pas</f>
        <v>1.4843</v>
      </c>
      <c r="T467" s="418" t="n">
        <f aca="false">m*g</f>
        <v>14.560983</v>
      </c>
      <c r="U467" s="422" t="n">
        <f aca="false">IF(pos_xz&lt;L_rampe,Poids*COS(Beta),0)</f>
        <v>0</v>
      </c>
      <c r="V467" s="419" t="n">
        <f aca="false">Rho_moyen*(20000-Alt_rampe-pos_z)/(20000+Alt_rampe+pos_z)</f>
        <v>1.2256457034808</v>
      </c>
      <c r="W467" s="418" t="n">
        <f aca="false">1/2*Rho*Sref*Cx*vit_xz^2</f>
        <v>5.55298553947852</v>
      </c>
      <c r="X467" s="402"/>
      <c r="Y467" s="423" t="str">
        <f aca="false">IF(AND(pos_z&lt;=0,K466&gt;0),"Impact balistique","") &amp; IF(AND(H468&lt;0,vit_z&gt;=0),"Apogée","") &amp; IF(AND(Poussee=0,Q466&gt;0),"Fin de propulsion","") &amp; IF(AND(L468&gt;L_rampe,pos_xz&lt;=L_rampe),"Sortie de rampe","")</f>
        <v/>
      </c>
      <c r="Z467" s="424" t="str">
        <f aca="false">IF(ABS(t-T_para)&lt;pas/2,"Para","")</f>
        <v/>
      </c>
      <c r="AA467" s="425" t="str">
        <f aca="false">IF(ABS(t-T_satellite)&lt;pas/2,"Satellite","")</f>
        <v/>
      </c>
      <c r="AB467" s="413"/>
      <c r="AC467" s="421" t="e">
        <f aca="false">IF(ABS(t-ROUND(t,0))&lt;0.001,t,NA())</f>
        <v>#N/A</v>
      </c>
      <c r="AD467" s="426" t="e">
        <f aca="false">IF(ABS(t-ROUND(t,0))&lt;0.001,pos_x,NA())</f>
        <v>#N/A</v>
      </c>
      <c r="AE467" s="427" t="e">
        <f aca="false">IF(t&lt;T_para, pos_z, NA())</f>
        <v>#N/A</v>
      </c>
      <c r="AF467" s="413"/>
      <c r="AG467" s="419" t="n">
        <f aca="false">IF(AND(L466&lt;L_rampe,Poussee&lt;Poids*SIN(M466)),0,(-W466+Poussee)/m-Poids*SIN(M466)/m)</f>
        <v>5.96752121148759</v>
      </c>
      <c r="AH467" s="418" t="n">
        <f aca="false">IF(AND(L466&lt;L_rampe,Poussee&lt;Poids*SIN(M466)), g*SIN(M466), (-W466+Poussee)/m)</f>
        <v>-3.74108277029155</v>
      </c>
    </row>
    <row r="468" customFormat="false" ht="12" hidden="false" customHeight="false" outlineLevel="0" collapsed="false">
      <c r="A468" s="417" t="n">
        <f aca="false">IF(B467+0.01&lt;=T_ini+ROUNDUP(Temps_fin_propu,0), 0.01, IF(K467&gt;0, 0.1, 0.0001))</f>
        <v>0.0001</v>
      </c>
      <c r="B468" s="418" t="n">
        <f aca="false">B467+pas</f>
        <v>16.5118999999999</v>
      </c>
      <c r="C468" s="402"/>
      <c r="D468" s="419" t="n">
        <f aca="false">IF(AND(L467&lt;L_rampe,Poussee&lt;Poids*SIN(M467)),0,(-W467+Poussee)/m*COS(M467)-U467/m*SIN(M467))</f>
        <v>-0.536493905882556</v>
      </c>
      <c r="E468" s="420" t="n">
        <f aca="false">IF(AND(L467&lt;L_rampe,Poussee&lt;Poids*SIN(M467)),0,(-W467+Poussee)/m*SIN(M467)+U467/m*COS(M467)-Poids/m)</f>
        <v>-6.1075196902142</v>
      </c>
      <c r="F468" s="418" t="n">
        <f aca="false">SQRT(acc_x^2+acc_z^2)</f>
        <v>6.13103763464255</v>
      </c>
      <c r="G468" s="419" t="n">
        <f aca="false">G467+acc_x*pas</f>
        <v>10.2808517496648</v>
      </c>
      <c r="H468" s="420" t="n">
        <f aca="false">H467+acc_z*pas</f>
        <v>-70.9517425158141</v>
      </c>
      <c r="I468" s="418" t="n">
        <f aca="false">SQRT(vit_x^2+vit_z^2)</f>
        <v>71.6927170550048</v>
      </c>
      <c r="J468" s="419" t="n">
        <f aca="false">J467+0.5*(vit_x+G467)*pas*(K467&gt;=0)</f>
        <v>211.791153319536</v>
      </c>
      <c r="K468" s="420" t="n">
        <f aca="false">K467+0.5*(vit_z+H467)*pas</f>
        <v>-5.27675513478254</v>
      </c>
      <c r="L468" s="418" t="n">
        <f aca="false">SQRT(pos_x^2+pos_z^2)</f>
        <v>211.856878031306</v>
      </c>
      <c r="M468" s="419" t="n">
        <f aca="false">IF(AND(L467&gt;L_rampe,G468&gt;0),ATAN2(G468,H468),$M$4)</f>
        <v>-1.42689861673261</v>
      </c>
      <c r="N468" s="418" t="n">
        <f aca="false">DEGREES(Beta)</f>
        <v>-81.7552685318338</v>
      </c>
      <c r="O468" s="402"/>
      <c r="P468" s="421" t="n">
        <f aca="false">MATCH(t-pas/2-T_ini,CdP_t)</f>
        <v>23</v>
      </c>
      <c r="Q468" s="418" t="n">
        <f aca="false">(INDEX(CdP,2,i_P+1)-INDEX(CdP,2,i_P+0))/(INDEX(CdP,1,i_P+1)-INDEX(CdP,1,i_P+0))*(t-pas/2-T_ini-INDEX(CdP,1,i_P+0))+INDEX(CdP,2,i_P+0)</f>
        <v>0</v>
      </c>
      <c r="R468" s="419" t="n">
        <f aca="false">Poussee/(g*ISP)</f>
        <v>0</v>
      </c>
      <c r="S468" s="420" t="n">
        <f aca="false">S467-Débit*pas</f>
        <v>1.4843</v>
      </c>
      <c r="T468" s="418" t="n">
        <f aca="false">m*g</f>
        <v>14.560983</v>
      </c>
      <c r="U468" s="422" t="n">
        <f aca="false">IF(pos_xz&lt;L_rampe,Poids*COS(Beta),0)</f>
        <v>0</v>
      </c>
      <c r="V468" s="419" t="n">
        <f aca="false">Rho_moyen*(20000-Alt_rampe-pos_z)/(20000+Alt_rampe+pos_z)</f>
        <v>1.22564657309441</v>
      </c>
      <c r="W468" s="418" t="n">
        <f aca="false">1/2*Rho*Sref*Cx*vit_xz^2</f>
        <v>5.5530819229875</v>
      </c>
      <c r="X468" s="402"/>
      <c r="Y468" s="423" t="str">
        <f aca="false">IF(AND(pos_z&lt;=0,K467&gt;0),"Impact balistique","") &amp; IF(AND(H469&lt;0,vit_z&gt;=0),"Apogée","") &amp; IF(AND(Poussee=0,Q467&gt;0),"Fin de propulsion","") &amp; IF(AND(L469&gt;L_rampe,pos_xz&lt;=L_rampe),"Sortie de rampe","")</f>
        <v/>
      </c>
      <c r="Z468" s="424" t="str">
        <f aca="false">IF(ABS(t-T_para)&lt;pas/2,"Para","")</f>
        <v/>
      </c>
      <c r="AA468" s="425" t="str">
        <f aca="false">IF(ABS(t-T_satellite)&lt;pas/2,"Satellite","")</f>
        <v/>
      </c>
      <c r="AB468" s="413"/>
      <c r="AC468" s="421" t="e">
        <f aca="false">IF(ABS(t-ROUND(t,0))&lt;0.001,t,NA())</f>
        <v>#N/A</v>
      </c>
      <c r="AD468" s="426" t="e">
        <f aca="false">IF(ABS(t-ROUND(t,0))&lt;0.001,pos_x,NA())</f>
        <v>#N/A</v>
      </c>
      <c r="AE468" s="427" t="e">
        <f aca="false">IF(t&lt;T_para, pos_z, NA())</f>
        <v>#N/A</v>
      </c>
      <c r="AF468" s="413"/>
      <c r="AG468" s="419" t="n">
        <f aca="false">IF(AND(L467&lt;L_rampe,Poussee&lt;Poids*SIN(M467)),0,(-W467+Poussee)/m-Poids*SIN(M467)/m)</f>
        <v>5.96745903668902</v>
      </c>
      <c r="AH468" s="418" t="n">
        <f aca="false">IF(AND(L467&lt;L_rampe,Poussee&lt;Poids*SIN(M467)), g*SIN(M467), (-W467+Poussee)/m)</f>
        <v>-3.74114770563803</v>
      </c>
    </row>
    <row r="469" customFormat="false" ht="12" hidden="false" customHeight="false" outlineLevel="0" collapsed="false">
      <c r="A469" s="417" t="n">
        <f aca="false">IF(B468+0.01&lt;=T_ini+ROUNDUP(Temps_fin_propu,0), 0.01, IF(K468&gt;0, 0.1, 0.0001))</f>
        <v>0.0001</v>
      </c>
      <c r="B469" s="418" t="n">
        <f aca="false">B468+pas</f>
        <v>16.5119999999999</v>
      </c>
      <c r="C469" s="402"/>
      <c r="D469" s="419" t="n">
        <f aca="false">IF(AND(L468&lt;L_rampe,Poussee&lt;Poids*SIN(M468)),0,(-W468+Poussee)/m*COS(M468)-U468/m*SIN(M468))</f>
        <v>-0.536495952528138</v>
      </c>
      <c r="E469" s="420" t="n">
        <f aca="false">IF(AND(L468&lt;L_rampe,Poussee&lt;Poids*SIN(M468)),0,(-W468+Poussee)/m*SIN(M468)+U468/m*COS(M468)-Poids/m)</f>
        <v>-6.10745437329219</v>
      </c>
      <c r="F469" s="418" t="n">
        <f aca="false">SQRT(acc_x^2+acc_z^2)</f>
        <v>6.1309727473644</v>
      </c>
      <c r="G469" s="419" t="n">
        <f aca="false">G468+acc_x*pas</f>
        <v>10.2807981000696</v>
      </c>
      <c r="H469" s="420" t="n">
        <f aca="false">H468+acc_z*pas</f>
        <v>-70.9523532612514</v>
      </c>
      <c r="I469" s="418" t="n">
        <f aca="false">SQRT(vit_x^2+vit_z^2)</f>
        <v>71.6933137948289</v>
      </c>
      <c r="J469" s="419" t="n">
        <f aca="false">J468+0.5*(vit_x+G468)*pas*(K468&gt;=0)</f>
        <v>211.791153319536</v>
      </c>
      <c r="K469" s="420" t="n">
        <f aca="false">K468+0.5*(vit_z+H468)*pas</f>
        <v>-5.28385033957139</v>
      </c>
      <c r="L469" s="418" t="n">
        <f aca="false">SQRT(pos_x^2+pos_z^2)</f>
        <v>211.857054871511</v>
      </c>
      <c r="M469" s="419" t="n">
        <f aca="false">IF(AND(L468&gt;L_rampe,G469&gt;0),ATAN2(G469,H469),$M$4)</f>
        <v>-1.42690057893775</v>
      </c>
      <c r="N469" s="418" t="n">
        <f aca="false">DEGREES(Beta)</f>
        <v>-81.755380957907</v>
      </c>
      <c r="O469" s="402"/>
      <c r="P469" s="421" t="n">
        <f aca="false">MATCH(t-pas/2-T_ini,CdP_t)</f>
        <v>23</v>
      </c>
      <c r="Q469" s="418" t="n">
        <f aca="false">(INDEX(CdP,2,i_P+1)-INDEX(CdP,2,i_P+0))/(INDEX(CdP,1,i_P+1)-INDEX(CdP,1,i_P+0))*(t-pas/2-T_ini-INDEX(CdP,1,i_P+0))+INDEX(CdP,2,i_P+0)</f>
        <v>0</v>
      </c>
      <c r="R469" s="419" t="n">
        <f aca="false">Poussee/(g*ISP)</f>
        <v>0</v>
      </c>
      <c r="S469" s="420" t="n">
        <f aca="false">S468-Débit*pas</f>
        <v>1.4843</v>
      </c>
      <c r="T469" s="418" t="n">
        <f aca="false">m*g</f>
        <v>14.560983</v>
      </c>
      <c r="U469" s="422" t="n">
        <f aca="false">IF(pos_xz&lt;L_rampe,Poids*COS(Beta),0)</f>
        <v>0</v>
      </c>
      <c r="V469" s="419" t="n">
        <f aca="false">Rho_moyen*(20000-Alt_rampe-pos_z)/(20000+Alt_rampe+pos_z)</f>
        <v>1.22564744271612</v>
      </c>
      <c r="W469" s="418" t="n">
        <f aca="false">1/2*Rho*Sref*Cx*vit_xz^2</f>
        <v>5.55317830647067</v>
      </c>
      <c r="X469" s="402"/>
      <c r="Y469" s="423" t="str">
        <f aca="false">IF(AND(pos_z&lt;=0,K468&gt;0),"Impact balistique","") &amp; IF(AND(H470&lt;0,vit_z&gt;=0),"Apogée","") &amp; IF(AND(Poussee=0,Q468&gt;0),"Fin de propulsion","") &amp; IF(AND(L470&gt;L_rampe,pos_xz&lt;=L_rampe),"Sortie de rampe","")</f>
        <v/>
      </c>
      <c r="Z469" s="424" t="str">
        <f aca="false">IF(ABS(t-T_para)&lt;pas/2,"Para","")</f>
        <v/>
      </c>
      <c r="AA469" s="425" t="str">
        <f aca="false">IF(ABS(t-T_satellite)&lt;pas/2,"Satellite","")</f>
        <v/>
      </c>
      <c r="AB469" s="413"/>
      <c r="AC469" s="421" t="e">
        <f aca="false">IF(ABS(t-ROUND(t,0))&lt;0.001,t,NA())</f>
        <v>#N/A</v>
      </c>
      <c r="AD469" s="426" t="e">
        <f aca="false">IF(ABS(t-ROUND(t,0))&lt;0.001,pos_x,NA())</f>
        <v>#N/A</v>
      </c>
      <c r="AE469" s="427" t="e">
        <f aca="false">IF(t&lt;T_para, pos_z, NA())</f>
        <v>#N/A</v>
      </c>
      <c r="AF469" s="413"/>
      <c r="AG469" s="419" t="n">
        <f aca="false">IF(AND(L468&lt;L_rampe,Poussee&lt;Poids*SIN(M468)),0,(-W468+Poussee)/m-Poids*SIN(M468)/m)</f>
        <v>5.96739686181008</v>
      </c>
      <c r="AH469" s="418" t="n">
        <f aca="false">IF(AND(L468&lt;L_rampe,Poussee&lt;Poids*SIN(M468)), g*SIN(M468), (-W468+Poussee)/m)</f>
        <v>-3.74121264096713</v>
      </c>
    </row>
    <row r="470" customFormat="false" ht="12" hidden="false" customHeight="false" outlineLevel="0" collapsed="false">
      <c r="A470" s="417" t="n">
        <f aca="false">IF(B469+0.01&lt;=T_ini+ROUNDUP(Temps_fin_propu,0), 0.01, IF(K469&gt;0, 0.1, 0.0001))</f>
        <v>0.0001</v>
      </c>
      <c r="B470" s="418" t="n">
        <f aca="false">B469+pas</f>
        <v>16.5120999999999</v>
      </c>
      <c r="C470" s="402"/>
      <c r="D470" s="419" t="n">
        <f aca="false">IF(AND(L469&lt;L_rampe,Poussee&lt;Poids*SIN(M469)),0,(-W469+Poussee)/m*COS(M469)-U469/m*SIN(M469))</f>
        <v>-0.536497999075817</v>
      </c>
      <c r="E470" s="420" t="n">
        <f aca="false">IF(AND(L469&lt;L_rampe,Poussee&lt;Poids*SIN(M469)),0,(-W469+Poussee)/m*SIN(M469)+U469/m*COS(M469)-Poids/m)</f>
        <v>-6.10738905638811</v>
      </c>
      <c r="F470" s="418" t="n">
        <f aca="false">SQRT(acc_x^2+acc_z^2)</f>
        <v>6.13090786010536</v>
      </c>
      <c r="G470" s="419" t="n">
        <f aca="false">G469+acc_x*pas</f>
        <v>10.2807444502697</v>
      </c>
      <c r="H470" s="420" t="n">
        <f aca="false">H469+acc_z*pas</f>
        <v>-70.9529640001571</v>
      </c>
      <c r="I470" s="418" t="n">
        <f aca="false">SQRT(vit_x^2+vit_z^2)</f>
        <v>71.6939105284357</v>
      </c>
      <c r="J470" s="419" t="n">
        <f aca="false">J469+0.5*(vit_x+G469)*pas*(K469&gt;=0)</f>
        <v>211.791153319536</v>
      </c>
      <c r="K470" s="420" t="n">
        <f aca="false">K469+0.5*(vit_z+H469)*pas</f>
        <v>-5.29094560543446</v>
      </c>
      <c r="L470" s="418" t="n">
        <f aca="false">SQRT(pos_x^2+pos_z^2)</f>
        <v>211.857231950715</v>
      </c>
      <c r="M470" s="419" t="n">
        <f aca="false">IF(AND(L469&gt;L_rampe,G470&gt;0),ATAN2(G470,H470),$M$4)</f>
        <v>-1.42690254109999</v>
      </c>
      <c r="N470" s="418" t="n">
        <f aca="false">DEGREES(Beta)</f>
        <v>-81.755493381522</v>
      </c>
      <c r="O470" s="402"/>
      <c r="P470" s="421" t="n">
        <f aca="false">MATCH(t-pas/2-T_ini,CdP_t)</f>
        <v>23</v>
      </c>
      <c r="Q470" s="418" t="n">
        <f aca="false">(INDEX(CdP,2,i_P+1)-INDEX(CdP,2,i_P+0))/(INDEX(CdP,1,i_P+1)-INDEX(CdP,1,i_P+0))*(t-pas/2-T_ini-INDEX(CdP,1,i_P+0))+INDEX(CdP,2,i_P+0)</f>
        <v>0</v>
      </c>
      <c r="R470" s="419" t="n">
        <f aca="false">Poussee/(g*ISP)</f>
        <v>0</v>
      </c>
      <c r="S470" s="420" t="n">
        <f aca="false">S469-Débit*pas</f>
        <v>1.4843</v>
      </c>
      <c r="T470" s="418" t="n">
        <f aca="false">m*g</f>
        <v>14.560983</v>
      </c>
      <c r="U470" s="422" t="n">
        <f aca="false">IF(pos_xz&lt;L_rampe,Poids*COS(Beta),0)</f>
        <v>0</v>
      </c>
      <c r="V470" s="419" t="n">
        <f aca="false">Rho_moyen*(20000-Alt_rampe-pos_z)/(20000+Alt_rampe+pos_z)</f>
        <v>1.22564831234593</v>
      </c>
      <c r="W470" s="418" t="n">
        <f aca="false">1/2*Rho*Sref*Cx*vit_xz^2</f>
        <v>5.553274689928</v>
      </c>
      <c r="X470" s="402"/>
      <c r="Y470" s="423" t="str">
        <f aca="false">IF(AND(pos_z&lt;=0,K469&gt;0),"Impact balistique","") &amp; IF(AND(H471&lt;0,vit_z&gt;=0),"Apogée","") &amp; IF(AND(Poussee=0,Q469&gt;0),"Fin de propulsion","") &amp; IF(AND(L471&gt;L_rampe,pos_xz&lt;=L_rampe),"Sortie de rampe","")</f>
        <v/>
      </c>
      <c r="Z470" s="424" t="str">
        <f aca="false">IF(ABS(t-T_para)&lt;pas/2,"Para","")</f>
        <v/>
      </c>
      <c r="AA470" s="425" t="str">
        <f aca="false">IF(ABS(t-T_satellite)&lt;pas/2,"Satellite","")</f>
        <v/>
      </c>
      <c r="AB470" s="413"/>
      <c r="AC470" s="421" t="e">
        <f aca="false">IF(ABS(t-ROUND(t,0))&lt;0.001,t,NA())</f>
        <v>#N/A</v>
      </c>
      <c r="AD470" s="426" t="e">
        <f aca="false">IF(ABS(t-ROUND(t,0))&lt;0.001,pos_x,NA())</f>
        <v>#N/A</v>
      </c>
      <c r="AE470" s="427" t="e">
        <f aca="false">IF(t&lt;T_para, pos_z, NA())</f>
        <v>#N/A</v>
      </c>
      <c r="AF470" s="413"/>
      <c r="AG470" s="419" t="n">
        <f aca="false">IF(AND(L469&lt;L_rampe,Poussee&lt;Poids*SIN(M469)),0,(-W469+Poussee)/m-Poids*SIN(M469)/m)</f>
        <v>5.96733468685078</v>
      </c>
      <c r="AH470" s="418" t="n">
        <f aca="false">IF(AND(L469&lt;L_rampe,Poussee&lt;Poids*SIN(M469)), g*SIN(M469), (-W469+Poussee)/m)</f>
        <v>-3.74127757627884</v>
      </c>
    </row>
    <row r="471" customFormat="false" ht="12" hidden="false" customHeight="false" outlineLevel="0" collapsed="false">
      <c r="A471" s="417" t="n">
        <f aca="false">IF(B470+0.01&lt;=T_ini+ROUNDUP(Temps_fin_propu,0), 0.01, IF(K470&gt;0, 0.1, 0.0001))</f>
        <v>0.0001</v>
      </c>
      <c r="B471" s="418" t="n">
        <f aca="false">B470+pas</f>
        <v>16.5121999999999</v>
      </c>
      <c r="C471" s="402"/>
      <c r="D471" s="419" t="n">
        <f aca="false">IF(AND(L470&lt;L_rampe,Poussee&lt;Poids*SIN(M470)),0,(-W470+Poussee)/m*COS(M470)-U470/m*SIN(M470))</f>
        <v>-0.536500045525593</v>
      </c>
      <c r="E471" s="420" t="n">
        <f aca="false">IF(AND(L470&lt;L_rampe,Poussee&lt;Poids*SIN(M470)),0,(-W470+Poussee)/m*SIN(M470)+U470/m*COS(M470)-Poids/m)</f>
        <v>-6.107323739502</v>
      </c>
      <c r="F471" s="418" t="n">
        <f aca="false">SQRT(acc_x^2+acc_z^2)</f>
        <v>6.13084297286545</v>
      </c>
      <c r="G471" s="419" t="n">
        <f aca="false">G470+acc_x*pas</f>
        <v>10.2806908002651</v>
      </c>
      <c r="H471" s="420" t="n">
        <f aca="false">H470+acc_z*pas</f>
        <v>-70.953574732531</v>
      </c>
      <c r="I471" s="418" t="n">
        <f aca="false">SQRT(vit_x^2+vit_z^2)</f>
        <v>71.6945072558249</v>
      </c>
      <c r="J471" s="419" t="n">
        <f aca="false">J470+0.5*(vit_x+G470)*pas*(K470&gt;=0)</f>
        <v>211.791153319536</v>
      </c>
      <c r="K471" s="420" t="n">
        <f aca="false">K470+0.5*(vit_z+H470)*pas</f>
        <v>-5.29804093237109</v>
      </c>
      <c r="L471" s="418" t="n">
        <f aca="false">SQRT(pos_x^2+pos_z^2)</f>
        <v>211.857409268924</v>
      </c>
      <c r="M471" s="419" t="n">
        <f aca="false">IF(AND(L470&gt;L_rampe,G471&gt;0),ATAN2(G471,H471),$M$4)</f>
        <v>-1.42690450321933</v>
      </c>
      <c r="N471" s="418" t="n">
        <f aca="false">DEGREES(Beta)</f>
        <v>-81.7556058026788</v>
      </c>
      <c r="O471" s="402"/>
      <c r="P471" s="421" t="n">
        <f aca="false">MATCH(t-pas/2-T_ini,CdP_t)</f>
        <v>23</v>
      </c>
      <c r="Q471" s="418" t="n">
        <f aca="false">(INDEX(CdP,2,i_P+1)-INDEX(CdP,2,i_P+0))/(INDEX(CdP,1,i_P+1)-INDEX(CdP,1,i_P+0))*(t-pas/2-T_ini-INDEX(CdP,1,i_P+0))+INDEX(CdP,2,i_P+0)</f>
        <v>0</v>
      </c>
      <c r="R471" s="419" t="n">
        <f aca="false">Poussee/(g*ISP)</f>
        <v>0</v>
      </c>
      <c r="S471" s="420" t="n">
        <f aca="false">S470-Débit*pas</f>
        <v>1.4843</v>
      </c>
      <c r="T471" s="418" t="n">
        <f aca="false">m*g</f>
        <v>14.560983</v>
      </c>
      <c r="U471" s="422" t="n">
        <f aca="false">IF(pos_xz&lt;L_rampe,Poids*COS(Beta),0)</f>
        <v>0</v>
      </c>
      <c r="V471" s="419" t="n">
        <f aca="false">Rho_moyen*(20000-Alt_rampe-pos_z)/(20000+Alt_rampe+pos_z)</f>
        <v>1.22564918198385</v>
      </c>
      <c r="W471" s="418" t="n">
        <f aca="false">1/2*Rho*Sref*Cx*vit_xz^2</f>
        <v>5.55337107335947</v>
      </c>
      <c r="X471" s="402"/>
      <c r="Y471" s="423" t="str">
        <f aca="false">IF(AND(pos_z&lt;=0,K470&gt;0),"Impact balistique","") &amp; IF(AND(H472&lt;0,vit_z&gt;=0),"Apogée","") &amp; IF(AND(Poussee=0,Q470&gt;0),"Fin de propulsion","") &amp; IF(AND(L472&gt;L_rampe,pos_xz&lt;=L_rampe),"Sortie de rampe","")</f>
        <v/>
      </c>
      <c r="Z471" s="424" t="str">
        <f aca="false">IF(ABS(t-T_para)&lt;pas/2,"Para","")</f>
        <v/>
      </c>
      <c r="AA471" s="425" t="str">
        <f aca="false">IF(ABS(t-T_satellite)&lt;pas/2,"Satellite","")</f>
        <v/>
      </c>
      <c r="AB471" s="413"/>
      <c r="AC471" s="421" t="e">
        <f aca="false">IF(ABS(t-ROUND(t,0))&lt;0.001,t,NA())</f>
        <v>#N/A</v>
      </c>
      <c r="AD471" s="426" t="e">
        <f aca="false">IF(ABS(t-ROUND(t,0))&lt;0.001,pos_x,NA())</f>
        <v>#N/A</v>
      </c>
      <c r="AE471" s="427" t="e">
        <f aca="false">IF(t&lt;T_para, pos_z, NA())</f>
        <v>#N/A</v>
      </c>
      <c r="AF471" s="413"/>
      <c r="AG471" s="419" t="n">
        <f aca="false">IF(AND(L470&lt;L_rampe,Poussee&lt;Poids*SIN(M470)),0,(-W470+Poussee)/m-Poids*SIN(M470)/m)</f>
        <v>5.96727251181117</v>
      </c>
      <c r="AH471" s="418" t="n">
        <f aca="false">IF(AND(L470&lt;L_rampe,Poussee&lt;Poids*SIN(M470)), g*SIN(M470), (-W470+Poussee)/m)</f>
        <v>-3.74134251157314</v>
      </c>
    </row>
    <row r="472" customFormat="false" ht="12" hidden="false" customHeight="false" outlineLevel="0" collapsed="false">
      <c r="A472" s="417" t="n">
        <f aca="false">IF(B471+0.01&lt;=T_ini+ROUNDUP(Temps_fin_propu,0), 0.01, IF(K471&gt;0, 0.1, 0.0001))</f>
        <v>0.0001</v>
      </c>
      <c r="B472" s="418" t="n">
        <f aca="false">B471+pas</f>
        <v>16.5122999999999</v>
      </c>
      <c r="C472" s="402"/>
      <c r="D472" s="419" t="n">
        <f aca="false">IF(AND(L471&lt;L_rampe,Poussee&lt;Poids*SIN(M471)),0,(-W471+Poussee)/m*COS(M471)-U471/m*SIN(M471))</f>
        <v>-0.536502091877468</v>
      </c>
      <c r="E472" s="420" t="n">
        <f aca="false">IF(AND(L471&lt;L_rampe,Poussee&lt;Poids*SIN(M471)),0,(-W471+Poussee)/m*SIN(M471)+U471/m*COS(M471)-Poids/m)</f>
        <v>-6.10725842263387</v>
      </c>
      <c r="F472" s="418" t="n">
        <f aca="false">SQRT(acc_x^2+acc_z^2)</f>
        <v>6.13077808564469</v>
      </c>
      <c r="G472" s="419" t="n">
        <f aca="false">G471+acc_x*pas</f>
        <v>10.2806371500559</v>
      </c>
      <c r="H472" s="420" t="n">
        <f aca="false">H471+acc_z*pas</f>
        <v>-70.9541854583733</v>
      </c>
      <c r="I472" s="418" t="n">
        <f aca="false">SQRT(vit_x^2+vit_z^2)</f>
        <v>71.6951039769965</v>
      </c>
      <c r="J472" s="419" t="n">
        <f aca="false">J471+0.5*(vit_x+G471)*pas*(K471&gt;=0)</f>
        <v>211.791153319536</v>
      </c>
      <c r="K472" s="420" t="n">
        <f aca="false">K471+0.5*(vit_z+H471)*pas</f>
        <v>-5.30513632038064</v>
      </c>
      <c r="L472" s="418" t="n">
        <f aca="false">SQRT(pos_x^2+pos_z^2)</f>
        <v>211.857586826144</v>
      </c>
      <c r="M472" s="419" t="n">
        <f aca="false">IF(AND(L471&gt;L_rampe,G472&gt;0),ATAN2(G472,H472),$M$4)</f>
        <v>-1.42690646529576</v>
      </c>
      <c r="N472" s="418" t="n">
        <f aca="false">DEGREES(Beta)</f>
        <v>-81.7557182213776</v>
      </c>
      <c r="O472" s="402"/>
      <c r="P472" s="421" t="n">
        <f aca="false">MATCH(t-pas/2-T_ini,CdP_t)</f>
        <v>23</v>
      </c>
      <c r="Q472" s="418" t="n">
        <f aca="false">(INDEX(CdP,2,i_P+1)-INDEX(CdP,2,i_P+0))/(INDEX(CdP,1,i_P+1)-INDEX(CdP,1,i_P+0))*(t-pas/2-T_ini-INDEX(CdP,1,i_P+0))+INDEX(CdP,2,i_P+0)</f>
        <v>0</v>
      </c>
      <c r="R472" s="419" t="n">
        <f aca="false">Poussee/(g*ISP)</f>
        <v>0</v>
      </c>
      <c r="S472" s="420" t="n">
        <f aca="false">S471-Débit*pas</f>
        <v>1.4843</v>
      </c>
      <c r="T472" s="418" t="n">
        <f aca="false">m*g</f>
        <v>14.560983</v>
      </c>
      <c r="U472" s="422" t="n">
        <f aca="false">IF(pos_xz&lt;L_rampe,Poids*COS(Beta),0)</f>
        <v>0</v>
      </c>
      <c r="V472" s="419" t="n">
        <f aca="false">Rho_moyen*(20000-Alt_rampe-pos_z)/(20000+Alt_rampe+pos_z)</f>
        <v>1.22565005162987</v>
      </c>
      <c r="W472" s="418" t="n">
        <f aca="false">1/2*Rho*Sref*Cx*vit_xz^2</f>
        <v>5.55346745676505</v>
      </c>
      <c r="X472" s="402"/>
      <c r="Y472" s="423" t="str">
        <f aca="false">IF(AND(pos_z&lt;=0,K471&gt;0),"Impact balistique","") &amp; IF(AND(H473&lt;0,vit_z&gt;=0),"Apogée","") &amp; IF(AND(Poussee=0,Q471&gt;0),"Fin de propulsion","") &amp; IF(AND(L473&gt;L_rampe,pos_xz&lt;=L_rampe),"Sortie de rampe","")</f>
        <v/>
      </c>
      <c r="Z472" s="424" t="str">
        <f aca="false">IF(ABS(t-T_para)&lt;pas/2,"Para","")</f>
        <v/>
      </c>
      <c r="AA472" s="425" t="str">
        <f aca="false">IF(ABS(t-T_satellite)&lt;pas/2,"Satellite","")</f>
        <v/>
      </c>
      <c r="AB472" s="413"/>
      <c r="AC472" s="421" t="e">
        <f aca="false">IF(ABS(t-ROUND(t,0))&lt;0.001,t,NA())</f>
        <v>#N/A</v>
      </c>
      <c r="AD472" s="426" t="e">
        <f aca="false">IF(ABS(t-ROUND(t,0))&lt;0.001,pos_x,NA())</f>
        <v>#N/A</v>
      </c>
      <c r="AE472" s="427" t="e">
        <f aca="false">IF(t&lt;T_para, pos_z, NA())</f>
        <v>#N/A</v>
      </c>
      <c r="AF472" s="413"/>
      <c r="AG472" s="419" t="n">
        <f aca="false">IF(AND(L471&lt;L_rampe,Poussee&lt;Poids*SIN(M471)),0,(-W471+Poussee)/m-Poids*SIN(M471)/m)</f>
        <v>5.96721033669125</v>
      </c>
      <c r="AH472" s="418" t="n">
        <f aca="false">IF(AND(L471&lt;L_rampe,Poussee&lt;Poids*SIN(M471)), g*SIN(M471), (-W471+Poussee)/m)</f>
        <v>-3.74140744685002</v>
      </c>
    </row>
    <row r="473" customFormat="false" ht="12" hidden="false" customHeight="false" outlineLevel="0" collapsed="false">
      <c r="A473" s="417" t="n">
        <f aca="false">IF(B472+0.01&lt;=T_ini+ROUNDUP(Temps_fin_propu,0), 0.01, IF(K472&gt;0, 0.1, 0.0001))</f>
        <v>0.0001</v>
      </c>
      <c r="B473" s="418" t="n">
        <f aca="false">B472+pas</f>
        <v>16.5123999999999</v>
      </c>
      <c r="C473" s="402"/>
      <c r="D473" s="419" t="n">
        <f aca="false">IF(AND(L472&lt;L_rampe,Poussee&lt;Poids*SIN(M472)),0,(-W472+Poussee)/m*COS(M472)-U472/m*SIN(M472))</f>
        <v>-0.536504138131442</v>
      </c>
      <c r="E473" s="420" t="n">
        <f aca="false">IF(AND(L472&lt;L_rampe,Poussee&lt;Poids*SIN(M472)),0,(-W472+Poussee)/m*SIN(M472)+U472/m*COS(M472)-Poids/m)</f>
        <v>-6.10719310578372</v>
      </c>
      <c r="F473" s="418" t="n">
        <f aca="false">SQRT(acc_x^2+acc_z^2)</f>
        <v>6.1307131984431</v>
      </c>
      <c r="G473" s="419" t="n">
        <f aca="false">G472+acc_x*pas</f>
        <v>10.2805834996421</v>
      </c>
      <c r="H473" s="420" t="n">
        <f aca="false">H472+acc_z*pas</f>
        <v>-70.9547961776839</v>
      </c>
      <c r="I473" s="418" t="n">
        <f aca="false">SQRT(vit_x^2+vit_z^2)</f>
        <v>71.6957006919507</v>
      </c>
      <c r="J473" s="419" t="n">
        <f aca="false">J472+0.5*(vit_x+G472)*pas*(K472&gt;=0)</f>
        <v>211.791153319536</v>
      </c>
      <c r="K473" s="420" t="n">
        <f aca="false">K472+0.5*(vit_z+H472)*pas</f>
        <v>-5.31223176946244</v>
      </c>
      <c r="L473" s="418" t="n">
        <f aca="false">SQRT(pos_x^2+pos_z^2)</f>
        <v>211.85776462238</v>
      </c>
      <c r="M473" s="419" t="n">
        <f aca="false">IF(AND(L472&gt;L_rampe,G473&gt;0),ATAN2(G473,H473),$M$4)</f>
        <v>-1.4269084273293</v>
      </c>
      <c r="N473" s="418" t="n">
        <f aca="false">DEGREES(Beta)</f>
        <v>-81.7558306376184</v>
      </c>
      <c r="O473" s="402"/>
      <c r="P473" s="421" t="n">
        <f aca="false">MATCH(t-pas/2-T_ini,CdP_t)</f>
        <v>23</v>
      </c>
      <c r="Q473" s="418" t="n">
        <f aca="false">(INDEX(CdP,2,i_P+1)-INDEX(CdP,2,i_P+0))/(INDEX(CdP,1,i_P+1)-INDEX(CdP,1,i_P+0))*(t-pas/2-T_ini-INDEX(CdP,1,i_P+0))+INDEX(CdP,2,i_P+0)</f>
        <v>0</v>
      </c>
      <c r="R473" s="419" t="n">
        <f aca="false">Poussee/(g*ISP)</f>
        <v>0</v>
      </c>
      <c r="S473" s="420" t="n">
        <f aca="false">S472-Débit*pas</f>
        <v>1.4843</v>
      </c>
      <c r="T473" s="418" t="n">
        <f aca="false">m*g</f>
        <v>14.560983</v>
      </c>
      <c r="U473" s="422" t="n">
        <f aca="false">IF(pos_xz&lt;L_rampe,Poids*COS(Beta),0)</f>
        <v>0</v>
      </c>
      <c r="V473" s="419" t="n">
        <f aca="false">Rho_moyen*(20000-Alt_rampe-pos_z)/(20000+Alt_rampe+pos_z)</f>
        <v>1.225650921284</v>
      </c>
      <c r="W473" s="418" t="n">
        <f aca="false">1/2*Rho*Sref*Cx*vit_xz^2</f>
        <v>5.55356384014471</v>
      </c>
      <c r="X473" s="402"/>
      <c r="Y473" s="423" t="str">
        <f aca="false">IF(AND(pos_z&lt;=0,K472&gt;0),"Impact balistique","") &amp; IF(AND(H474&lt;0,vit_z&gt;=0),"Apogée","") &amp; IF(AND(Poussee=0,Q472&gt;0),"Fin de propulsion","") &amp; IF(AND(L474&gt;L_rampe,pos_xz&lt;=L_rampe),"Sortie de rampe","")</f>
        <v/>
      </c>
      <c r="Z473" s="424" t="str">
        <f aca="false">IF(ABS(t-T_para)&lt;pas/2,"Para","")</f>
        <v/>
      </c>
      <c r="AA473" s="425" t="str">
        <f aca="false">IF(ABS(t-T_satellite)&lt;pas/2,"Satellite","")</f>
        <v/>
      </c>
      <c r="AB473" s="413"/>
      <c r="AC473" s="421" t="e">
        <f aca="false">IF(ABS(t-ROUND(t,0))&lt;0.001,t,NA())</f>
        <v>#N/A</v>
      </c>
      <c r="AD473" s="426" t="e">
        <f aca="false">IF(ABS(t-ROUND(t,0))&lt;0.001,pos_x,NA())</f>
        <v>#N/A</v>
      </c>
      <c r="AE473" s="427" t="e">
        <f aca="false">IF(t&lt;T_para, pos_z, NA())</f>
        <v>#N/A</v>
      </c>
      <c r="AF473" s="413"/>
      <c r="AG473" s="419" t="n">
        <f aca="false">IF(AND(L472&lt;L_rampe,Poussee&lt;Poids*SIN(M472)),0,(-W472+Poussee)/m-Poids*SIN(M472)/m)</f>
        <v>5.96714816149105</v>
      </c>
      <c r="AH473" s="418" t="n">
        <f aca="false">IF(AND(L472&lt;L_rampe,Poussee&lt;Poids*SIN(M472)), g*SIN(M472), (-W472+Poussee)/m)</f>
        <v>-3.74147238210945</v>
      </c>
    </row>
    <row r="474" customFormat="false" ht="12" hidden="false" customHeight="false" outlineLevel="0" collapsed="false">
      <c r="A474" s="417" t="n">
        <f aca="false">IF(B473+0.01&lt;=T_ini+ROUNDUP(Temps_fin_propu,0), 0.01, IF(K473&gt;0, 0.1, 0.0001))</f>
        <v>0.0001</v>
      </c>
      <c r="B474" s="418" t="n">
        <f aca="false">B473+pas</f>
        <v>16.5124999999999</v>
      </c>
      <c r="C474" s="402"/>
      <c r="D474" s="419" t="n">
        <f aca="false">IF(AND(L473&lt;L_rampe,Poussee&lt;Poids*SIN(M473)),0,(-W473+Poussee)/m*COS(M473)-U473/m*SIN(M473))</f>
        <v>-0.536506184287515</v>
      </c>
      <c r="E474" s="420" t="n">
        <f aca="false">IF(AND(L473&lt;L_rampe,Poussee&lt;Poids*SIN(M473)),0,(-W473+Poussee)/m*SIN(M473)+U473/m*COS(M473)-Poids/m)</f>
        <v>-6.1071277889516</v>
      </c>
      <c r="F474" s="418" t="n">
        <f aca="false">SQRT(acc_x^2+acc_z^2)</f>
        <v>6.13064831126069</v>
      </c>
      <c r="G474" s="419" t="n">
        <f aca="false">G473+acc_x*pas</f>
        <v>10.2805298490237</v>
      </c>
      <c r="H474" s="420" t="n">
        <f aca="false">H473+acc_z*pas</f>
        <v>-70.9554068904628</v>
      </c>
      <c r="I474" s="418" t="n">
        <f aca="false">SQRT(vit_x^2+vit_z^2)</f>
        <v>71.6962974006873</v>
      </c>
      <c r="J474" s="419" t="n">
        <f aca="false">J473+0.5*(vit_x+G473)*pas*(K473&gt;=0)</f>
        <v>211.791153319536</v>
      </c>
      <c r="K474" s="420" t="n">
        <f aca="false">K473+0.5*(vit_z+H473)*pas</f>
        <v>-5.31932727961585</v>
      </c>
      <c r="L474" s="418" t="n">
        <f aca="false">SQRT(pos_x^2+pos_z^2)</f>
        <v>211.857942657638</v>
      </c>
      <c r="M474" s="419" t="n">
        <f aca="false">IF(AND(L473&gt;L_rampe,G474&gt;0),ATAN2(G474,H474),$M$4)</f>
        <v>-1.42691038931993</v>
      </c>
      <c r="N474" s="418" t="n">
        <f aca="false">DEGREES(Beta)</f>
        <v>-81.7559430514014</v>
      </c>
      <c r="O474" s="402"/>
      <c r="P474" s="421" t="n">
        <f aca="false">MATCH(t-pas/2-T_ini,CdP_t)</f>
        <v>23</v>
      </c>
      <c r="Q474" s="418" t="n">
        <f aca="false">(INDEX(CdP,2,i_P+1)-INDEX(CdP,2,i_P+0))/(INDEX(CdP,1,i_P+1)-INDEX(CdP,1,i_P+0))*(t-pas/2-T_ini-INDEX(CdP,1,i_P+0))+INDEX(CdP,2,i_P+0)</f>
        <v>0</v>
      </c>
      <c r="R474" s="419" t="n">
        <f aca="false">Poussee/(g*ISP)</f>
        <v>0</v>
      </c>
      <c r="S474" s="420" t="n">
        <f aca="false">S473-Débit*pas</f>
        <v>1.4843</v>
      </c>
      <c r="T474" s="418" t="n">
        <f aca="false">m*g</f>
        <v>14.560983</v>
      </c>
      <c r="U474" s="422" t="n">
        <f aca="false">IF(pos_xz&lt;L_rampe,Poids*COS(Beta),0)</f>
        <v>0</v>
      </c>
      <c r="V474" s="419" t="n">
        <f aca="false">Rho_moyen*(20000-Alt_rampe-pos_z)/(20000+Alt_rampe+pos_z)</f>
        <v>1.22565179094622</v>
      </c>
      <c r="W474" s="418" t="n">
        <f aca="false">1/2*Rho*Sref*Cx*vit_xz^2</f>
        <v>5.55366022349844</v>
      </c>
      <c r="X474" s="402"/>
      <c r="Y474" s="423" t="str">
        <f aca="false">IF(AND(pos_z&lt;=0,K473&gt;0),"Impact balistique","") &amp; IF(AND(H475&lt;0,vit_z&gt;=0),"Apogée","") &amp; IF(AND(Poussee=0,Q473&gt;0),"Fin de propulsion","") &amp; IF(AND(L475&gt;L_rampe,pos_xz&lt;=L_rampe),"Sortie de rampe","")</f>
        <v/>
      </c>
      <c r="Z474" s="424" t="str">
        <f aca="false">IF(ABS(t-T_para)&lt;pas/2,"Para","")</f>
        <v/>
      </c>
      <c r="AA474" s="425" t="str">
        <f aca="false">IF(ABS(t-T_satellite)&lt;pas/2,"Satellite","")</f>
        <v/>
      </c>
      <c r="AB474" s="413"/>
      <c r="AC474" s="421" t="e">
        <f aca="false">IF(ABS(t-ROUND(t,0))&lt;0.001,t,NA())</f>
        <v>#N/A</v>
      </c>
      <c r="AD474" s="426" t="e">
        <f aca="false">IF(ABS(t-ROUND(t,0))&lt;0.001,pos_x,NA())</f>
        <v>#N/A</v>
      </c>
      <c r="AE474" s="427" t="e">
        <f aca="false">IF(t&lt;T_para, pos_z, NA())</f>
        <v>#N/A</v>
      </c>
      <c r="AF474" s="413"/>
      <c r="AG474" s="419" t="n">
        <f aca="false">IF(AND(L473&lt;L_rampe,Poussee&lt;Poids*SIN(M473)),0,(-W473+Poussee)/m-Poids*SIN(M473)/m)</f>
        <v>5.96708598621059</v>
      </c>
      <c r="AH474" s="418" t="n">
        <f aca="false">IF(AND(L473&lt;L_rampe,Poussee&lt;Poids*SIN(M473)), g*SIN(M473), (-W473+Poussee)/m)</f>
        <v>-3.74153731735142</v>
      </c>
    </row>
    <row r="475" customFormat="false" ht="12" hidden="false" customHeight="false" outlineLevel="0" collapsed="false">
      <c r="A475" s="417" t="n">
        <f aca="false">IF(B474+0.01&lt;=T_ini+ROUNDUP(Temps_fin_propu,0), 0.01, IF(K474&gt;0, 0.1, 0.0001))</f>
        <v>0.0001</v>
      </c>
      <c r="B475" s="418" t="n">
        <f aca="false">B474+pas</f>
        <v>16.5125999999999</v>
      </c>
      <c r="C475" s="402"/>
      <c r="D475" s="419" t="n">
        <f aca="false">IF(AND(L474&lt;L_rampe,Poussee&lt;Poids*SIN(M474)),0,(-W474+Poussee)/m*COS(M474)-U474/m*SIN(M474))</f>
        <v>-0.53650823034569</v>
      </c>
      <c r="E475" s="420" t="n">
        <f aca="false">IF(AND(L474&lt;L_rampe,Poussee&lt;Poids*SIN(M474)),0,(-W474+Poussee)/m*SIN(M474)+U474/m*COS(M474)-Poids/m)</f>
        <v>-6.10706247213749</v>
      </c>
      <c r="F475" s="418" t="n">
        <f aca="false">SQRT(acc_x^2+acc_z^2)</f>
        <v>6.13058342409747</v>
      </c>
      <c r="G475" s="419" t="n">
        <f aca="false">G474+acc_x*pas</f>
        <v>10.2804761982006</v>
      </c>
      <c r="H475" s="420" t="n">
        <f aca="false">H474+acc_z*pas</f>
        <v>-70.95601759671</v>
      </c>
      <c r="I475" s="418" t="n">
        <f aca="false">SQRT(vit_x^2+vit_z^2)</f>
        <v>71.6968941032064</v>
      </c>
      <c r="J475" s="419" t="n">
        <f aca="false">J474+0.5*(vit_x+G474)*pas*(K474&gt;=0)</f>
        <v>211.791153319536</v>
      </c>
      <c r="K475" s="420" t="n">
        <f aca="false">K474+0.5*(vit_z+H474)*pas</f>
        <v>-5.32642285084021</v>
      </c>
      <c r="L475" s="418" t="n">
        <f aca="false">SQRT(pos_x^2+pos_z^2)</f>
        <v>211.858120931923</v>
      </c>
      <c r="M475" s="419" t="n">
        <f aca="false">IF(AND(L474&gt;L_rampe,G475&gt;0),ATAN2(G475,H475),$M$4)</f>
        <v>-1.42691235126768</v>
      </c>
      <c r="N475" s="418" t="n">
        <f aca="false">DEGREES(Beta)</f>
        <v>-81.7560554627266</v>
      </c>
      <c r="O475" s="402"/>
      <c r="P475" s="421" t="n">
        <f aca="false">MATCH(t-pas/2-T_ini,CdP_t)</f>
        <v>23</v>
      </c>
      <c r="Q475" s="418" t="n">
        <f aca="false">(INDEX(CdP,2,i_P+1)-INDEX(CdP,2,i_P+0))/(INDEX(CdP,1,i_P+1)-INDEX(CdP,1,i_P+0))*(t-pas/2-T_ini-INDEX(CdP,1,i_P+0))+INDEX(CdP,2,i_P+0)</f>
        <v>0</v>
      </c>
      <c r="R475" s="419" t="n">
        <f aca="false">Poussee/(g*ISP)</f>
        <v>0</v>
      </c>
      <c r="S475" s="420" t="n">
        <f aca="false">S474-Débit*pas</f>
        <v>1.4843</v>
      </c>
      <c r="T475" s="418" t="n">
        <f aca="false">m*g</f>
        <v>14.560983</v>
      </c>
      <c r="U475" s="422" t="n">
        <f aca="false">IF(pos_xz&lt;L_rampe,Poids*COS(Beta),0)</f>
        <v>0</v>
      </c>
      <c r="V475" s="419" t="n">
        <f aca="false">Rho_moyen*(20000-Alt_rampe-pos_z)/(20000+Alt_rampe+pos_z)</f>
        <v>1.22565266061655</v>
      </c>
      <c r="W475" s="418" t="n">
        <f aca="false">1/2*Rho*Sref*Cx*vit_xz^2</f>
        <v>5.5537566068262</v>
      </c>
      <c r="X475" s="402"/>
      <c r="Y475" s="423" t="str">
        <f aca="false">IF(AND(pos_z&lt;=0,K474&gt;0),"Impact balistique","") &amp; IF(AND(H476&lt;0,vit_z&gt;=0),"Apogée","") &amp; IF(AND(Poussee=0,Q474&gt;0),"Fin de propulsion","") &amp; IF(AND(L476&gt;L_rampe,pos_xz&lt;=L_rampe),"Sortie de rampe","")</f>
        <v/>
      </c>
      <c r="Z475" s="424" t="str">
        <f aca="false">IF(ABS(t-T_para)&lt;pas/2,"Para","")</f>
        <v/>
      </c>
      <c r="AA475" s="425" t="str">
        <f aca="false">IF(ABS(t-T_satellite)&lt;pas/2,"Satellite","")</f>
        <v/>
      </c>
      <c r="AB475" s="413"/>
      <c r="AC475" s="421" t="e">
        <f aca="false">IF(ABS(t-ROUND(t,0))&lt;0.001,t,NA())</f>
        <v>#N/A</v>
      </c>
      <c r="AD475" s="426" t="e">
        <f aca="false">IF(ABS(t-ROUND(t,0))&lt;0.001,pos_x,NA())</f>
        <v>#N/A</v>
      </c>
      <c r="AE475" s="427" t="e">
        <f aca="false">IF(t&lt;T_para, pos_z, NA())</f>
        <v>#N/A</v>
      </c>
      <c r="AF475" s="413"/>
      <c r="AG475" s="419" t="n">
        <f aca="false">IF(AND(L474&lt;L_rampe,Poussee&lt;Poids*SIN(M474)),0,(-W474+Poussee)/m-Poids*SIN(M474)/m)</f>
        <v>5.96702381084987</v>
      </c>
      <c r="AH475" s="418" t="n">
        <f aca="false">IF(AND(L474&lt;L_rampe,Poussee&lt;Poids*SIN(M474)), g*SIN(M474), (-W474+Poussee)/m)</f>
        <v>-3.74160225257592</v>
      </c>
    </row>
    <row r="476" customFormat="false" ht="12" hidden="false" customHeight="false" outlineLevel="0" collapsed="false">
      <c r="A476" s="417" t="n">
        <f aca="false">IF(B475+0.01&lt;=T_ini+ROUNDUP(Temps_fin_propu,0), 0.01, IF(K475&gt;0, 0.1, 0.0001))</f>
        <v>0.0001</v>
      </c>
      <c r="B476" s="418" t="n">
        <f aca="false">B475+pas</f>
        <v>16.5126999999999</v>
      </c>
      <c r="C476" s="402"/>
      <c r="D476" s="419" t="n">
        <f aca="false">IF(AND(L475&lt;L_rampe,Poussee&lt;Poids*SIN(M475)),0,(-W475+Poussee)/m*COS(M475)-U475/m*SIN(M475))</f>
        <v>-0.536510276305966</v>
      </c>
      <c r="E476" s="420" t="n">
        <f aca="false">IF(AND(L475&lt;L_rampe,Poussee&lt;Poids*SIN(M475)),0,(-W475+Poussee)/m*SIN(M475)+U475/m*COS(M475)-Poids/m)</f>
        <v>-6.10699715534142</v>
      </c>
      <c r="F476" s="418" t="n">
        <f aca="false">SQRT(acc_x^2+acc_z^2)</f>
        <v>6.13051853695347</v>
      </c>
      <c r="G476" s="419" t="n">
        <f aca="false">G475+acc_x*pas</f>
        <v>10.280422547173</v>
      </c>
      <c r="H476" s="420" t="n">
        <f aca="false">H475+acc_z*pas</f>
        <v>-70.9566282964255</v>
      </c>
      <c r="I476" s="418" t="n">
        <f aca="false">SQRT(vit_x^2+vit_z^2)</f>
        <v>71.6974907995079</v>
      </c>
      <c r="J476" s="419" t="n">
        <f aca="false">J475+0.5*(vit_x+G475)*pas*(K475&gt;=0)</f>
        <v>211.791153319536</v>
      </c>
      <c r="K476" s="420" t="n">
        <f aca="false">K475+0.5*(vit_z+H475)*pas</f>
        <v>-5.33351848313487</v>
      </c>
      <c r="L476" s="418" t="n">
        <f aca="false">SQRT(pos_x^2+pos_z^2)</f>
        <v>211.858299445241</v>
      </c>
      <c r="M476" s="419" t="n">
        <f aca="false">IF(AND(L475&gt;L_rampe,G476&gt;0),ATAN2(G476,H476),$M$4)</f>
        <v>-1.42691431317252</v>
      </c>
      <c r="N476" s="418" t="n">
        <f aca="false">DEGREES(Beta)</f>
        <v>-81.7561678715941</v>
      </c>
      <c r="O476" s="402"/>
      <c r="P476" s="421" t="n">
        <f aca="false">MATCH(t-pas/2-T_ini,CdP_t)</f>
        <v>23</v>
      </c>
      <c r="Q476" s="418" t="n">
        <f aca="false">(INDEX(CdP,2,i_P+1)-INDEX(CdP,2,i_P+0))/(INDEX(CdP,1,i_P+1)-INDEX(CdP,1,i_P+0))*(t-pas/2-T_ini-INDEX(CdP,1,i_P+0))+INDEX(CdP,2,i_P+0)</f>
        <v>0</v>
      </c>
      <c r="R476" s="419" t="n">
        <f aca="false">Poussee/(g*ISP)</f>
        <v>0</v>
      </c>
      <c r="S476" s="420" t="n">
        <f aca="false">S475-Débit*pas</f>
        <v>1.4843</v>
      </c>
      <c r="T476" s="418" t="n">
        <f aca="false">m*g</f>
        <v>14.560983</v>
      </c>
      <c r="U476" s="422" t="n">
        <f aca="false">IF(pos_xz&lt;L_rampe,Poids*COS(Beta),0)</f>
        <v>0</v>
      </c>
      <c r="V476" s="419" t="n">
        <f aca="false">Rho_moyen*(20000-Alt_rampe-pos_z)/(20000+Alt_rampe+pos_z)</f>
        <v>1.22565353029498</v>
      </c>
      <c r="W476" s="418" t="n">
        <f aca="false">1/2*Rho*Sref*Cx*vit_xz^2</f>
        <v>5.55385299012798</v>
      </c>
      <c r="X476" s="402"/>
      <c r="Y476" s="423" t="str">
        <f aca="false">IF(AND(pos_z&lt;=0,K475&gt;0),"Impact balistique","") &amp; IF(AND(H477&lt;0,vit_z&gt;=0),"Apogée","") &amp; IF(AND(Poussee=0,Q475&gt;0),"Fin de propulsion","") &amp; IF(AND(L477&gt;L_rampe,pos_xz&lt;=L_rampe),"Sortie de rampe","")</f>
        <v/>
      </c>
      <c r="Z476" s="424" t="str">
        <f aca="false">IF(ABS(t-T_para)&lt;pas/2,"Para","")</f>
        <v/>
      </c>
      <c r="AA476" s="425" t="str">
        <f aca="false">IF(ABS(t-T_satellite)&lt;pas/2,"Satellite","")</f>
        <v/>
      </c>
      <c r="AB476" s="413"/>
      <c r="AC476" s="421" t="e">
        <f aca="false">IF(ABS(t-ROUND(t,0))&lt;0.001,t,NA())</f>
        <v>#N/A</v>
      </c>
      <c r="AD476" s="426" t="e">
        <f aca="false">IF(ABS(t-ROUND(t,0))&lt;0.001,pos_x,NA())</f>
        <v>#N/A</v>
      </c>
      <c r="AE476" s="427" t="e">
        <f aca="false">IF(t&lt;T_para, pos_z, NA())</f>
        <v>#N/A</v>
      </c>
      <c r="AF476" s="413"/>
      <c r="AG476" s="419" t="n">
        <f aca="false">IF(AND(L475&lt;L_rampe,Poussee&lt;Poids*SIN(M475)),0,(-W475+Poussee)/m-Poids*SIN(M475)/m)</f>
        <v>5.96696163540894</v>
      </c>
      <c r="AH476" s="418" t="n">
        <f aca="false">IF(AND(L475&lt;L_rampe,Poussee&lt;Poids*SIN(M475)), g*SIN(M475), (-W475+Poussee)/m)</f>
        <v>-3.74166718778293</v>
      </c>
    </row>
    <row r="477" customFormat="false" ht="12" hidden="false" customHeight="false" outlineLevel="0" collapsed="false">
      <c r="A477" s="417" t="n">
        <f aca="false">IF(B476+0.01&lt;=T_ini+ROUNDUP(Temps_fin_propu,0), 0.01, IF(K476&gt;0, 0.1, 0.0001))</f>
        <v>0.0001</v>
      </c>
      <c r="B477" s="418" t="n">
        <f aca="false">B476+pas</f>
        <v>16.5127999999999</v>
      </c>
      <c r="C477" s="402"/>
      <c r="D477" s="419" t="n">
        <f aca="false">IF(AND(L476&lt;L_rampe,Poussee&lt;Poids*SIN(M476)),0,(-W476+Poussee)/m*COS(M476)-U476/m*SIN(M476))</f>
        <v>-0.536512322168343</v>
      </c>
      <c r="E477" s="420" t="n">
        <f aca="false">IF(AND(L476&lt;L_rampe,Poussee&lt;Poids*SIN(M476)),0,(-W476+Poussee)/m*SIN(M476)+U476/m*COS(M476)-Poids/m)</f>
        <v>-6.10693183856342</v>
      </c>
      <c r="F477" s="418" t="n">
        <f aca="false">SQRT(acc_x^2+acc_z^2)</f>
        <v>6.1304536498287</v>
      </c>
      <c r="G477" s="419" t="n">
        <f aca="false">G476+acc_x*pas</f>
        <v>10.2803688959408</v>
      </c>
      <c r="H477" s="420" t="n">
        <f aca="false">H476+acc_z*pas</f>
        <v>-70.9572389896094</v>
      </c>
      <c r="I477" s="418" t="n">
        <f aca="false">SQRT(vit_x^2+vit_z^2)</f>
        <v>71.6980874895918</v>
      </c>
      <c r="J477" s="419" t="n">
        <f aca="false">J476+0.5*(vit_x+G476)*pas*(K476&gt;=0)</f>
        <v>211.791153319536</v>
      </c>
      <c r="K477" s="420" t="n">
        <f aca="false">K476+0.5*(vit_z+H476)*pas</f>
        <v>-5.34061417649917</v>
      </c>
      <c r="L477" s="418" t="n">
        <f aca="false">SQRT(pos_x^2+pos_z^2)</f>
        <v>211.858478197597</v>
      </c>
      <c r="M477" s="419" t="n">
        <f aca="false">IF(AND(L476&gt;L_rampe,G477&gt;0),ATAN2(G477,H477),$M$4)</f>
        <v>-1.42691627503447</v>
      </c>
      <c r="N477" s="418" t="n">
        <f aca="false">DEGREES(Beta)</f>
        <v>-81.7562802780039</v>
      </c>
      <c r="O477" s="402"/>
      <c r="P477" s="421" t="n">
        <f aca="false">MATCH(t-pas/2-T_ini,CdP_t)</f>
        <v>23</v>
      </c>
      <c r="Q477" s="418" t="n">
        <f aca="false">(INDEX(CdP,2,i_P+1)-INDEX(CdP,2,i_P+0))/(INDEX(CdP,1,i_P+1)-INDEX(CdP,1,i_P+0))*(t-pas/2-T_ini-INDEX(CdP,1,i_P+0))+INDEX(CdP,2,i_P+0)</f>
        <v>0</v>
      </c>
      <c r="R477" s="419" t="n">
        <f aca="false">Poussee/(g*ISP)</f>
        <v>0</v>
      </c>
      <c r="S477" s="420" t="n">
        <f aca="false">S476-Débit*pas</f>
        <v>1.4843</v>
      </c>
      <c r="T477" s="418" t="n">
        <f aca="false">m*g</f>
        <v>14.560983</v>
      </c>
      <c r="U477" s="422" t="n">
        <f aca="false">IF(pos_xz&lt;L_rampe,Poids*COS(Beta),0)</f>
        <v>0</v>
      </c>
      <c r="V477" s="419" t="n">
        <f aca="false">Rho_moyen*(20000-Alt_rampe-pos_z)/(20000+Alt_rampe+pos_z)</f>
        <v>1.22565439998151</v>
      </c>
      <c r="W477" s="418" t="n">
        <f aca="false">1/2*Rho*Sref*Cx*vit_xz^2</f>
        <v>5.55394937340375</v>
      </c>
      <c r="X477" s="402"/>
      <c r="Y477" s="423" t="str">
        <f aca="false">IF(AND(pos_z&lt;=0,K476&gt;0),"Impact balistique","") &amp; IF(AND(H478&lt;0,vit_z&gt;=0),"Apogée","") &amp; IF(AND(Poussee=0,Q476&gt;0),"Fin de propulsion","") &amp; IF(AND(L478&gt;L_rampe,pos_xz&lt;=L_rampe),"Sortie de rampe","")</f>
        <v/>
      </c>
      <c r="Z477" s="424" t="str">
        <f aca="false">IF(ABS(t-T_para)&lt;pas/2,"Para","")</f>
        <v/>
      </c>
      <c r="AA477" s="425" t="str">
        <f aca="false">IF(ABS(t-T_satellite)&lt;pas/2,"Satellite","")</f>
        <v/>
      </c>
      <c r="AB477" s="413"/>
      <c r="AC477" s="421" t="e">
        <f aca="false">IF(ABS(t-ROUND(t,0))&lt;0.001,t,NA())</f>
        <v>#N/A</v>
      </c>
      <c r="AD477" s="426" t="e">
        <f aca="false">IF(ABS(t-ROUND(t,0))&lt;0.001,pos_x,NA())</f>
        <v>#N/A</v>
      </c>
      <c r="AE477" s="427" t="e">
        <f aca="false">IF(t&lt;T_para, pos_z, NA())</f>
        <v>#N/A</v>
      </c>
      <c r="AF477" s="413"/>
      <c r="AG477" s="419" t="n">
        <f aca="false">IF(AND(L476&lt;L_rampe,Poussee&lt;Poids*SIN(M476)),0,(-W476+Poussee)/m-Poids*SIN(M476)/m)</f>
        <v>5.96689945988781</v>
      </c>
      <c r="AH477" s="418" t="n">
        <f aca="false">IF(AND(L476&lt;L_rampe,Poussee&lt;Poids*SIN(M476)), g*SIN(M476), (-W476+Poussee)/m)</f>
        <v>-3.74173212297243</v>
      </c>
    </row>
    <row r="478" customFormat="false" ht="12" hidden="false" customHeight="false" outlineLevel="0" collapsed="false">
      <c r="A478" s="417" t="n">
        <f aca="false">IF(B477+0.01&lt;=T_ini+ROUNDUP(Temps_fin_propu,0), 0.01, IF(K477&gt;0, 0.1, 0.0001))</f>
        <v>0.0001</v>
      </c>
      <c r="B478" s="418" t="n">
        <f aca="false">B477+pas</f>
        <v>16.5128999999999</v>
      </c>
      <c r="C478" s="402"/>
      <c r="D478" s="419" t="n">
        <f aca="false">IF(AND(L477&lt;L_rampe,Poussee&lt;Poids*SIN(M477)),0,(-W477+Poussee)/m*COS(M477)-U477/m*SIN(M477))</f>
        <v>-0.536514367932823</v>
      </c>
      <c r="E478" s="420" t="n">
        <f aca="false">IF(AND(L477&lt;L_rampe,Poussee&lt;Poids*SIN(M477)),0,(-W477+Poussee)/m*SIN(M477)+U477/m*COS(M477)-Poids/m)</f>
        <v>-6.10686652180348</v>
      </c>
      <c r="F478" s="418" t="n">
        <f aca="false">SQRT(acc_x^2+acc_z^2)</f>
        <v>6.13038876272317</v>
      </c>
      <c r="G478" s="419" t="n">
        <f aca="false">G477+acc_x*pas</f>
        <v>10.280315244504</v>
      </c>
      <c r="H478" s="420" t="n">
        <f aca="false">H477+acc_z*pas</f>
        <v>-70.9578496762616</v>
      </c>
      <c r="I478" s="418" t="n">
        <f aca="false">SQRT(vit_x^2+vit_z^2)</f>
        <v>71.6986841734583</v>
      </c>
      <c r="J478" s="419" t="n">
        <f aca="false">J477+0.5*(vit_x+G477)*pas*(K477&gt;=0)</f>
        <v>211.791153319536</v>
      </c>
      <c r="K478" s="420" t="n">
        <f aca="false">K477+0.5*(vit_z+H477)*pas</f>
        <v>-5.34770993093246</v>
      </c>
      <c r="L478" s="418" t="n">
        <f aca="false">SQRT(pos_x^2+pos_z^2)</f>
        <v>211.858657188996</v>
      </c>
      <c r="M478" s="419" t="n">
        <f aca="false">IF(AND(L477&gt;L_rampe,G478&gt;0),ATAN2(G478,H478),$M$4)</f>
        <v>-1.42691823685353</v>
      </c>
      <c r="N478" s="418" t="n">
        <f aca="false">DEGREES(Beta)</f>
        <v>-81.7563926819562</v>
      </c>
      <c r="O478" s="402"/>
      <c r="P478" s="421" t="n">
        <f aca="false">MATCH(t-pas/2-T_ini,CdP_t)</f>
        <v>23</v>
      </c>
      <c r="Q478" s="418" t="n">
        <f aca="false">(INDEX(CdP,2,i_P+1)-INDEX(CdP,2,i_P+0))/(INDEX(CdP,1,i_P+1)-INDEX(CdP,1,i_P+0))*(t-pas/2-T_ini-INDEX(CdP,1,i_P+0))+INDEX(CdP,2,i_P+0)</f>
        <v>0</v>
      </c>
      <c r="R478" s="419" t="n">
        <f aca="false">Poussee/(g*ISP)</f>
        <v>0</v>
      </c>
      <c r="S478" s="420" t="n">
        <f aca="false">S477-Débit*pas</f>
        <v>1.4843</v>
      </c>
      <c r="T478" s="418" t="n">
        <f aca="false">m*g</f>
        <v>14.560983</v>
      </c>
      <c r="U478" s="422" t="n">
        <f aca="false">IF(pos_xz&lt;L_rampe,Poids*COS(Beta),0)</f>
        <v>0</v>
      </c>
      <c r="V478" s="419" t="n">
        <f aca="false">Rho_moyen*(20000-Alt_rampe-pos_z)/(20000+Alt_rampe+pos_z)</f>
        <v>1.22565526967615</v>
      </c>
      <c r="W478" s="418" t="n">
        <f aca="false">1/2*Rho*Sref*Cx*vit_xz^2</f>
        <v>5.55404575665348</v>
      </c>
      <c r="X478" s="402"/>
      <c r="Y478" s="423" t="str">
        <f aca="false">IF(AND(pos_z&lt;=0,K477&gt;0),"Impact balistique","") &amp; IF(AND(H479&lt;0,vit_z&gt;=0),"Apogée","") &amp; IF(AND(Poussee=0,Q477&gt;0),"Fin de propulsion","") &amp; IF(AND(L479&gt;L_rampe,pos_xz&lt;=L_rampe),"Sortie de rampe","")</f>
        <v/>
      </c>
      <c r="Z478" s="424" t="str">
        <f aca="false">IF(ABS(t-T_para)&lt;pas/2,"Para","")</f>
        <v/>
      </c>
      <c r="AA478" s="425" t="str">
        <f aca="false">IF(ABS(t-T_satellite)&lt;pas/2,"Satellite","")</f>
        <v/>
      </c>
      <c r="AB478" s="413"/>
      <c r="AC478" s="421" t="e">
        <f aca="false">IF(ABS(t-ROUND(t,0))&lt;0.001,t,NA())</f>
        <v>#N/A</v>
      </c>
      <c r="AD478" s="426" t="e">
        <f aca="false">IF(ABS(t-ROUND(t,0))&lt;0.001,pos_x,NA())</f>
        <v>#N/A</v>
      </c>
      <c r="AE478" s="427" t="e">
        <f aca="false">IF(t&lt;T_para, pos_z, NA())</f>
        <v>#N/A</v>
      </c>
      <c r="AF478" s="413"/>
      <c r="AG478" s="419" t="n">
        <f aca="false">IF(AND(L477&lt;L_rampe,Poussee&lt;Poids*SIN(M477)),0,(-W477+Poussee)/m-Poids*SIN(M477)/m)</f>
        <v>5.9668372842865</v>
      </c>
      <c r="AH478" s="418" t="n">
        <f aca="false">IF(AND(L477&lt;L_rampe,Poussee&lt;Poids*SIN(M477)), g*SIN(M477), (-W477+Poussee)/m)</f>
        <v>-3.74179705814441</v>
      </c>
    </row>
    <row r="479" customFormat="false" ht="12" hidden="false" customHeight="false" outlineLevel="0" collapsed="false">
      <c r="A479" s="417" t="n">
        <f aca="false">IF(B478+0.01&lt;=T_ini+ROUNDUP(Temps_fin_propu,0), 0.01, IF(K478&gt;0, 0.1, 0.0001))</f>
        <v>0.0001</v>
      </c>
      <c r="B479" s="418" t="n">
        <f aca="false">B478+pas</f>
        <v>16.5129999999999</v>
      </c>
      <c r="C479" s="402"/>
      <c r="D479" s="419" t="n">
        <f aca="false">IF(AND(L478&lt;L_rampe,Poussee&lt;Poids*SIN(M478)),0,(-W478+Poussee)/m*COS(M478)-U478/m*SIN(M478))</f>
        <v>-0.536516413599406</v>
      </c>
      <c r="E479" s="420" t="n">
        <f aca="false">IF(AND(L478&lt;L_rampe,Poussee&lt;Poids*SIN(M478)),0,(-W478+Poussee)/m*SIN(M478)+U478/m*COS(M478)-Poids/m)</f>
        <v>-6.10680120506164</v>
      </c>
      <c r="F479" s="418" t="n">
        <f aca="false">SQRT(acc_x^2+acc_z^2)</f>
        <v>6.13032387563691</v>
      </c>
      <c r="G479" s="419" t="n">
        <f aca="false">G478+acc_x*pas</f>
        <v>10.2802615928626</v>
      </c>
      <c r="H479" s="420" t="n">
        <f aca="false">H478+acc_z*pas</f>
        <v>-70.9584603563821</v>
      </c>
      <c r="I479" s="418" t="n">
        <f aca="false">SQRT(vit_x^2+vit_z^2)</f>
        <v>71.6992808511071</v>
      </c>
      <c r="J479" s="419" t="n">
        <f aca="false">J478+0.5*(vit_x+G478)*pas*(K478&gt;=0)</f>
        <v>211.791153319536</v>
      </c>
      <c r="K479" s="420" t="n">
        <f aca="false">K478+0.5*(vit_z+H478)*pas</f>
        <v>-5.35480574643409</v>
      </c>
      <c r="L479" s="418" t="n">
        <f aca="false">SQRT(pos_x^2+pos_z^2)</f>
        <v>211.858836419445</v>
      </c>
      <c r="M479" s="419" t="n">
        <f aca="false">IF(AND(L478&gt;L_rampe,G479&gt;0),ATAN2(G479,H479),$M$4)</f>
        <v>-1.4269201986297</v>
      </c>
      <c r="N479" s="418" t="n">
        <f aca="false">DEGREES(Beta)</f>
        <v>-81.7565050834511</v>
      </c>
      <c r="O479" s="402"/>
      <c r="P479" s="421" t="n">
        <f aca="false">MATCH(t-pas/2-T_ini,CdP_t)</f>
        <v>23</v>
      </c>
      <c r="Q479" s="418" t="n">
        <f aca="false">(INDEX(CdP,2,i_P+1)-INDEX(CdP,2,i_P+0))/(INDEX(CdP,1,i_P+1)-INDEX(CdP,1,i_P+0))*(t-pas/2-T_ini-INDEX(CdP,1,i_P+0))+INDEX(CdP,2,i_P+0)</f>
        <v>0</v>
      </c>
      <c r="R479" s="419" t="n">
        <f aca="false">Poussee/(g*ISP)</f>
        <v>0</v>
      </c>
      <c r="S479" s="420" t="n">
        <f aca="false">S478-Débit*pas</f>
        <v>1.4843</v>
      </c>
      <c r="T479" s="418" t="n">
        <f aca="false">m*g</f>
        <v>14.560983</v>
      </c>
      <c r="U479" s="422" t="n">
        <f aca="false">IF(pos_xz&lt;L_rampe,Poids*COS(Beta),0)</f>
        <v>0</v>
      </c>
      <c r="V479" s="419" t="n">
        <f aca="false">Rho_moyen*(20000-Alt_rampe-pos_z)/(20000+Alt_rampe+pos_z)</f>
        <v>1.22565613937888</v>
      </c>
      <c r="W479" s="418" t="n">
        <f aca="false">1/2*Rho*Sref*Cx*vit_xz^2</f>
        <v>5.55414213987716</v>
      </c>
      <c r="X479" s="402"/>
      <c r="Y479" s="423" t="str">
        <f aca="false">IF(AND(pos_z&lt;=0,K478&gt;0),"Impact balistique","") &amp; IF(AND(H480&lt;0,vit_z&gt;=0),"Apogée","") &amp; IF(AND(Poussee=0,Q478&gt;0),"Fin de propulsion","") &amp; IF(AND(L480&gt;L_rampe,pos_xz&lt;=L_rampe),"Sortie de rampe","")</f>
        <v/>
      </c>
      <c r="Z479" s="424" t="str">
        <f aca="false">IF(ABS(t-T_para)&lt;pas/2,"Para","")</f>
        <v/>
      </c>
      <c r="AA479" s="425" t="str">
        <f aca="false">IF(ABS(t-T_satellite)&lt;pas/2,"Satellite","")</f>
        <v/>
      </c>
      <c r="AB479" s="413"/>
      <c r="AC479" s="421" t="e">
        <f aca="false">IF(ABS(t-ROUND(t,0))&lt;0.001,t,NA())</f>
        <v>#N/A</v>
      </c>
      <c r="AD479" s="426" t="e">
        <f aca="false">IF(ABS(t-ROUND(t,0))&lt;0.001,pos_x,NA())</f>
        <v>#N/A</v>
      </c>
      <c r="AE479" s="427" t="e">
        <f aca="false">IF(t&lt;T_para, pos_z, NA())</f>
        <v>#N/A</v>
      </c>
      <c r="AF479" s="413"/>
      <c r="AG479" s="419" t="n">
        <f aca="false">IF(AND(L478&lt;L_rampe,Poussee&lt;Poids*SIN(M478)),0,(-W478+Poussee)/m-Poids*SIN(M478)/m)</f>
        <v>5.96677510860503</v>
      </c>
      <c r="AH479" s="418" t="n">
        <f aca="false">IF(AND(L478&lt;L_rampe,Poussee&lt;Poids*SIN(M478)), g*SIN(M478), (-W478+Poussee)/m)</f>
        <v>-3.74186199329885</v>
      </c>
    </row>
    <row r="480" customFormat="false" ht="12" hidden="false" customHeight="false" outlineLevel="0" collapsed="false">
      <c r="A480" s="417" t="n">
        <f aca="false">IF(B479+0.01&lt;=T_ini+ROUNDUP(Temps_fin_propu,0), 0.01, IF(K479&gt;0, 0.1, 0.0001))</f>
        <v>0.0001</v>
      </c>
      <c r="B480" s="418" t="n">
        <f aca="false">B479+pas</f>
        <v>16.5130999999999</v>
      </c>
      <c r="C480" s="402"/>
      <c r="D480" s="419" t="n">
        <f aca="false">IF(AND(L479&lt;L_rampe,Poussee&lt;Poids*SIN(M479)),0,(-W479+Poussee)/m*COS(M479)-U479/m*SIN(M479))</f>
        <v>-0.536518459168094</v>
      </c>
      <c r="E480" s="420" t="n">
        <f aca="false">IF(AND(L479&lt;L_rampe,Poussee&lt;Poids*SIN(M479)),0,(-W479+Poussee)/m*SIN(M479)+U479/m*COS(M479)-Poids/m)</f>
        <v>-6.10673588833791</v>
      </c>
      <c r="F480" s="418" t="n">
        <f aca="false">SQRT(acc_x^2+acc_z^2)</f>
        <v>6.13025898856992</v>
      </c>
      <c r="G480" s="419" t="n">
        <f aca="false">G479+acc_x*pas</f>
        <v>10.2802079410167</v>
      </c>
      <c r="H480" s="420" t="n">
        <f aca="false">H479+acc_z*pas</f>
        <v>-70.9590710299709</v>
      </c>
      <c r="I480" s="418" t="n">
        <f aca="false">SQRT(vit_x^2+vit_z^2)</f>
        <v>71.6998775225383</v>
      </c>
      <c r="J480" s="419" t="n">
        <f aca="false">J479+0.5*(vit_x+G479)*pas*(K479&gt;=0)</f>
        <v>211.791153319536</v>
      </c>
      <c r="K480" s="420" t="n">
        <f aca="false">K479+0.5*(vit_z+H479)*pas</f>
        <v>-5.36190162300341</v>
      </c>
      <c r="L480" s="418" t="n">
        <f aca="false">SQRT(pos_x^2+pos_z^2)</f>
        <v>211.859015888949</v>
      </c>
      <c r="M480" s="419" t="n">
        <f aca="false">IF(AND(L479&gt;L_rampe,G480&gt;0),ATAN2(G480,H480),$M$4)</f>
        <v>-1.42692216036298</v>
      </c>
      <c r="N480" s="418" t="n">
        <f aca="false">DEGREES(Beta)</f>
        <v>-81.7566174824886</v>
      </c>
      <c r="O480" s="402"/>
      <c r="P480" s="421" t="n">
        <f aca="false">MATCH(t-pas/2-T_ini,CdP_t)</f>
        <v>23</v>
      </c>
      <c r="Q480" s="418" t="n">
        <f aca="false">(INDEX(CdP,2,i_P+1)-INDEX(CdP,2,i_P+0))/(INDEX(CdP,1,i_P+1)-INDEX(CdP,1,i_P+0))*(t-pas/2-T_ini-INDEX(CdP,1,i_P+0))+INDEX(CdP,2,i_P+0)</f>
        <v>0</v>
      </c>
      <c r="R480" s="419" t="n">
        <f aca="false">Poussee/(g*ISP)</f>
        <v>0</v>
      </c>
      <c r="S480" s="420" t="n">
        <f aca="false">S479-Débit*pas</f>
        <v>1.4843</v>
      </c>
      <c r="T480" s="418" t="n">
        <f aca="false">m*g</f>
        <v>14.560983</v>
      </c>
      <c r="U480" s="422" t="n">
        <f aca="false">IF(pos_xz&lt;L_rampe,Poids*COS(Beta),0)</f>
        <v>0</v>
      </c>
      <c r="V480" s="419" t="n">
        <f aca="false">Rho_moyen*(20000-Alt_rampe-pos_z)/(20000+Alt_rampe+pos_z)</f>
        <v>1.22565700908972</v>
      </c>
      <c r="W480" s="418" t="n">
        <f aca="false">1/2*Rho*Sref*Cx*vit_xz^2</f>
        <v>5.55423852307476</v>
      </c>
      <c r="X480" s="402"/>
      <c r="Y480" s="423" t="str">
        <f aca="false">IF(AND(pos_z&lt;=0,K479&gt;0),"Impact balistique","") &amp; IF(AND(H481&lt;0,vit_z&gt;=0),"Apogée","") &amp; IF(AND(Poussee=0,Q479&gt;0),"Fin de propulsion","") &amp; IF(AND(L481&gt;L_rampe,pos_xz&lt;=L_rampe),"Sortie de rampe","")</f>
        <v/>
      </c>
      <c r="Z480" s="424" t="str">
        <f aca="false">IF(ABS(t-T_para)&lt;pas/2,"Para","")</f>
        <v/>
      </c>
      <c r="AA480" s="425" t="str">
        <f aca="false">IF(ABS(t-T_satellite)&lt;pas/2,"Satellite","")</f>
        <v/>
      </c>
      <c r="AB480" s="413"/>
      <c r="AC480" s="421" t="e">
        <f aca="false">IF(ABS(t-ROUND(t,0))&lt;0.001,t,NA())</f>
        <v>#N/A</v>
      </c>
      <c r="AD480" s="426" t="e">
        <f aca="false">IF(ABS(t-ROUND(t,0))&lt;0.001,pos_x,NA())</f>
        <v>#N/A</v>
      </c>
      <c r="AE480" s="427" t="e">
        <f aca="false">IF(t&lt;T_para, pos_z, NA())</f>
        <v>#N/A</v>
      </c>
      <c r="AF480" s="413"/>
      <c r="AG480" s="419" t="n">
        <f aca="false">IF(AND(L479&lt;L_rampe,Poussee&lt;Poids*SIN(M479)),0,(-W479+Poussee)/m-Poids*SIN(M479)/m)</f>
        <v>5.96671293284342</v>
      </c>
      <c r="AH480" s="418" t="n">
        <f aca="false">IF(AND(L479&lt;L_rampe,Poussee&lt;Poids*SIN(M479)), g*SIN(M479), (-W479+Poussee)/m)</f>
        <v>-3.74192692843574</v>
      </c>
    </row>
    <row r="481" customFormat="false" ht="12" hidden="false" customHeight="false" outlineLevel="0" collapsed="false">
      <c r="A481" s="417" t="n">
        <f aca="false">IF(B480+0.01&lt;=T_ini+ROUNDUP(Temps_fin_propu,0), 0.01, IF(K480&gt;0, 0.1, 0.0001))</f>
        <v>0.0001</v>
      </c>
      <c r="B481" s="418" t="n">
        <f aca="false">B480+pas</f>
        <v>16.5131999999999</v>
      </c>
      <c r="C481" s="402"/>
      <c r="D481" s="419" t="n">
        <f aca="false">IF(AND(L480&lt;L_rampe,Poussee&lt;Poids*SIN(M480)),0,(-W480+Poussee)/m*COS(M480)-U480/m*SIN(M480))</f>
        <v>-0.536520504638887</v>
      </c>
      <c r="E481" s="420" t="n">
        <f aca="false">IF(AND(L480&lt;L_rampe,Poussee&lt;Poids*SIN(M480)),0,(-W480+Poussee)/m*SIN(M480)+U480/m*COS(M480)-Poids/m)</f>
        <v>-6.1066705716323</v>
      </c>
      <c r="F481" s="418" t="n">
        <f aca="false">SQRT(acc_x^2+acc_z^2)</f>
        <v>6.13019410152223</v>
      </c>
      <c r="G481" s="419" t="n">
        <f aca="false">G480+acc_x*pas</f>
        <v>10.2801542889663</v>
      </c>
      <c r="H481" s="420" t="n">
        <f aca="false">H480+acc_z*pas</f>
        <v>-70.9596816970281</v>
      </c>
      <c r="I481" s="418" t="n">
        <f aca="false">SQRT(vit_x^2+vit_z^2)</f>
        <v>71.700474187752</v>
      </c>
      <c r="J481" s="419" t="n">
        <f aca="false">J480+0.5*(vit_x+G480)*pas*(K480&gt;=0)</f>
        <v>211.791153319536</v>
      </c>
      <c r="K481" s="420" t="n">
        <f aca="false">K480+0.5*(vit_z+H480)*pas</f>
        <v>-5.36899756063976</v>
      </c>
      <c r="L481" s="418" t="n">
        <f aca="false">SQRT(pos_x^2+pos_z^2)</f>
        <v>211.859195597513</v>
      </c>
      <c r="M481" s="419" t="n">
        <f aca="false">IF(AND(L480&gt;L_rampe,G481&gt;0),ATAN2(G481,H481),$M$4)</f>
        <v>-1.42692412205338</v>
      </c>
      <c r="N481" s="418" t="n">
        <f aca="false">DEGREES(Beta)</f>
        <v>-81.7567298790687</v>
      </c>
      <c r="O481" s="402"/>
      <c r="P481" s="421" t="n">
        <f aca="false">MATCH(t-pas/2-T_ini,CdP_t)</f>
        <v>23</v>
      </c>
      <c r="Q481" s="418" t="n">
        <f aca="false">(INDEX(CdP,2,i_P+1)-INDEX(CdP,2,i_P+0))/(INDEX(CdP,1,i_P+1)-INDEX(CdP,1,i_P+0))*(t-pas/2-T_ini-INDEX(CdP,1,i_P+0))+INDEX(CdP,2,i_P+0)</f>
        <v>0</v>
      </c>
      <c r="R481" s="419" t="n">
        <f aca="false">Poussee/(g*ISP)</f>
        <v>0</v>
      </c>
      <c r="S481" s="420" t="n">
        <f aca="false">S480-Débit*pas</f>
        <v>1.4843</v>
      </c>
      <c r="T481" s="418" t="n">
        <f aca="false">m*g</f>
        <v>14.560983</v>
      </c>
      <c r="U481" s="422" t="n">
        <f aca="false">IF(pos_xz&lt;L_rampe,Poids*COS(Beta),0)</f>
        <v>0</v>
      </c>
      <c r="V481" s="419" t="n">
        <f aca="false">Rho_moyen*(20000-Alt_rampe-pos_z)/(20000+Alt_rampe+pos_z)</f>
        <v>1.22565787880866</v>
      </c>
      <c r="W481" s="418" t="n">
        <f aca="false">1/2*Rho*Sref*Cx*vit_xz^2</f>
        <v>5.55433490624624</v>
      </c>
      <c r="X481" s="402"/>
      <c r="Y481" s="423" t="str">
        <f aca="false">IF(AND(pos_z&lt;=0,K480&gt;0),"Impact balistique","") &amp; IF(AND(H482&lt;0,vit_z&gt;=0),"Apogée","") &amp; IF(AND(Poussee=0,Q480&gt;0),"Fin de propulsion","") &amp; IF(AND(L482&gt;L_rampe,pos_xz&lt;=L_rampe),"Sortie de rampe","")</f>
        <v/>
      </c>
      <c r="Z481" s="424" t="str">
        <f aca="false">IF(ABS(t-T_para)&lt;pas/2,"Para","")</f>
        <v/>
      </c>
      <c r="AA481" s="425" t="str">
        <f aca="false">IF(ABS(t-T_satellite)&lt;pas/2,"Satellite","")</f>
        <v/>
      </c>
      <c r="AB481" s="413"/>
      <c r="AC481" s="421" t="e">
        <f aca="false">IF(ABS(t-ROUND(t,0))&lt;0.001,t,NA())</f>
        <v>#N/A</v>
      </c>
      <c r="AD481" s="426" t="e">
        <f aca="false">IF(ABS(t-ROUND(t,0))&lt;0.001,pos_x,NA())</f>
        <v>#N/A</v>
      </c>
      <c r="AE481" s="427" t="e">
        <f aca="false">IF(t&lt;T_para, pos_z, NA())</f>
        <v>#N/A</v>
      </c>
      <c r="AF481" s="413"/>
      <c r="AG481" s="419" t="n">
        <f aca="false">IF(AND(L480&lt;L_rampe,Poussee&lt;Poids*SIN(M480)),0,(-W480+Poussee)/m-Poids*SIN(M480)/m)</f>
        <v>5.9666507570017</v>
      </c>
      <c r="AH481" s="418" t="n">
        <f aca="false">IF(AND(L480&lt;L_rampe,Poussee&lt;Poids*SIN(M480)), g*SIN(M480), (-W480+Poussee)/m)</f>
        <v>-3.74199186355505</v>
      </c>
    </row>
    <row r="482" customFormat="false" ht="12" hidden="false" customHeight="false" outlineLevel="0" collapsed="false">
      <c r="A482" s="417" t="n">
        <f aca="false">IF(B481+0.01&lt;=T_ini+ROUNDUP(Temps_fin_propu,0), 0.01, IF(K481&gt;0, 0.1, 0.0001))</f>
        <v>0.0001</v>
      </c>
      <c r="B482" s="418" t="n">
        <f aca="false">B481+pas</f>
        <v>16.5132999999999</v>
      </c>
      <c r="C482" s="402"/>
      <c r="D482" s="419" t="n">
        <f aca="false">IF(AND(L481&lt;L_rampe,Poussee&lt;Poids*SIN(M481)),0,(-W481+Poussee)/m*COS(M481)-U481/m*SIN(M481))</f>
        <v>-0.536522550011784</v>
      </c>
      <c r="E482" s="420" t="n">
        <f aca="false">IF(AND(L481&lt;L_rampe,Poussee&lt;Poids*SIN(M481)),0,(-W481+Poussee)/m*SIN(M481)+U481/m*COS(M481)-Poids/m)</f>
        <v>-6.10660525494483</v>
      </c>
      <c r="F482" s="418" t="n">
        <f aca="false">SQRT(acc_x^2+acc_z^2)</f>
        <v>6.13012921449385</v>
      </c>
      <c r="G482" s="419" t="n">
        <f aca="false">G481+acc_x*pas</f>
        <v>10.2801006367113</v>
      </c>
      <c r="H482" s="420" t="n">
        <f aca="false">H481+acc_z*pas</f>
        <v>-70.9602923575535</v>
      </c>
      <c r="I482" s="418" t="n">
        <f aca="false">SQRT(vit_x^2+vit_z^2)</f>
        <v>71.701070846748</v>
      </c>
      <c r="J482" s="419" t="n">
        <f aca="false">J481+0.5*(vit_x+G481)*pas*(K481&gt;=0)</f>
        <v>211.791153319536</v>
      </c>
      <c r="K482" s="420" t="n">
        <f aca="false">K481+0.5*(vit_z+H481)*pas</f>
        <v>-5.37609355934249</v>
      </c>
      <c r="L482" s="418" t="n">
        <f aca="false">SQRT(pos_x^2+pos_z^2)</f>
        <v>211.859375545143</v>
      </c>
      <c r="M482" s="419" t="n">
        <f aca="false">IF(AND(L481&gt;L_rampe,G482&gt;0),ATAN2(G482,H482),$M$4)</f>
        <v>-1.42692608370088</v>
      </c>
      <c r="N482" s="418" t="n">
        <f aca="false">DEGREES(Beta)</f>
        <v>-81.7568422731917</v>
      </c>
      <c r="O482" s="402"/>
      <c r="P482" s="421" t="n">
        <f aca="false">MATCH(t-pas/2-T_ini,CdP_t)</f>
        <v>23</v>
      </c>
      <c r="Q482" s="418" t="n">
        <f aca="false">(INDEX(CdP,2,i_P+1)-INDEX(CdP,2,i_P+0))/(INDEX(CdP,1,i_P+1)-INDEX(CdP,1,i_P+0))*(t-pas/2-T_ini-INDEX(CdP,1,i_P+0))+INDEX(CdP,2,i_P+0)</f>
        <v>0</v>
      </c>
      <c r="R482" s="419" t="n">
        <f aca="false">Poussee/(g*ISP)</f>
        <v>0</v>
      </c>
      <c r="S482" s="420" t="n">
        <f aca="false">S481-Débit*pas</f>
        <v>1.4843</v>
      </c>
      <c r="T482" s="418" t="n">
        <f aca="false">m*g</f>
        <v>14.560983</v>
      </c>
      <c r="U482" s="422" t="n">
        <f aca="false">IF(pos_xz&lt;L_rampe,Poids*COS(Beta),0)</f>
        <v>0</v>
      </c>
      <c r="V482" s="419" t="n">
        <f aca="false">Rho_moyen*(20000-Alt_rampe-pos_z)/(20000+Alt_rampe+pos_z)</f>
        <v>1.22565874853571</v>
      </c>
      <c r="W482" s="418" t="n">
        <f aca="false">1/2*Rho*Sref*Cx*vit_xz^2</f>
        <v>5.5544312893916</v>
      </c>
      <c r="X482" s="402"/>
      <c r="Y482" s="423" t="str">
        <f aca="false">IF(AND(pos_z&lt;=0,K481&gt;0),"Impact balistique","") &amp; IF(AND(H483&lt;0,vit_z&gt;=0),"Apogée","") &amp; IF(AND(Poussee=0,Q481&gt;0),"Fin de propulsion","") &amp; IF(AND(L483&gt;L_rampe,pos_xz&lt;=L_rampe),"Sortie de rampe","")</f>
        <v/>
      </c>
      <c r="Z482" s="424" t="str">
        <f aca="false">IF(ABS(t-T_para)&lt;pas/2,"Para","")</f>
        <v/>
      </c>
      <c r="AA482" s="425" t="str">
        <f aca="false">IF(ABS(t-T_satellite)&lt;pas/2,"Satellite","")</f>
        <v/>
      </c>
      <c r="AB482" s="413"/>
      <c r="AC482" s="421" t="e">
        <f aca="false">IF(ABS(t-ROUND(t,0))&lt;0.001,t,NA())</f>
        <v>#N/A</v>
      </c>
      <c r="AD482" s="426" t="e">
        <f aca="false">IF(ABS(t-ROUND(t,0))&lt;0.001,pos_x,NA())</f>
        <v>#N/A</v>
      </c>
      <c r="AE482" s="427" t="e">
        <f aca="false">IF(t&lt;T_para, pos_z, NA())</f>
        <v>#N/A</v>
      </c>
      <c r="AF482" s="413"/>
      <c r="AG482" s="419" t="n">
        <f aca="false">IF(AND(L481&lt;L_rampe,Poussee&lt;Poids*SIN(M481)),0,(-W481+Poussee)/m-Poids*SIN(M481)/m)</f>
        <v>5.96658858107987</v>
      </c>
      <c r="AH482" s="418" t="n">
        <f aca="false">IF(AND(L481&lt;L_rampe,Poussee&lt;Poids*SIN(M481)), g*SIN(M481), (-W481+Poussee)/m)</f>
        <v>-3.74205679865677</v>
      </c>
    </row>
    <row r="483" customFormat="false" ht="12" hidden="false" customHeight="false" outlineLevel="0" collapsed="false">
      <c r="A483" s="417" t="n">
        <f aca="false">IF(B482+0.01&lt;=T_ini+ROUNDUP(Temps_fin_propu,0), 0.01, IF(K482&gt;0, 0.1, 0.0001))</f>
        <v>0.0001</v>
      </c>
      <c r="B483" s="418" t="n">
        <f aca="false">B482+pas</f>
        <v>16.5133999999999</v>
      </c>
      <c r="C483" s="402"/>
      <c r="D483" s="419" t="n">
        <f aca="false">IF(AND(L482&lt;L_rampe,Poussee&lt;Poids*SIN(M482)),0,(-W482+Poussee)/m*COS(M482)-U482/m*SIN(M482))</f>
        <v>-0.536524595286788</v>
      </c>
      <c r="E483" s="420" t="n">
        <f aca="false">IF(AND(L482&lt;L_rampe,Poussee&lt;Poids*SIN(M482)),0,(-W482+Poussee)/m*SIN(M482)+U482/m*COS(M482)-Poids/m)</f>
        <v>-6.10653993827552</v>
      </c>
      <c r="F483" s="418" t="n">
        <f aca="false">SQRT(acc_x^2+acc_z^2)</f>
        <v>6.1300643274848</v>
      </c>
      <c r="G483" s="419" t="n">
        <f aca="false">G482+acc_x*pas</f>
        <v>10.2800469842517</v>
      </c>
      <c r="H483" s="420" t="n">
        <f aca="false">H482+acc_z*pas</f>
        <v>-70.9609030115474</v>
      </c>
      <c r="I483" s="418" t="n">
        <f aca="false">SQRT(vit_x^2+vit_z^2)</f>
        <v>71.7016674995265</v>
      </c>
      <c r="J483" s="419" t="n">
        <f aca="false">J482+0.5*(vit_x+G482)*pas*(K482&gt;=0)</f>
        <v>211.791153319536</v>
      </c>
      <c r="K483" s="420" t="n">
        <f aca="false">K482+0.5*(vit_z+H482)*pas</f>
        <v>-5.38318961911094</v>
      </c>
      <c r="L483" s="418" t="n">
        <f aca="false">SQRT(pos_x^2+pos_z^2)</f>
        <v>211.859555731845</v>
      </c>
      <c r="M483" s="419" t="n">
        <f aca="false">IF(AND(L482&gt;L_rampe,G483&gt;0),ATAN2(G483,H483),$M$4)</f>
        <v>-1.4269280453055</v>
      </c>
      <c r="N483" s="418" t="n">
        <f aca="false">DEGREES(Beta)</f>
        <v>-81.7569546648576</v>
      </c>
      <c r="O483" s="402"/>
      <c r="P483" s="421" t="n">
        <f aca="false">MATCH(t-pas/2-T_ini,CdP_t)</f>
        <v>23</v>
      </c>
      <c r="Q483" s="418" t="n">
        <f aca="false">(INDEX(CdP,2,i_P+1)-INDEX(CdP,2,i_P+0))/(INDEX(CdP,1,i_P+1)-INDEX(CdP,1,i_P+0))*(t-pas/2-T_ini-INDEX(CdP,1,i_P+0))+INDEX(CdP,2,i_P+0)</f>
        <v>0</v>
      </c>
      <c r="R483" s="419" t="n">
        <f aca="false">Poussee/(g*ISP)</f>
        <v>0</v>
      </c>
      <c r="S483" s="420" t="n">
        <f aca="false">S482-Débit*pas</f>
        <v>1.4843</v>
      </c>
      <c r="T483" s="418" t="n">
        <f aca="false">m*g</f>
        <v>14.560983</v>
      </c>
      <c r="U483" s="422" t="n">
        <f aca="false">IF(pos_xz&lt;L_rampe,Poids*COS(Beta),0)</f>
        <v>0</v>
      </c>
      <c r="V483" s="419" t="n">
        <f aca="false">Rho_moyen*(20000-Alt_rampe-pos_z)/(20000+Alt_rampe+pos_z)</f>
        <v>1.22565961827085</v>
      </c>
      <c r="W483" s="418" t="n">
        <f aca="false">1/2*Rho*Sref*Cx*vit_xz^2</f>
        <v>5.55452767251081</v>
      </c>
      <c r="X483" s="402"/>
      <c r="Y483" s="423" t="str">
        <f aca="false">IF(AND(pos_z&lt;=0,K482&gt;0),"Impact balistique","") &amp; IF(AND(H484&lt;0,vit_z&gt;=0),"Apogée","") &amp; IF(AND(Poussee=0,Q482&gt;0),"Fin de propulsion","") &amp; IF(AND(L484&gt;L_rampe,pos_xz&lt;=L_rampe),"Sortie de rampe","")</f>
        <v/>
      </c>
      <c r="Z483" s="424" t="str">
        <f aca="false">IF(ABS(t-T_para)&lt;pas/2,"Para","")</f>
        <v/>
      </c>
      <c r="AA483" s="425" t="str">
        <f aca="false">IF(ABS(t-T_satellite)&lt;pas/2,"Satellite","")</f>
        <v/>
      </c>
      <c r="AB483" s="413"/>
      <c r="AC483" s="421" t="e">
        <f aca="false">IF(ABS(t-ROUND(t,0))&lt;0.001,t,NA())</f>
        <v>#N/A</v>
      </c>
      <c r="AD483" s="426" t="e">
        <f aca="false">IF(ABS(t-ROUND(t,0))&lt;0.001,pos_x,NA())</f>
        <v>#N/A</v>
      </c>
      <c r="AE483" s="427" t="e">
        <f aca="false">IF(t&lt;T_para, pos_z, NA())</f>
        <v>#N/A</v>
      </c>
      <c r="AF483" s="413"/>
      <c r="AG483" s="419" t="n">
        <f aca="false">IF(AND(L482&lt;L_rampe,Poussee&lt;Poids*SIN(M482)),0,(-W482+Poussee)/m-Poids*SIN(M482)/m)</f>
        <v>5.96652640507798</v>
      </c>
      <c r="AH483" s="418" t="n">
        <f aca="false">IF(AND(L482&lt;L_rampe,Poussee&lt;Poids*SIN(M482)), g*SIN(M482), (-W482+Poussee)/m)</f>
        <v>-3.74212173374089</v>
      </c>
    </row>
    <row r="484" customFormat="false" ht="12" hidden="false" customHeight="false" outlineLevel="0" collapsed="false">
      <c r="A484" s="417" t="n">
        <f aca="false">IF(B483+0.01&lt;=T_ini+ROUNDUP(Temps_fin_propu,0), 0.01, IF(K483&gt;0, 0.1, 0.0001))</f>
        <v>0.0001</v>
      </c>
      <c r="B484" s="418" t="n">
        <f aca="false">B483+pas</f>
        <v>16.5134999999999</v>
      </c>
      <c r="C484" s="402"/>
      <c r="D484" s="419" t="n">
        <f aca="false">IF(AND(L483&lt;L_rampe,Poussee&lt;Poids*SIN(M483)),0,(-W483+Poussee)/m*COS(M483)-U483/m*SIN(M483))</f>
        <v>-0.536526640463899</v>
      </c>
      <c r="E484" s="420" t="n">
        <f aca="false">IF(AND(L483&lt;L_rampe,Poussee&lt;Poids*SIN(M483)),0,(-W483+Poussee)/m*SIN(M483)+U483/m*COS(M483)-Poids/m)</f>
        <v>-6.10647462162438</v>
      </c>
      <c r="F484" s="418" t="n">
        <f aca="false">SQRT(acc_x^2+acc_z^2)</f>
        <v>6.12999944049509</v>
      </c>
      <c r="G484" s="419" t="n">
        <f aca="false">G483+acc_x*pas</f>
        <v>10.2799933315877</v>
      </c>
      <c r="H484" s="420" t="n">
        <f aca="false">H483+acc_z*pas</f>
        <v>-70.9615136590095</v>
      </c>
      <c r="I484" s="418" t="n">
        <f aca="false">SQRT(vit_x^2+vit_z^2)</f>
        <v>71.7022641460874</v>
      </c>
      <c r="J484" s="419" t="n">
        <f aca="false">J483+0.5*(vit_x+G483)*pas*(K483&gt;=0)</f>
        <v>211.791153319536</v>
      </c>
      <c r="K484" s="420" t="n">
        <f aca="false">K483+0.5*(vit_z+H483)*pas</f>
        <v>-5.39028573994447</v>
      </c>
      <c r="L484" s="418" t="n">
        <f aca="false">SQRT(pos_x^2+pos_z^2)</f>
        <v>211.859736157623</v>
      </c>
      <c r="M484" s="419" t="n">
        <f aca="false">IF(AND(L483&gt;L_rampe,G484&gt;0),ATAN2(G484,H484),$M$4)</f>
        <v>-1.42693000686724</v>
      </c>
      <c r="N484" s="418" t="n">
        <f aca="false">DEGREES(Beta)</f>
        <v>-81.7570670540664</v>
      </c>
      <c r="O484" s="402"/>
      <c r="P484" s="421" t="n">
        <f aca="false">MATCH(t-pas/2-T_ini,CdP_t)</f>
        <v>23</v>
      </c>
      <c r="Q484" s="418" t="n">
        <f aca="false">(INDEX(CdP,2,i_P+1)-INDEX(CdP,2,i_P+0))/(INDEX(CdP,1,i_P+1)-INDEX(CdP,1,i_P+0))*(t-pas/2-T_ini-INDEX(CdP,1,i_P+0))+INDEX(CdP,2,i_P+0)</f>
        <v>0</v>
      </c>
      <c r="R484" s="419" t="n">
        <f aca="false">Poussee/(g*ISP)</f>
        <v>0</v>
      </c>
      <c r="S484" s="420" t="n">
        <f aca="false">S483-Débit*pas</f>
        <v>1.4843</v>
      </c>
      <c r="T484" s="418" t="n">
        <f aca="false">m*g</f>
        <v>14.560983</v>
      </c>
      <c r="U484" s="422" t="n">
        <f aca="false">IF(pos_xz&lt;L_rampe,Poids*COS(Beta),0)</f>
        <v>0</v>
      </c>
      <c r="V484" s="419" t="n">
        <f aca="false">Rho_moyen*(20000-Alt_rampe-pos_z)/(20000+Alt_rampe+pos_z)</f>
        <v>1.2256604880141</v>
      </c>
      <c r="W484" s="418" t="n">
        <f aca="false">1/2*Rho*Sref*Cx*vit_xz^2</f>
        <v>5.55462405560383</v>
      </c>
      <c r="X484" s="402"/>
      <c r="Y484" s="423" t="str">
        <f aca="false">IF(AND(pos_z&lt;=0,K483&gt;0),"Impact balistique","") &amp; IF(AND(H485&lt;0,vit_z&gt;=0),"Apogée","") &amp; IF(AND(Poussee=0,Q483&gt;0),"Fin de propulsion","") &amp; IF(AND(L485&gt;L_rampe,pos_xz&lt;=L_rampe),"Sortie de rampe","")</f>
        <v/>
      </c>
      <c r="Z484" s="424" t="str">
        <f aca="false">IF(ABS(t-T_para)&lt;pas/2,"Para","")</f>
        <v/>
      </c>
      <c r="AA484" s="425" t="str">
        <f aca="false">IF(ABS(t-T_satellite)&lt;pas/2,"Satellite","")</f>
        <v/>
      </c>
      <c r="AB484" s="413"/>
      <c r="AC484" s="421" t="e">
        <f aca="false">IF(ABS(t-ROUND(t,0))&lt;0.001,t,NA())</f>
        <v>#N/A</v>
      </c>
      <c r="AD484" s="426" t="e">
        <f aca="false">IF(ABS(t-ROUND(t,0))&lt;0.001,pos_x,NA())</f>
        <v>#N/A</v>
      </c>
      <c r="AE484" s="427" t="e">
        <f aca="false">IF(t&lt;T_para, pos_z, NA())</f>
        <v>#N/A</v>
      </c>
      <c r="AF484" s="413"/>
      <c r="AG484" s="419" t="n">
        <f aca="false">IF(AND(L483&lt;L_rampe,Poussee&lt;Poids*SIN(M483)),0,(-W483+Poussee)/m-Poids*SIN(M483)/m)</f>
        <v>5.96646422899602</v>
      </c>
      <c r="AH484" s="418" t="n">
        <f aca="false">IF(AND(L483&lt;L_rampe,Poussee&lt;Poids*SIN(M483)), g*SIN(M483), (-W483+Poussee)/m)</f>
        <v>-3.74218666880739</v>
      </c>
    </row>
    <row r="485" customFormat="false" ht="12" hidden="false" customHeight="false" outlineLevel="0" collapsed="false">
      <c r="A485" s="417" t="n">
        <f aca="false">IF(B484+0.01&lt;=T_ini+ROUNDUP(Temps_fin_propu,0), 0.01, IF(K484&gt;0, 0.1, 0.0001))</f>
        <v>0.0001</v>
      </c>
      <c r="B485" s="418" t="n">
        <f aca="false">B484+pas</f>
        <v>16.5135999999999</v>
      </c>
      <c r="C485" s="402"/>
      <c r="D485" s="419" t="n">
        <f aca="false">IF(AND(L484&lt;L_rampe,Poussee&lt;Poids*SIN(M484)),0,(-W484+Poussee)/m*COS(M484)-U484/m*SIN(M484))</f>
        <v>-0.536528685543117</v>
      </c>
      <c r="E485" s="420" t="n">
        <f aca="false">IF(AND(L484&lt;L_rampe,Poussee&lt;Poids*SIN(M484)),0,(-W484+Poussee)/m*SIN(M484)+U484/m*COS(M484)-Poids/m)</f>
        <v>-6.10640930499143</v>
      </c>
      <c r="F485" s="418" t="n">
        <f aca="false">SQRT(acc_x^2+acc_z^2)</f>
        <v>6.12993455352474</v>
      </c>
      <c r="G485" s="419" t="n">
        <f aca="false">G484+acc_x*pas</f>
        <v>10.2799396787191</v>
      </c>
      <c r="H485" s="420" t="n">
        <f aca="false">H484+acc_z*pas</f>
        <v>-70.96212429994</v>
      </c>
      <c r="I485" s="418" t="n">
        <f aca="false">SQRT(vit_x^2+vit_z^2)</f>
        <v>71.7028607864306</v>
      </c>
      <c r="J485" s="419" t="n">
        <f aca="false">J484+0.5*(vit_x+G484)*pas*(K484&gt;=0)</f>
        <v>211.791153319536</v>
      </c>
      <c r="K485" s="420" t="n">
        <f aca="false">K484+0.5*(vit_z+H484)*pas</f>
        <v>-5.39738192184242</v>
      </c>
      <c r="L485" s="418" t="n">
        <f aca="false">SQRT(pos_x^2+pos_z^2)</f>
        <v>211.859916822483</v>
      </c>
      <c r="M485" s="419" t="n">
        <f aca="false">IF(AND(L484&gt;L_rampe,G485&gt;0),ATAN2(G485,H485),$M$4)</f>
        <v>-1.4269319683861</v>
      </c>
      <c r="N485" s="418" t="n">
        <f aca="false">DEGREES(Beta)</f>
        <v>-81.7571794408183</v>
      </c>
      <c r="O485" s="402"/>
      <c r="P485" s="421" t="n">
        <f aca="false">MATCH(t-pas/2-T_ini,CdP_t)</f>
        <v>23</v>
      </c>
      <c r="Q485" s="418" t="n">
        <f aca="false">(INDEX(CdP,2,i_P+1)-INDEX(CdP,2,i_P+0))/(INDEX(CdP,1,i_P+1)-INDEX(CdP,1,i_P+0))*(t-pas/2-T_ini-INDEX(CdP,1,i_P+0))+INDEX(CdP,2,i_P+0)</f>
        <v>0</v>
      </c>
      <c r="R485" s="419" t="n">
        <f aca="false">Poussee/(g*ISP)</f>
        <v>0</v>
      </c>
      <c r="S485" s="420" t="n">
        <f aca="false">S484-Débit*pas</f>
        <v>1.4843</v>
      </c>
      <c r="T485" s="418" t="n">
        <f aca="false">m*g</f>
        <v>14.560983</v>
      </c>
      <c r="U485" s="422" t="n">
        <f aca="false">IF(pos_xz&lt;L_rampe,Poids*COS(Beta),0)</f>
        <v>0</v>
      </c>
      <c r="V485" s="419" t="n">
        <f aca="false">Rho_moyen*(20000-Alt_rampe-pos_z)/(20000+Alt_rampe+pos_z)</f>
        <v>1.22566135776545</v>
      </c>
      <c r="W485" s="418" t="n">
        <f aca="false">1/2*Rho*Sref*Cx*vit_xz^2</f>
        <v>5.55472043867065</v>
      </c>
      <c r="X485" s="402"/>
      <c r="Y485" s="423" t="str">
        <f aca="false">IF(AND(pos_z&lt;=0,K484&gt;0),"Impact balistique","") &amp; IF(AND(H486&lt;0,vit_z&gt;=0),"Apogée","") &amp; IF(AND(Poussee=0,Q484&gt;0),"Fin de propulsion","") &amp; IF(AND(L486&gt;L_rampe,pos_xz&lt;=L_rampe),"Sortie de rampe","")</f>
        <v/>
      </c>
      <c r="Z485" s="424" t="str">
        <f aca="false">IF(ABS(t-T_para)&lt;pas/2,"Para","")</f>
        <v/>
      </c>
      <c r="AA485" s="425" t="str">
        <f aca="false">IF(ABS(t-T_satellite)&lt;pas/2,"Satellite","")</f>
        <v/>
      </c>
      <c r="AB485" s="413"/>
      <c r="AC485" s="421" t="e">
        <f aca="false">IF(ABS(t-ROUND(t,0))&lt;0.001,t,NA())</f>
        <v>#N/A</v>
      </c>
      <c r="AD485" s="426" t="e">
        <f aca="false">IF(ABS(t-ROUND(t,0))&lt;0.001,pos_x,NA())</f>
        <v>#N/A</v>
      </c>
      <c r="AE485" s="427" t="e">
        <f aca="false">IF(t&lt;T_para, pos_z, NA())</f>
        <v>#N/A</v>
      </c>
      <c r="AF485" s="413"/>
      <c r="AG485" s="419" t="n">
        <f aca="false">IF(AND(L484&lt;L_rampe,Poussee&lt;Poids*SIN(M484)),0,(-W484+Poussee)/m-Poids*SIN(M484)/m)</f>
        <v>5.96640205283403</v>
      </c>
      <c r="AH485" s="418" t="n">
        <f aca="false">IF(AND(L484&lt;L_rampe,Poussee&lt;Poids*SIN(M484)), g*SIN(M484), (-W484+Poussee)/m)</f>
        <v>-3.74225160385625</v>
      </c>
    </row>
    <row r="486" customFormat="false" ht="12" hidden="false" customHeight="false" outlineLevel="0" collapsed="false">
      <c r="A486" s="417" t="n">
        <f aca="false">IF(B485+0.01&lt;=T_ini+ROUNDUP(Temps_fin_propu,0), 0.01, IF(K485&gt;0, 0.1, 0.0001))</f>
        <v>0.0001</v>
      </c>
      <c r="B486" s="418" t="n">
        <f aca="false">B485+pas</f>
        <v>16.5136999999999</v>
      </c>
      <c r="C486" s="402"/>
      <c r="D486" s="419" t="n">
        <f aca="false">IF(AND(L485&lt;L_rampe,Poussee&lt;Poids*SIN(M485)),0,(-W485+Poussee)/m*COS(M485)-U485/m*SIN(M485))</f>
        <v>-0.536530730524443</v>
      </c>
      <c r="E486" s="420" t="n">
        <f aca="false">IF(AND(L485&lt;L_rampe,Poussee&lt;Poids*SIN(M485)),0,(-W485+Poussee)/m*SIN(M485)+U485/m*COS(M485)-Poids/m)</f>
        <v>-6.10634398837668</v>
      </c>
      <c r="F486" s="418" t="n">
        <f aca="false">SQRT(acc_x^2+acc_z^2)</f>
        <v>6.12986966657376</v>
      </c>
      <c r="G486" s="419" t="n">
        <f aca="false">G485+acc_x*pas</f>
        <v>10.2798860256461</v>
      </c>
      <c r="H486" s="420" t="n">
        <f aca="false">H485+acc_z*pas</f>
        <v>-70.9627349343389</v>
      </c>
      <c r="I486" s="418" t="n">
        <f aca="false">SQRT(vit_x^2+vit_z^2)</f>
        <v>71.7034574205562</v>
      </c>
      <c r="J486" s="419" t="n">
        <f aca="false">J485+0.5*(vit_x+G485)*pas*(K485&gt;=0)</f>
        <v>211.791153319536</v>
      </c>
      <c r="K486" s="420" t="n">
        <f aca="false">K485+0.5*(vit_z+H485)*pas</f>
        <v>-5.40447816480413</v>
      </c>
      <c r="L486" s="418" t="n">
        <f aca="false">SQRT(pos_x^2+pos_z^2)</f>
        <v>211.860097726432</v>
      </c>
      <c r="M486" s="419" t="n">
        <f aca="false">IF(AND(L485&gt;L_rampe,G486&gt;0),ATAN2(G486,H486),$M$4)</f>
        <v>-1.42693392986207</v>
      </c>
      <c r="N486" s="418" t="n">
        <f aca="false">DEGREES(Beta)</f>
        <v>-81.7572918251133</v>
      </c>
      <c r="O486" s="402"/>
      <c r="P486" s="421" t="n">
        <f aca="false">MATCH(t-pas/2-T_ini,CdP_t)</f>
        <v>23</v>
      </c>
      <c r="Q486" s="418" t="n">
        <f aca="false">(INDEX(CdP,2,i_P+1)-INDEX(CdP,2,i_P+0))/(INDEX(CdP,1,i_P+1)-INDEX(CdP,1,i_P+0))*(t-pas/2-T_ini-INDEX(CdP,1,i_P+0))+INDEX(CdP,2,i_P+0)</f>
        <v>0</v>
      </c>
      <c r="R486" s="419" t="n">
        <f aca="false">Poussee/(g*ISP)</f>
        <v>0</v>
      </c>
      <c r="S486" s="420" t="n">
        <f aca="false">S485-Débit*pas</f>
        <v>1.4843</v>
      </c>
      <c r="T486" s="418" t="n">
        <f aca="false">m*g</f>
        <v>14.560983</v>
      </c>
      <c r="U486" s="422" t="n">
        <f aca="false">IF(pos_xz&lt;L_rampe,Poids*COS(Beta),0)</f>
        <v>0</v>
      </c>
      <c r="V486" s="419" t="n">
        <f aca="false">Rho_moyen*(20000-Alt_rampe-pos_z)/(20000+Alt_rampe+pos_z)</f>
        <v>1.2256622275249</v>
      </c>
      <c r="W486" s="418" t="n">
        <f aca="false">1/2*Rho*Sref*Cx*vit_xz^2</f>
        <v>5.55481682171125</v>
      </c>
      <c r="X486" s="402"/>
      <c r="Y486" s="423" t="str">
        <f aca="false">IF(AND(pos_z&lt;=0,K485&gt;0),"Impact balistique","") &amp; IF(AND(H487&lt;0,vit_z&gt;=0),"Apogée","") &amp; IF(AND(Poussee=0,Q485&gt;0),"Fin de propulsion","") &amp; IF(AND(L487&gt;L_rampe,pos_xz&lt;=L_rampe),"Sortie de rampe","")</f>
        <v/>
      </c>
      <c r="Z486" s="424" t="str">
        <f aca="false">IF(ABS(t-T_para)&lt;pas/2,"Para","")</f>
        <v/>
      </c>
      <c r="AA486" s="425" t="str">
        <f aca="false">IF(ABS(t-T_satellite)&lt;pas/2,"Satellite","")</f>
        <v/>
      </c>
      <c r="AB486" s="413"/>
      <c r="AC486" s="421" t="e">
        <f aca="false">IF(ABS(t-ROUND(t,0))&lt;0.001,t,NA())</f>
        <v>#N/A</v>
      </c>
      <c r="AD486" s="426" t="e">
        <f aca="false">IF(ABS(t-ROUND(t,0))&lt;0.001,pos_x,NA())</f>
        <v>#N/A</v>
      </c>
      <c r="AE486" s="427" t="e">
        <f aca="false">IF(t&lt;T_para, pos_z, NA())</f>
        <v>#N/A</v>
      </c>
      <c r="AF486" s="413"/>
      <c r="AG486" s="419" t="n">
        <f aca="false">IF(AND(L485&lt;L_rampe,Poussee&lt;Poids*SIN(M485)),0,(-W485+Poussee)/m-Poids*SIN(M485)/m)</f>
        <v>5.96633987659203</v>
      </c>
      <c r="AH486" s="418" t="n">
        <f aca="false">IF(AND(L485&lt;L_rampe,Poussee&lt;Poids*SIN(M485)), g*SIN(M485), (-W485+Poussee)/m)</f>
        <v>-3.74231653888746</v>
      </c>
    </row>
    <row r="487" customFormat="false" ht="12" hidden="false" customHeight="false" outlineLevel="0" collapsed="false">
      <c r="A487" s="417" t="n">
        <f aca="false">IF(B486+0.01&lt;=T_ini+ROUNDUP(Temps_fin_propu,0), 0.01, IF(K486&gt;0, 0.1, 0.0001))</f>
        <v>0.0001</v>
      </c>
      <c r="B487" s="418" t="n">
        <f aca="false">B486+pas</f>
        <v>16.5137999999999</v>
      </c>
      <c r="C487" s="402"/>
      <c r="D487" s="419" t="n">
        <f aca="false">IF(AND(L486&lt;L_rampe,Poussee&lt;Poids*SIN(M486)),0,(-W486+Poussee)/m*COS(M486)-U486/m*SIN(M486))</f>
        <v>-0.536532775407879</v>
      </c>
      <c r="E487" s="420" t="n">
        <f aca="false">IF(AND(L486&lt;L_rampe,Poussee&lt;Poids*SIN(M486)),0,(-W486+Poussee)/m*SIN(M486)+U486/m*COS(M486)-Poids/m)</f>
        <v>-6.10627867178016</v>
      </c>
      <c r="F487" s="418" t="n">
        <f aca="false">SQRT(acc_x^2+acc_z^2)</f>
        <v>6.12980477964218</v>
      </c>
      <c r="G487" s="419" t="n">
        <f aca="false">G486+acc_x*pas</f>
        <v>10.2798323723685</v>
      </c>
      <c r="H487" s="420" t="n">
        <f aca="false">H486+acc_z*pas</f>
        <v>-70.9633455622061</v>
      </c>
      <c r="I487" s="418" t="n">
        <f aca="false">SQRT(vit_x^2+vit_z^2)</f>
        <v>71.7040540484641</v>
      </c>
      <c r="J487" s="419" t="n">
        <f aca="false">J486+0.5*(vit_x+G486)*pas*(K486&gt;=0)</f>
        <v>211.791153319536</v>
      </c>
      <c r="K487" s="420" t="n">
        <f aca="false">K486+0.5*(vit_z+H486)*pas</f>
        <v>-5.41157446882896</v>
      </c>
      <c r="L487" s="418" t="n">
        <f aca="false">SQRT(pos_x^2+pos_z^2)</f>
        <v>211.860278869473</v>
      </c>
      <c r="M487" s="419" t="n">
        <f aca="false">IF(AND(L486&gt;L_rampe,G487&gt;0),ATAN2(G487,H487),$M$4)</f>
        <v>-1.42693589129517</v>
      </c>
      <c r="N487" s="418" t="n">
        <f aca="false">DEGREES(Beta)</f>
        <v>-81.7574042069515</v>
      </c>
      <c r="O487" s="402"/>
      <c r="P487" s="421" t="n">
        <f aca="false">MATCH(t-pas/2-T_ini,CdP_t)</f>
        <v>23</v>
      </c>
      <c r="Q487" s="418" t="n">
        <f aca="false">(INDEX(CdP,2,i_P+1)-INDEX(CdP,2,i_P+0))/(INDEX(CdP,1,i_P+1)-INDEX(CdP,1,i_P+0))*(t-pas/2-T_ini-INDEX(CdP,1,i_P+0))+INDEX(CdP,2,i_P+0)</f>
        <v>0</v>
      </c>
      <c r="R487" s="419" t="n">
        <f aca="false">Poussee/(g*ISP)</f>
        <v>0</v>
      </c>
      <c r="S487" s="420" t="n">
        <f aca="false">S486-Débit*pas</f>
        <v>1.4843</v>
      </c>
      <c r="T487" s="418" t="n">
        <f aca="false">m*g</f>
        <v>14.560983</v>
      </c>
      <c r="U487" s="422" t="n">
        <f aca="false">IF(pos_xz&lt;L_rampe,Poids*COS(Beta),0)</f>
        <v>0</v>
      </c>
      <c r="V487" s="419" t="n">
        <f aca="false">Rho_moyen*(20000-Alt_rampe-pos_z)/(20000+Alt_rampe+pos_z)</f>
        <v>1.22566309729245</v>
      </c>
      <c r="W487" s="418" t="n">
        <f aca="false">1/2*Rho*Sref*Cx*vit_xz^2</f>
        <v>5.55491320472559</v>
      </c>
      <c r="X487" s="402"/>
      <c r="Y487" s="423" t="str">
        <f aca="false">IF(AND(pos_z&lt;=0,K486&gt;0),"Impact balistique","") &amp; IF(AND(H488&lt;0,vit_z&gt;=0),"Apogée","") &amp; IF(AND(Poussee=0,Q486&gt;0),"Fin de propulsion","") &amp; IF(AND(L488&gt;L_rampe,pos_xz&lt;=L_rampe),"Sortie de rampe","")</f>
        <v/>
      </c>
      <c r="Z487" s="424" t="str">
        <f aca="false">IF(ABS(t-T_para)&lt;pas/2,"Para","")</f>
        <v/>
      </c>
      <c r="AA487" s="425" t="str">
        <f aca="false">IF(ABS(t-T_satellite)&lt;pas/2,"Satellite","")</f>
        <v/>
      </c>
      <c r="AB487" s="413"/>
      <c r="AC487" s="421" t="e">
        <f aca="false">IF(ABS(t-ROUND(t,0))&lt;0.001,t,NA())</f>
        <v>#N/A</v>
      </c>
      <c r="AD487" s="426" t="e">
        <f aca="false">IF(ABS(t-ROUND(t,0))&lt;0.001,pos_x,NA())</f>
        <v>#N/A</v>
      </c>
      <c r="AE487" s="427" t="e">
        <f aca="false">IF(t&lt;T_para, pos_z, NA())</f>
        <v>#N/A</v>
      </c>
      <c r="AF487" s="413"/>
      <c r="AG487" s="419" t="n">
        <f aca="false">IF(AND(L486&lt;L_rampe,Poussee&lt;Poids*SIN(M486)),0,(-W486+Poussee)/m-Poids*SIN(M486)/m)</f>
        <v>5.96627770027003</v>
      </c>
      <c r="AH487" s="418" t="n">
        <f aca="false">IF(AND(L486&lt;L_rampe,Poussee&lt;Poids*SIN(M486)), g*SIN(M486), (-W486+Poussee)/m)</f>
        <v>-3.742381473901</v>
      </c>
    </row>
    <row r="488" customFormat="false" ht="12" hidden="false" customHeight="false" outlineLevel="0" collapsed="false">
      <c r="A488" s="417" t="n">
        <f aca="false">IF(B487+0.01&lt;=T_ini+ROUNDUP(Temps_fin_propu,0), 0.01, IF(K487&gt;0, 0.1, 0.0001))</f>
        <v>0.0001</v>
      </c>
      <c r="B488" s="418" t="n">
        <f aca="false">B487+pas</f>
        <v>16.5138999999999</v>
      </c>
      <c r="C488" s="402"/>
      <c r="D488" s="419" t="n">
        <f aca="false">IF(AND(L487&lt;L_rampe,Poussee&lt;Poids*SIN(M487)),0,(-W487+Poussee)/m*COS(M487)-U487/m*SIN(M487))</f>
        <v>-0.536534820193424</v>
      </c>
      <c r="E488" s="420" t="n">
        <f aca="false">IF(AND(L487&lt;L_rampe,Poussee&lt;Poids*SIN(M487)),0,(-W487+Poussee)/m*SIN(M487)+U487/m*COS(M487)-Poids/m)</f>
        <v>-6.10621335520187</v>
      </c>
      <c r="F488" s="418" t="n">
        <f aca="false">SQRT(acc_x^2+acc_z^2)</f>
        <v>6.12973989273001</v>
      </c>
      <c r="G488" s="419" t="n">
        <f aca="false">G487+acc_x*pas</f>
        <v>10.2797787188865</v>
      </c>
      <c r="H488" s="420" t="n">
        <f aca="false">H487+acc_z*pas</f>
        <v>-70.9639561835416</v>
      </c>
      <c r="I488" s="418" t="n">
        <f aca="false">SQRT(vit_x^2+vit_z^2)</f>
        <v>71.7046506701545</v>
      </c>
      <c r="J488" s="419" t="n">
        <f aca="false">J487+0.5*(vit_x+G487)*pas*(K487&gt;=0)</f>
        <v>211.791153319536</v>
      </c>
      <c r="K488" s="420" t="n">
        <f aca="false">K487+0.5*(vit_z+H487)*pas</f>
        <v>-5.41867083391625</v>
      </c>
      <c r="L488" s="418" t="n">
        <f aca="false">SQRT(pos_x^2+pos_z^2)</f>
        <v>211.860460251614</v>
      </c>
      <c r="M488" s="419" t="n">
        <f aca="false">IF(AND(L487&gt;L_rampe,G488&gt;0),ATAN2(G488,H488),$M$4)</f>
        <v>-1.42693785268539</v>
      </c>
      <c r="N488" s="418" t="n">
        <f aca="false">DEGREES(Beta)</f>
        <v>-81.757516586333</v>
      </c>
      <c r="O488" s="402"/>
      <c r="P488" s="421" t="n">
        <f aca="false">MATCH(t-pas/2-T_ini,CdP_t)</f>
        <v>23</v>
      </c>
      <c r="Q488" s="418" t="n">
        <f aca="false">(INDEX(CdP,2,i_P+1)-INDEX(CdP,2,i_P+0))/(INDEX(CdP,1,i_P+1)-INDEX(CdP,1,i_P+0))*(t-pas/2-T_ini-INDEX(CdP,1,i_P+0))+INDEX(CdP,2,i_P+0)</f>
        <v>0</v>
      </c>
      <c r="R488" s="419" t="n">
        <f aca="false">Poussee/(g*ISP)</f>
        <v>0</v>
      </c>
      <c r="S488" s="420" t="n">
        <f aca="false">S487-Débit*pas</f>
        <v>1.4843</v>
      </c>
      <c r="T488" s="418" t="n">
        <f aca="false">m*g</f>
        <v>14.560983</v>
      </c>
      <c r="U488" s="422" t="n">
        <f aca="false">IF(pos_xz&lt;L_rampe,Poids*COS(Beta),0)</f>
        <v>0</v>
      </c>
      <c r="V488" s="419" t="n">
        <f aca="false">Rho_moyen*(20000-Alt_rampe-pos_z)/(20000+Alt_rampe+pos_z)</f>
        <v>1.2256639670681</v>
      </c>
      <c r="W488" s="418" t="n">
        <f aca="false">1/2*Rho*Sref*Cx*vit_xz^2</f>
        <v>5.55500958771366</v>
      </c>
      <c r="X488" s="402"/>
      <c r="Y488" s="423" t="str">
        <f aca="false">IF(AND(pos_z&lt;=0,K487&gt;0),"Impact balistique","") &amp; IF(AND(H489&lt;0,vit_z&gt;=0),"Apogée","") &amp; IF(AND(Poussee=0,Q487&gt;0),"Fin de propulsion","") &amp; IF(AND(L489&gt;L_rampe,pos_xz&lt;=L_rampe),"Sortie de rampe","")</f>
        <v/>
      </c>
      <c r="Z488" s="424" t="str">
        <f aca="false">IF(ABS(t-T_para)&lt;pas/2,"Para","")</f>
        <v/>
      </c>
      <c r="AA488" s="425" t="str">
        <f aca="false">IF(ABS(t-T_satellite)&lt;pas/2,"Satellite","")</f>
        <v/>
      </c>
      <c r="AB488" s="413"/>
      <c r="AC488" s="421" t="e">
        <f aca="false">IF(ABS(t-ROUND(t,0))&lt;0.001,t,NA())</f>
        <v>#N/A</v>
      </c>
      <c r="AD488" s="426" t="e">
        <f aca="false">IF(ABS(t-ROUND(t,0))&lt;0.001,pos_x,NA())</f>
        <v>#N/A</v>
      </c>
      <c r="AE488" s="427" t="e">
        <f aca="false">IF(t&lt;T_para, pos_z, NA())</f>
        <v>#N/A</v>
      </c>
      <c r="AF488" s="413"/>
      <c r="AG488" s="419" t="n">
        <f aca="false">IF(AND(L487&lt;L_rampe,Poussee&lt;Poids*SIN(M487)),0,(-W487+Poussee)/m-Poids*SIN(M487)/m)</f>
        <v>5.96621552386806</v>
      </c>
      <c r="AH488" s="418" t="n">
        <f aca="false">IF(AND(L487&lt;L_rampe,Poussee&lt;Poids*SIN(M487)), g*SIN(M487), (-W487+Poussee)/m)</f>
        <v>-3.74244640889685</v>
      </c>
    </row>
    <row r="489" customFormat="false" ht="12" hidden="false" customHeight="false" outlineLevel="0" collapsed="false">
      <c r="A489" s="417" t="n">
        <f aca="false">IF(B488+0.01&lt;=T_ini+ROUNDUP(Temps_fin_propu,0), 0.01, IF(K488&gt;0, 0.1, 0.0001))</f>
        <v>0.0001</v>
      </c>
      <c r="B489" s="418" t="n">
        <f aca="false">B488+pas</f>
        <v>16.5139999999999</v>
      </c>
      <c r="C489" s="402"/>
      <c r="D489" s="419" t="n">
        <f aca="false">IF(AND(L488&lt;L_rampe,Poussee&lt;Poids*SIN(M488)),0,(-W488+Poussee)/m*COS(M488)-U488/m*SIN(M488))</f>
        <v>-0.536536864881079</v>
      </c>
      <c r="E489" s="420" t="n">
        <f aca="false">IF(AND(L488&lt;L_rampe,Poussee&lt;Poids*SIN(M488)),0,(-W488+Poussee)/m*SIN(M488)+U488/m*COS(M488)-Poids/m)</f>
        <v>-6.10614803864184</v>
      </c>
      <c r="F489" s="418" t="n">
        <f aca="false">SQRT(acc_x^2+acc_z^2)</f>
        <v>6.12967500583726</v>
      </c>
      <c r="G489" s="419" t="n">
        <f aca="false">G488+acc_x*pas</f>
        <v>10.2797250652</v>
      </c>
      <c r="H489" s="420" t="n">
        <f aca="false">H488+acc_z*pas</f>
        <v>-70.9645667983454</v>
      </c>
      <c r="I489" s="418" t="n">
        <f aca="false">SQRT(vit_x^2+vit_z^2)</f>
        <v>71.7052472856271</v>
      </c>
      <c r="J489" s="419" t="n">
        <f aca="false">J488+0.5*(vit_x+G488)*pas*(K488&gt;=0)</f>
        <v>211.791153319536</v>
      </c>
      <c r="K489" s="420" t="n">
        <f aca="false">K488+0.5*(vit_z+H488)*pas</f>
        <v>-5.42576726006534</v>
      </c>
      <c r="L489" s="418" t="n">
        <f aca="false">SQRT(pos_x^2+pos_z^2)</f>
        <v>211.860641872859</v>
      </c>
      <c r="M489" s="419" t="n">
        <f aca="false">IF(AND(L488&gt;L_rampe,G489&gt;0),ATAN2(G489,H489),$M$4)</f>
        <v>-1.42693981403273</v>
      </c>
      <c r="N489" s="418" t="n">
        <f aca="false">DEGREES(Beta)</f>
        <v>-81.7576289632579</v>
      </c>
      <c r="O489" s="402"/>
      <c r="P489" s="421" t="n">
        <f aca="false">MATCH(t-pas/2-T_ini,CdP_t)</f>
        <v>23</v>
      </c>
      <c r="Q489" s="418" t="n">
        <f aca="false">(INDEX(CdP,2,i_P+1)-INDEX(CdP,2,i_P+0))/(INDEX(CdP,1,i_P+1)-INDEX(CdP,1,i_P+0))*(t-pas/2-T_ini-INDEX(CdP,1,i_P+0))+INDEX(CdP,2,i_P+0)</f>
        <v>0</v>
      </c>
      <c r="R489" s="419" t="n">
        <f aca="false">Poussee/(g*ISP)</f>
        <v>0</v>
      </c>
      <c r="S489" s="420" t="n">
        <f aca="false">S488-Débit*pas</f>
        <v>1.4843</v>
      </c>
      <c r="T489" s="418" t="n">
        <f aca="false">m*g</f>
        <v>14.560983</v>
      </c>
      <c r="U489" s="422" t="n">
        <f aca="false">IF(pos_xz&lt;L_rampe,Poids*COS(Beta),0)</f>
        <v>0</v>
      </c>
      <c r="V489" s="419" t="n">
        <f aca="false">Rho_moyen*(20000-Alt_rampe-pos_z)/(20000+Alt_rampe+pos_z)</f>
        <v>1.22566483685186</v>
      </c>
      <c r="W489" s="418" t="n">
        <f aca="false">1/2*Rho*Sref*Cx*vit_xz^2</f>
        <v>5.55510597067543</v>
      </c>
      <c r="X489" s="402"/>
      <c r="Y489" s="423" t="str">
        <f aca="false">IF(AND(pos_z&lt;=0,K488&gt;0),"Impact balistique","") &amp; IF(AND(H490&lt;0,vit_z&gt;=0),"Apogée","") &amp; IF(AND(Poussee=0,Q488&gt;0),"Fin de propulsion","") &amp; IF(AND(L490&gt;L_rampe,pos_xz&lt;=L_rampe),"Sortie de rampe","")</f>
        <v/>
      </c>
      <c r="Z489" s="424" t="str">
        <f aca="false">IF(ABS(t-T_para)&lt;pas/2,"Para","")</f>
        <v/>
      </c>
      <c r="AA489" s="425" t="str">
        <f aca="false">IF(ABS(t-T_satellite)&lt;pas/2,"Satellite","")</f>
        <v/>
      </c>
      <c r="AB489" s="413"/>
      <c r="AC489" s="421" t="e">
        <f aca="false">IF(ABS(t-ROUND(t,0))&lt;0.001,t,NA())</f>
        <v>#N/A</v>
      </c>
      <c r="AD489" s="426" t="e">
        <f aca="false">IF(ABS(t-ROUND(t,0))&lt;0.001,pos_x,NA())</f>
        <v>#N/A</v>
      </c>
      <c r="AE489" s="427" t="e">
        <f aca="false">IF(t&lt;T_para, pos_z, NA())</f>
        <v>#N/A</v>
      </c>
      <c r="AF489" s="413"/>
      <c r="AG489" s="419" t="n">
        <f aca="false">IF(AND(L488&lt;L_rampe,Poussee&lt;Poids*SIN(M488)),0,(-W488+Poussee)/m-Poids*SIN(M488)/m)</f>
        <v>5.96615334738614</v>
      </c>
      <c r="AH489" s="418" t="n">
        <f aca="false">IF(AND(L488&lt;L_rampe,Poussee&lt;Poids*SIN(M488)), g*SIN(M488), (-W488+Poussee)/m)</f>
        <v>-3.742511343875</v>
      </c>
    </row>
    <row r="490" customFormat="false" ht="12" hidden="false" customHeight="false" outlineLevel="0" collapsed="false">
      <c r="A490" s="417" t="n">
        <f aca="false">IF(B489+0.01&lt;=T_ini+ROUNDUP(Temps_fin_propu,0), 0.01, IF(K489&gt;0, 0.1, 0.0001))</f>
        <v>0.0001</v>
      </c>
      <c r="B490" s="418" t="n">
        <f aca="false">B489+pas</f>
        <v>16.5140999999999</v>
      </c>
      <c r="C490" s="402"/>
      <c r="D490" s="419" t="n">
        <f aca="false">IF(AND(L489&lt;L_rampe,Poussee&lt;Poids*SIN(M489)),0,(-W489+Poussee)/m*COS(M489)-U489/m*SIN(M489))</f>
        <v>-0.536538909470846</v>
      </c>
      <c r="E490" s="420" t="n">
        <f aca="false">IF(AND(L489&lt;L_rampe,Poussee&lt;Poids*SIN(M489)),0,(-W489+Poussee)/m*SIN(M489)+U489/m*COS(M489)-Poids/m)</f>
        <v>-6.10608272210008</v>
      </c>
      <c r="F490" s="418" t="n">
        <f aca="false">SQRT(acc_x^2+acc_z^2)</f>
        <v>6.12961011896396</v>
      </c>
      <c r="G490" s="419" t="n">
        <f aca="false">G489+acc_x*pas</f>
        <v>10.2796714113091</v>
      </c>
      <c r="H490" s="420" t="n">
        <f aca="false">H489+acc_z*pas</f>
        <v>-70.9651774066177</v>
      </c>
      <c r="I490" s="418" t="n">
        <f aca="false">SQRT(vit_x^2+vit_z^2)</f>
        <v>71.7058438948821</v>
      </c>
      <c r="J490" s="419" t="n">
        <f aca="false">J489+0.5*(vit_x+G489)*pas*(K489&gt;=0)</f>
        <v>211.791153319536</v>
      </c>
      <c r="K490" s="420" t="n">
        <f aca="false">K489+0.5*(vit_z+H489)*pas</f>
        <v>-5.43286374727559</v>
      </c>
      <c r="L490" s="418" t="n">
        <f aca="false">SQRT(pos_x^2+pos_z^2)</f>
        <v>211.860823733213</v>
      </c>
      <c r="M490" s="419" t="n">
        <f aca="false">IF(AND(L489&gt;L_rampe,G490&gt;0),ATAN2(G490,H490),$M$4)</f>
        <v>-1.4269417753372</v>
      </c>
      <c r="N490" s="418" t="n">
        <f aca="false">DEGREES(Beta)</f>
        <v>-81.7577413377263</v>
      </c>
      <c r="O490" s="402"/>
      <c r="P490" s="421" t="n">
        <f aca="false">MATCH(t-pas/2-T_ini,CdP_t)</f>
        <v>23</v>
      </c>
      <c r="Q490" s="418" t="n">
        <f aca="false">(INDEX(CdP,2,i_P+1)-INDEX(CdP,2,i_P+0))/(INDEX(CdP,1,i_P+1)-INDEX(CdP,1,i_P+0))*(t-pas/2-T_ini-INDEX(CdP,1,i_P+0))+INDEX(CdP,2,i_P+0)</f>
        <v>0</v>
      </c>
      <c r="R490" s="419" t="n">
        <f aca="false">Poussee/(g*ISP)</f>
        <v>0</v>
      </c>
      <c r="S490" s="420" t="n">
        <f aca="false">S489-Débit*pas</f>
        <v>1.4843</v>
      </c>
      <c r="T490" s="418" t="n">
        <f aca="false">m*g</f>
        <v>14.560983</v>
      </c>
      <c r="U490" s="422" t="n">
        <f aca="false">IF(pos_xz&lt;L_rampe,Poids*COS(Beta),0)</f>
        <v>0</v>
      </c>
      <c r="V490" s="419" t="n">
        <f aca="false">Rho_moyen*(20000-Alt_rampe-pos_z)/(20000+Alt_rampe+pos_z)</f>
        <v>1.22566570664372</v>
      </c>
      <c r="W490" s="418" t="n">
        <f aca="false">1/2*Rho*Sref*Cx*vit_xz^2</f>
        <v>5.55520235361087</v>
      </c>
      <c r="X490" s="402"/>
      <c r="Y490" s="423" t="str">
        <f aca="false">IF(AND(pos_z&lt;=0,K489&gt;0),"Impact balistique","") &amp; IF(AND(H491&lt;0,vit_z&gt;=0),"Apogée","") &amp; IF(AND(Poussee=0,Q489&gt;0),"Fin de propulsion","") &amp; IF(AND(L491&gt;L_rampe,pos_xz&lt;=L_rampe),"Sortie de rampe","")</f>
        <v/>
      </c>
      <c r="Z490" s="424" t="str">
        <f aca="false">IF(ABS(t-T_para)&lt;pas/2,"Para","")</f>
        <v/>
      </c>
      <c r="AA490" s="425" t="str">
        <f aca="false">IF(ABS(t-T_satellite)&lt;pas/2,"Satellite","")</f>
        <v/>
      </c>
      <c r="AB490" s="413"/>
      <c r="AC490" s="421" t="e">
        <f aca="false">IF(ABS(t-ROUND(t,0))&lt;0.001,t,NA())</f>
        <v>#N/A</v>
      </c>
      <c r="AD490" s="426" t="e">
        <f aca="false">IF(ABS(t-ROUND(t,0))&lt;0.001,pos_x,NA())</f>
        <v>#N/A</v>
      </c>
      <c r="AE490" s="427" t="e">
        <f aca="false">IF(t&lt;T_para, pos_z, NA())</f>
        <v>#N/A</v>
      </c>
      <c r="AF490" s="413"/>
      <c r="AG490" s="419" t="n">
        <f aca="false">IF(AND(L489&lt;L_rampe,Poussee&lt;Poids*SIN(M489)),0,(-W489+Poussee)/m-Poids*SIN(M489)/m)</f>
        <v>5.96609117082429</v>
      </c>
      <c r="AH490" s="418" t="n">
        <f aca="false">IF(AND(L489&lt;L_rampe,Poussee&lt;Poids*SIN(M489)), g*SIN(M489), (-W489+Poussee)/m)</f>
        <v>-3.74257627883543</v>
      </c>
    </row>
    <row r="491" customFormat="false" ht="12" hidden="false" customHeight="false" outlineLevel="0" collapsed="false">
      <c r="A491" s="417" t="n">
        <f aca="false">IF(B490+0.01&lt;=T_ini+ROUNDUP(Temps_fin_propu,0), 0.01, IF(K490&gt;0, 0.1, 0.0001))</f>
        <v>0.0001</v>
      </c>
      <c r="B491" s="418" t="n">
        <f aca="false">B490+pas</f>
        <v>16.5141999999999</v>
      </c>
      <c r="C491" s="402"/>
      <c r="D491" s="419" t="n">
        <f aca="false">IF(AND(L490&lt;L_rampe,Poussee&lt;Poids*SIN(M490)),0,(-W490+Poussee)/m*COS(M490)-U490/m*SIN(M490))</f>
        <v>-0.536540953962724</v>
      </c>
      <c r="E491" s="420" t="n">
        <f aca="false">IF(AND(L490&lt;L_rampe,Poussee&lt;Poids*SIN(M490)),0,(-W490+Poussee)/m*SIN(M490)+U490/m*COS(M490)-Poids/m)</f>
        <v>-6.10601740557661</v>
      </c>
      <c r="F491" s="418" t="n">
        <f aca="false">SQRT(acc_x^2+acc_z^2)</f>
        <v>6.12954523211011</v>
      </c>
      <c r="G491" s="419" t="n">
        <f aca="false">G490+acc_x*pas</f>
        <v>10.2796177572137</v>
      </c>
      <c r="H491" s="420" t="n">
        <f aca="false">H490+acc_z*pas</f>
        <v>-70.9657880083582</v>
      </c>
      <c r="I491" s="418" t="n">
        <f aca="false">SQRT(vit_x^2+vit_z^2)</f>
        <v>71.7064404979194</v>
      </c>
      <c r="J491" s="419" t="n">
        <f aca="false">J490+0.5*(vit_x+G490)*pas*(K490&gt;=0)</f>
        <v>211.791153319536</v>
      </c>
      <c r="K491" s="420" t="n">
        <f aca="false">K490+0.5*(vit_z+H490)*pas</f>
        <v>-5.43996029554634</v>
      </c>
      <c r="L491" s="418" t="n">
        <f aca="false">SQRT(pos_x^2+pos_z^2)</f>
        <v>211.861005832684</v>
      </c>
      <c r="M491" s="419" t="n">
        <f aca="false">IF(AND(L490&gt;L_rampe,G491&gt;0),ATAN2(G491,H491),$M$4)</f>
        <v>-1.42694373659879</v>
      </c>
      <c r="N491" s="418" t="n">
        <f aca="false">DEGREES(Beta)</f>
        <v>-81.7578537097381</v>
      </c>
      <c r="O491" s="402"/>
      <c r="P491" s="421" t="n">
        <f aca="false">MATCH(t-pas/2-T_ini,CdP_t)</f>
        <v>23</v>
      </c>
      <c r="Q491" s="418" t="n">
        <f aca="false">(INDEX(CdP,2,i_P+1)-INDEX(CdP,2,i_P+0))/(INDEX(CdP,1,i_P+1)-INDEX(CdP,1,i_P+0))*(t-pas/2-T_ini-INDEX(CdP,1,i_P+0))+INDEX(CdP,2,i_P+0)</f>
        <v>0</v>
      </c>
      <c r="R491" s="419" t="n">
        <f aca="false">Poussee/(g*ISP)</f>
        <v>0</v>
      </c>
      <c r="S491" s="420" t="n">
        <f aca="false">S490-Débit*pas</f>
        <v>1.4843</v>
      </c>
      <c r="T491" s="418" t="n">
        <f aca="false">m*g</f>
        <v>14.560983</v>
      </c>
      <c r="U491" s="422" t="n">
        <f aca="false">IF(pos_xz&lt;L_rampe,Poids*COS(Beta),0)</f>
        <v>0</v>
      </c>
      <c r="V491" s="419" t="n">
        <f aca="false">Rho_moyen*(20000-Alt_rampe-pos_z)/(20000+Alt_rampe+pos_z)</f>
        <v>1.22566657644367</v>
      </c>
      <c r="W491" s="418" t="n">
        <f aca="false">1/2*Rho*Sref*Cx*vit_xz^2</f>
        <v>5.55529873651997</v>
      </c>
      <c r="X491" s="402"/>
      <c r="Y491" s="423" t="str">
        <f aca="false">IF(AND(pos_z&lt;=0,K490&gt;0),"Impact balistique","") &amp; IF(AND(H492&lt;0,vit_z&gt;=0),"Apogée","") &amp; IF(AND(Poussee=0,Q490&gt;0),"Fin de propulsion","") &amp; IF(AND(L492&gt;L_rampe,pos_xz&lt;=L_rampe),"Sortie de rampe","")</f>
        <v/>
      </c>
      <c r="Z491" s="424" t="str">
        <f aca="false">IF(ABS(t-T_para)&lt;pas/2,"Para","")</f>
        <v/>
      </c>
      <c r="AA491" s="425" t="str">
        <f aca="false">IF(ABS(t-T_satellite)&lt;pas/2,"Satellite","")</f>
        <v/>
      </c>
      <c r="AB491" s="413"/>
      <c r="AC491" s="421" t="e">
        <f aca="false">IF(ABS(t-ROUND(t,0))&lt;0.001,t,NA())</f>
        <v>#N/A</v>
      </c>
      <c r="AD491" s="426" t="e">
        <f aca="false">IF(ABS(t-ROUND(t,0))&lt;0.001,pos_x,NA())</f>
        <v>#N/A</v>
      </c>
      <c r="AE491" s="427" t="e">
        <f aca="false">IF(t&lt;T_para, pos_z, NA())</f>
        <v>#N/A</v>
      </c>
      <c r="AF491" s="413"/>
      <c r="AG491" s="419" t="n">
        <f aca="false">IF(AND(L490&lt;L_rampe,Poussee&lt;Poids*SIN(M490)),0,(-W490+Poussee)/m-Poids*SIN(M490)/m)</f>
        <v>5.96602899418252</v>
      </c>
      <c r="AH491" s="418" t="n">
        <f aca="false">IF(AND(L490&lt;L_rampe,Poussee&lt;Poids*SIN(M490)), g*SIN(M490), (-W490+Poussee)/m)</f>
        <v>-3.74264121377813</v>
      </c>
    </row>
    <row r="492" customFormat="false" ht="12" hidden="false" customHeight="false" outlineLevel="0" collapsed="false">
      <c r="A492" s="417" t="n">
        <f aca="false">IF(B491+0.01&lt;=T_ini+ROUNDUP(Temps_fin_propu,0), 0.01, IF(K491&gt;0, 0.1, 0.0001))</f>
        <v>0.0001</v>
      </c>
      <c r="B492" s="418" t="n">
        <f aca="false">B491+pas</f>
        <v>16.5142999999999</v>
      </c>
      <c r="C492" s="402"/>
      <c r="D492" s="419" t="n">
        <f aca="false">IF(AND(L491&lt;L_rampe,Poussee&lt;Poids*SIN(M491)),0,(-W491+Poussee)/m*COS(M491)-U491/m*SIN(M491))</f>
        <v>-0.536542998356714</v>
      </c>
      <c r="E492" s="420" t="n">
        <f aca="false">IF(AND(L491&lt;L_rampe,Poussee&lt;Poids*SIN(M491)),0,(-W491+Poussee)/m*SIN(M491)+U491/m*COS(M491)-Poids/m)</f>
        <v>-6.10595208907144</v>
      </c>
      <c r="F492" s="418" t="n">
        <f aca="false">SQRT(acc_x^2+acc_z^2)</f>
        <v>6.12948034527573</v>
      </c>
      <c r="G492" s="419" t="n">
        <f aca="false">G491+acc_x*pas</f>
        <v>10.2795641029139</v>
      </c>
      <c r="H492" s="420" t="n">
        <f aca="false">H491+acc_z*pas</f>
        <v>-70.9663986035671</v>
      </c>
      <c r="I492" s="418" t="n">
        <f aca="false">SQRT(vit_x^2+vit_z^2)</f>
        <v>71.7070370947391</v>
      </c>
      <c r="J492" s="419" t="n">
        <f aca="false">J491+0.5*(vit_x+G491)*pas*(K491&gt;=0)</f>
        <v>211.791153319536</v>
      </c>
      <c r="K492" s="420" t="n">
        <f aca="false">K491+0.5*(vit_z+H491)*pas</f>
        <v>-5.44705690487693</v>
      </c>
      <c r="L492" s="418" t="n">
        <f aca="false">SQRT(pos_x^2+pos_z^2)</f>
        <v>211.861188171275</v>
      </c>
      <c r="M492" s="419" t="n">
        <f aca="false">IF(AND(L491&gt;L_rampe,G492&gt;0),ATAN2(G492,H492),$M$4)</f>
        <v>-1.42694569781751</v>
      </c>
      <c r="N492" s="418" t="n">
        <f aca="false">DEGREES(Beta)</f>
        <v>-81.7579660792937</v>
      </c>
      <c r="O492" s="402"/>
      <c r="P492" s="421" t="n">
        <f aca="false">MATCH(t-pas/2-T_ini,CdP_t)</f>
        <v>23</v>
      </c>
      <c r="Q492" s="418" t="n">
        <f aca="false">(INDEX(CdP,2,i_P+1)-INDEX(CdP,2,i_P+0))/(INDEX(CdP,1,i_P+1)-INDEX(CdP,1,i_P+0))*(t-pas/2-T_ini-INDEX(CdP,1,i_P+0))+INDEX(CdP,2,i_P+0)</f>
        <v>0</v>
      </c>
      <c r="R492" s="419" t="n">
        <f aca="false">Poussee/(g*ISP)</f>
        <v>0</v>
      </c>
      <c r="S492" s="420" t="n">
        <f aca="false">S491-Débit*pas</f>
        <v>1.4843</v>
      </c>
      <c r="T492" s="418" t="n">
        <f aca="false">m*g</f>
        <v>14.560983</v>
      </c>
      <c r="U492" s="422" t="n">
        <f aca="false">IF(pos_xz&lt;L_rampe,Poids*COS(Beta),0)</f>
        <v>0</v>
      </c>
      <c r="V492" s="419" t="n">
        <f aca="false">Rho_moyen*(20000-Alt_rampe-pos_z)/(20000+Alt_rampe+pos_z)</f>
        <v>1.22566744625173</v>
      </c>
      <c r="W492" s="418" t="n">
        <f aca="false">1/2*Rho*Sref*Cx*vit_xz^2</f>
        <v>5.5553951194027</v>
      </c>
      <c r="X492" s="402"/>
      <c r="Y492" s="423" t="str">
        <f aca="false">IF(AND(pos_z&lt;=0,K491&gt;0),"Impact balistique","") &amp; IF(AND(H493&lt;0,vit_z&gt;=0),"Apogée","") &amp; IF(AND(Poussee=0,Q491&gt;0),"Fin de propulsion","") &amp; IF(AND(L493&gt;L_rampe,pos_xz&lt;=L_rampe),"Sortie de rampe","")</f>
        <v/>
      </c>
      <c r="Z492" s="424" t="str">
        <f aca="false">IF(ABS(t-T_para)&lt;pas/2,"Para","")</f>
        <v/>
      </c>
      <c r="AA492" s="425" t="str">
        <f aca="false">IF(ABS(t-T_satellite)&lt;pas/2,"Satellite","")</f>
        <v/>
      </c>
      <c r="AB492" s="413"/>
      <c r="AC492" s="421" t="e">
        <f aca="false">IF(ABS(t-ROUND(t,0))&lt;0.001,t,NA())</f>
        <v>#N/A</v>
      </c>
      <c r="AD492" s="426" t="e">
        <f aca="false">IF(ABS(t-ROUND(t,0))&lt;0.001,pos_x,NA())</f>
        <v>#N/A</v>
      </c>
      <c r="AE492" s="427" t="e">
        <f aca="false">IF(t&lt;T_para, pos_z, NA())</f>
        <v>#N/A</v>
      </c>
      <c r="AF492" s="413"/>
      <c r="AG492" s="419" t="n">
        <f aca="false">IF(AND(L491&lt;L_rampe,Poussee&lt;Poids*SIN(M491)),0,(-W491+Poussee)/m-Poids*SIN(M491)/m)</f>
        <v>5.96596681746087</v>
      </c>
      <c r="AH492" s="418" t="n">
        <f aca="false">IF(AND(L491&lt;L_rampe,Poussee&lt;Poids*SIN(M491)), g*SIN(M491), (-W491+Poussee)/m)</f>
        <v>-3.74270614870308</v>
      </c>
    </row>
    <row r="493" customFormat="false" ht="12" hidden="false" customHeight="false" outlineLevel="0" collapsed="false">
      <c r="A493" s="417" t="n">
        <f aca="false">IF(B492+0.01&lt;=T_ini+ROUNDUP(Temps_fin_propu,0), 0.01, IF(K492&gt;0, 0.1, 0.0001))</f>
        <v>0.0001</v>
      </c>
      <c r="B493" s="418" t="n">
        <f aca="false">B492+pas</f>
        <v>16.5143999999999</v>
      </c>
      <c r="C493" s="402"/>
      <c r="D493" s="419" t="n">
        <f aca="false">IF(AND(L492&lt;L_rampe,Poussee&lt;Poids*SIN(M492)),0,(-W492+Poussee)/m*COS(M492)-U492/m*SIN(M492))</f>
        <v>-0.536545042652817</v>
      </c>
      <c r="E493" s="420" t="n">
        <f aca="false">IF(AND(L492&lt;L_rampe,Poussee&lt;Poids*SIN(M492)),0,(-W492+Poussee)/m*SIN(M492)+U492/m*COS(M492)-Poids/m)</f>
        <v>-6.1058867725846</v>
      </c>
      <c r="F493" s="418" t="n">
        <f aca="false">SQRT(acc_x^2+acc_z^2)</f>
        <v>6.12941545846085</v>
      </c>
      <c r="G493" s="419" t="n">
        <f aca="false">G492+acc_x*pas</f>
        <v>10.2795104484096</v>
      </c>
      <c r="H493" s="420" t="n">
        <f aca="false">H492+acc_z*pas</f>
        <v>-70.9670091922444</v>
      </c>
      <c r="I493" s="418" t="n">
        <f aca="false">SQRT(vit_x^2+vit_z^2)</f>
        <v>71.7076336853411</v>
      </c>
      <c r="J493" s="419" t="n">
        <f aca="false">J492+0.5*(vit_x+G492)*pas*(K492&gt;=0)</f>
        <v>211.791153319536</v>
      </c>
      <c r="K493" s="420" t="n">
        <f aca="false">K492+0.5*(vit_z+H492)*pas</f>
        <v>-5.45415357526672</v>
      </c>
      <c r="L493" s="418" t="n">
        <f aca="false">SQRT(pos_x^2+pos_z^2)</f>
        <v>211.861370748992</v>
      </c>
      <c r="M493" s="419" t="n">
        <f aca="false">IF(AND(L492&gt;L_rampe,G493&gt;0),ATAN2(G493,H493),$M$4)</f>
        <v>-1.42694765899337</v>
      </c>
      <c r="N493" s="418" t="n">
        <f aca="false">DEGREES(Beta)</f>
        <v>-81.7580784463929</v>
      </c>
      <c r="O493" s="402"/>
      <c r="P493" s="421" t="n">
        <f aca="false">MATCH(t-pas/2-T_ini,CdP_t)</f>
        <v>23</v>
      </c>
      <c r="Q493" s="418" t="n">
        <f aca="false">(INDEX(CdP,2,i_P+1)-INDEX(CdP,2,i_P+0))/(INDEX(CdP,1,i_P+1)-INDEX(CdP,1,i_P+0))*(t-pas/2-T_ini-INDEX(CdP,1,i_P+0))+INDEX(CdP,2,i_P+0)</f>
        <v>0</v>
      </c>
      <c r="R493" s="419" t="n">
        <f aca="false">Poussee/(g*ISP)</f>
        <v>0</v>
      </c>
      <c r="S493" s="420" t="n">
        <f aca="false">S492-Débit*pas</f>
        <v>1.4843</v>
      </c>
      <c r="T493" s="418" t="n">
        <f aca="false">m*g</f>
        <v>14.560983</v>
      </c>
      <c r="U493" s="422" t="n">
        <f aca="false">IF(pos_xz&lt;L_rampe,Poids*COS(Beta),0)</f>
        <v>0</v>
      </c>
      <c r="V493" s="419" t="n">
        <f aca="false">Rho_moyen*(20000-Alt_rampe-pos_z)/(20000+Alt_rampe+pos_z)</f>
        <v>1.22566831606789</v>
      </c>
      <c r="W493" s="418" t="n">
        <f aca="false">1/2*Rho*Sref*Cx*vit_xz^2</f>
        <v>5.55549150225902</v>
      </c>
      <c r="X493" s="402"/>
      <c r="Y493" s="423" t="str">
        <f aca="false">IF(AND(pos_z&lt;=0,K492&gt;0),"Impact balistique","") &amp; IF(AND(H494&lt;0,vit_z&gt;=0),"Apogée","") &amp; IF(AND(Poussee=0,Q492&gt;0),"Fin de propulsion","") &amp; IF(AND(L494&gt;L_rampe,pos_xz&lt;=L_rampe),"Sortie de rampe","")</f>
        <v/>
      </c>
      <c r="Z493" s="424" t="str">
        <f aca="false">IF(ABS(t-T_para)&lt;pas/2,"Para","")</f>
        <v/>
      </c>
      <c r="AA493" s="425" t="str">
        <f aca="false">IF(ABS(t-T_satellite)&lt;pas/2,"Satellite","")</f>
        <v/>
      </c>
      <c r="AB493" s="413"/>
      <c r="AC493" s="421" t="e">
        <f aca="false">IF(ABS(t-ROUND(t,0))&lt;0.001,t,NA())</f>
        <v>#N/A</v>
      </c>
      <c r="AD493" s="426" t="e">
        <f aca="false">IF(ABS(t-ROUND(t,0))&lt;0.001,pos_x,NA())</f>
        <v>#N/A</v>
      </c>
      <c r="AE493" s="427" t="e">
        <f aca="false">IF(t&lt;T_para, pos_z, NA())</f>
        <v>#N/A</v>
      </c>
      <c r="AF493" s="413"/>
      <c r="AG493" s="419" t="n">
        <f aca="false">IF(AND(L492&lt;L_rampe,Poussee&lt;Poids*SIN(M492)),0,(-W492+Poussee)/m-Poids*SIN(M492)/m)</f>
        <v>5.96590464065935</v>
      </c>
      <c r="AH493" s="418" t="n">
        <f aca="false">IF(AND(L492&lt;L_rampe,Poussee&lt;Poids*SIN(M492)), g*SIN(M492), (-W492+Poussee)/m)</f>
        <v>-3.74277108361026</v>
      </c>
    </row>
    <row r="494" customFormat="false" ht="12" hidden="false" customHeight="false" outlineLevel="0" collapsed="false">
      <c r="A494" s="417" t="n">
        <f aca="false">IF(B493+0.01&lt;=T_ini+ROUNDUP(Temps_fin_propu,0), 0.01, IF(K493&gt;0, 0.1, 0.0001))</f>
        <v>0.0001</v>
      </c>
      <c r="B494" s="418" t="n">
        <f aca="false">B493+pas</f>
        <v>16.5144999999999</v>
      </c>
      <c r="C494" s="402"/>
      <c r="D494" s="419" t="n">
        <f aca="false">IF(AND(L493&lt;L_rampe,Poussee&lt;Poids*SIN(M493)),0,(-W493+Poussee)/m*COS(M493)-U493/m*SIN(M493))</f>
        <v>-0.536547086851036</v>
      </c>
      <c r="E494" s="420" t="n">
        <f aca="false">IF(AND(L493&lt;L_rampe,Poussee&lt;Poids*SIN(M493)),0,(-W493+Poussee)/m*SIN(M493)+U493/m*COS(M493)-Poids/m)</f>
        <v>-6.10582145611608</v>
      </c>
      <c r="F494" s="418" t="n">
        <f aca="false">SQRT(acc_x^2+acc_z^2)</f>
        <v>6.12935057166547</v>
      </c>
      <c r="G494" s="419" t="n">
        <f aca="false">G493+acc_x*pas</f>
        <v>10.2794567937009</v>
      </c>
      <c r="H494" s="420" t="n">
        <f aca="false">H493+acc_z*pas</f>
        <v>-70.96761977439</v>
      </c>
      <c r="I494" s="418" t="n">
        <f aca="false">SQRT(vit_x^2+vit_z^2)</f>
        <v>71.7082302697254</v>
      </c>
      <c r="J494" s="419" t="n">
        <f aca="false">J493+0.5*(vit_x+G493)*pas*(K493&gt;=0)</f>
        <v>211.791153319536</v>
      </c>
      <c r="K494" s="420" t="n">
        <f aca="false">K493+0.5*(vit_z+H493)*pas</f>
        <v>-5.46125030671506</v>
      </c>
      <c r="L494" s="418" t="n">
        <f aca="false">SQRT(pos_x^2+pos_z^2)</f>
        <v>211.861553565841</v>
      </c>
      <c r="M494" s="419" t="n">
        <f aca="false">IF(AND(L493&gt;L_rampe,G494&gt;0),ATAN2(G494,H494),$M$4)</f>
        <v>-1.42694962012635</v>
      </c>
      <c r="N494" s="418" t="n">
        <f aca="false">DEGREES(Beta)</f>
        <v>-81.7581908110359</v>
      </c>
      <c r="O494" s="402"/>
      <c r="P494" s="421" t="n">
        <f aca="false">MATCH(t-pas/2-T_ini,CdP_t)</f>
        <v>23</v>
      </c>
      <c r="Q494" s="418" t="n">
        <f aca="false">(INDEX(CdP,2,i_P+1)-INDEX(CdP,2,i_P+0))/(INDEX(CdP,1,i_P+1)-INDEX(CdP,1,i_P+0))*(t-pas/2-T_ini-INDEX(CdP,1,i_P+0))+INDEX(CdP,2,i_P+0)</f>
        <v>0</v>
      </c>
      <c r="R494" s="419" t="n">
        <f aca="false">Poussee/(g*ISP)</f>
        <v>0</v>
      </c>
      <c r="S494" s="420" t="n">
        <f aca="false">S493-Débit*pas</f>
        <v>1.4843</v>
      </c>
      <c r="T494" s="418" t="n">
        <f aca="false">m*g</f>
        <v>14.560983</v>
      </c>
      <c r="U494" s="422" t="n">
        <f aca="false">IF(pos_xz&lt;L_rampe,Poids*COS(Beta),0)</f>
        <v>0</v>
      </c>
      <c r="V494" s="419" t="n">
        <f aca="false">Rho_moyen*(20000-Alt_rampe-pos_z)/(20000+Alt_rampe+pos_z)</f>
        <v>1.22566918589216</v>
      </c>
      <c r="W494" s="418" t="n">
        <f aca="false">1/2*Rho*Sref*Cx*vit_xz^2</f>
        <v>5.55558788508893</v>
      </c>
      <c r="X494" s="402"/>
      <c r="Y494" s="423" t="str">
        <f aca="false">IF(AND(pos_z&lt;=0,K493&gt;0),"Impact balistique","") &amp; IF(AND(H495&lt;0,vit_z&gt;=0),"Apogée","") &amp; IF(AND(Poussee=0,Q493&gt;0),"Fin de propulsion","") &amp; IF(AND(L495&gt;L_rampe,pos_xz&lt;=L_rampe),"Sortie de rampe","")</f>
        <v/>
      </c>
      <c r="Z494" s="424" t="str">
        <f aca="false">IF(ABS(t-T_para)&lt;pas/2,"Para","")</f>
        <v/>
      </c>
      <c r="AA494" s="425" t="str">
        <f aca="false">IF(ABS(t-T_satellite)&lt;pas/2,"Satellite","")</f>
        <v/>
      </c>
      <c r="AB494" s="413"/>
      <c r="AC494" s="421" t="e">
        <f aca="false">IF(ABS(t-ROUND(t,0))&lt;0.001,t,NA())</f>
        <v>#N/A</v>
      </c>
      <c r="AD494" s="426" t="e">
        <f aca="false">IF(ABS(t-ROUND(t,0))&lt;0.001,pos_x,NA())</f>
        <v>#N/A</v>
      </c>
      <c r="AE494" s="427" t="e">
        <f aca="false">IF(t&lt;T_para, pos_z, NA())</f>
        <v>#N/A</v>
      </c>
      <c r="AF494" s="413"/>
      <c r="AG494" s="419" t="n">
        <f aca="false">IF(AND(L493&lt;L_rampe,Poussee&lt;Poids*SIN(M493)),0,(-W493+Poussee)/m-Poids*SIN(M493)/m)</f>
        <v>5.96584246377798</v>
      </c>
      <c r="AH494" s="418" t="n">
        <f aca="false">IF(AND(L493&lt;L_rampe,Poussee&lt;Poids*SIN(M493)), g*SIN(M493), (-W493+Poussee)/m)</f>
        <v>-3.74283601849965</v>
      </c>
    </row>
    <row r="495" customFormat="false" ht="12" hidden="false" customHeight="false" outlineLevel="0" collapsed="false">
      <c r="A495" s="417" t="n">
        <f aca="false">IF(B494+0.01&lt;=T_ini+ROUNDUP(Temps_fin_propu,0), 0.01, IF(K494&gt;0, 0.1, 0.0001))</f>
        <v>0.0001</v>
      </c>
      <c r="B495" s="418" t="n">
        <f aca="false">B494+pas</f>
        <v>16.5145999999999</v>
      </c>
      <c r="C495" s="402"/>
      <c r="D495" s="419" t="n">
        <f aca="false">IF(AND(L494&lt;L_rampe,Poussee&lt;Poids*SIN(M494)),0,(-W494+Poussee)/m*COS(M494)-U494/m*SIN(M494))</f>
        <v>-0.536549130951367</v>
      </c>
      <c r="E495" s="420" t="n">
        <f aca="false">IF(AND(L494&lt;L_rampe,Poussee&lt;Poids*SIN(M494)),0,(-W494+Poussee)/m*SIN(M494)+U494/m*COS(M494)-Poids/m)</f>
        <v>-6.10575613966592</v>
      </c>
      <c r="F495" s="418" t="n">
        <f aca="false">SQRT(acc_x^2+acc_z^2)</f>
        <v>6.12928568488962</v>
      </c>
      <c r="G495" s="419" t="n">
        <f aca="false">G494+acc_x*pas</f>
        <v>10.2794031387878</v>
      </c>
      <c r="H495" s="420" t="n">
        <f aca="false">H494+acc_z*pas</f>
        <v>-70.968230350004</v>
      </c>
      <c r="I495" s="418" t="n">
        <f aca="false">SQRT(vit_x^2+vit_z^2)</f>
        <v>71.7088268478919</v>
      </c>
      <c r="J495" s="419" t="n">
        <f aca="false">J494+0.5*(vit_x+G494)*pas*(K494&gt;=0)</f>
        <v>211.791153319536</v>
      </c>
      <c r="K495" s="420" t="n">
        <f aca="false">K494+0.5*(vit_z+H494)*pas</f>
        <v>-5.46834709922128</v>
      </c>
      <c r="L495" s="418" t="n">
        <f aca="false">SQRT(pos_x^2+pos_z^2)</f>
        <v>211.861736621828</v>
      </c>
      <c r="M495" s="419" t="n">
        <f aca="false">IF(AND(L494&gt;L_rampe,G495&gt;0),ATAN2(G495,H495),$M$4)</f>
        <v>-1.42695158121647</v>
      </c>
      <c r="N495" s="418" t="n">
        <f aca="false">DEGREES(Beta)</f>
        <v>-81.7583031732228</v>
      </c>
      <c r="O495" s="402"/>
      <c r="P495" s="421" t="n">
        <f aca="false">MATCH(t-pas/2-T_ini,CdP_t)</f>
        <v>23</v>
      </c>
      <c r="Q495" s="418" t="n">
        <f aca="false">(INDEX(CdP,2,i_P+1)-INDEX(CdP,2,i_P+0))/(INDEX(CdP,1,i_P+1)-INDEX(CdP,1,i_P+0))*(t-pas/2-T_ini-INDEX(CdP,1,i_P+0))+INDEX(CdP,2,i_P+0)</f>
        <v>0</v>
      </c>
      <c r="R495" s="419" t="n">
        <f aca="false">Poussee/(g*ISP)</f>
        <v>0</v>
      </c>
      <c r="S495" s="420" t="n">
        <f aca="false">S494-Débit*pas</f>
        <v>1.4843</v>
      </c>
      <c r="T495" s="418" t="n">
        <f aca="false">m*g</f>
        <v>14.560983</v>
      </c>
      <c r="U495" s="422" t="n">
        <f aca="false">IF(pos_xz&lt;L_rampe,Poids*COS(Beta),0)</f>
        <v>0</v>
      </c>
      <c r="V495" s="419" t="n">
        <f aca="false">Rho_moyen*(20000-Alt_rampe-pos_z)/(20000+Alt_rampe+pos_z)</f>
        <v>1.22567005572452</v>
      </c>
      <c r="W495" s="418" t="n">
        <f aca="false">1/2*Rho*Sref*Cx*vit_xz^2</f>
        <v>5.55568426789239</v>
      </c>
      <c r="X495" s="402"/>
      <c r="Y495" s="423" t="str">
        <f aca="false">IF(AND(pos_z&lt;=0,K494&gt;0),"Impact balistique","") &amp; IF(AND(H496&lt;0,vit_z&gt;=0),"Apogée","") &amp; IF(AND(Poussee=0,Q494&gt;0),"Fin de propulsion","") &amp; IF(AND(L496&gt;L_rampe,pos_xz&lt;=L_rampe),"Sortie de rampe","")</f>
        <v/>
      </c>
      <c r="Z495" s="424" t="str">
        <f aca="false">IF(ABS(t-T_para)&lt;pas/2,"Para","")</f>
        <v/>
      </c>
      <c r="AA495" s="425" t="str">
        <f aca="false">IF(ABS(t-T_satellite)&lt;pas/2,"Satellite","")</f>
        <v/>
      </c>
      <c r="AB495" s="413"/>
      <c r="AC495" s="421" t="e">
        <f aca="false">IF(ABS(t-ROUND(t,0))&lt;0.001,t,NA())</f>
        <v>#N/A</v>
      </c>
      <c r="AD495" s="426" t="e">
        <f aca="false">IF(ABS(t-ROUND(t,0))&lt;0.001,pos_x,NA())</f>
        <v>#N/A</v>
      </c>
      <c r="AE495" s="427" t="e">
        <f aca="false">IF(t&lt;T_para, pos_z, NA())</f>
        <v>#N/A</v>
      </c>
      <c r="AF495" s="413"/>
      <c r="AG495" s="419" t="n">
        <f aca="false">IF(AND(L494&lt;L_rampe,Poussee&lt;Poids*SIN(M494)),0,(-W494+Poussee)/m-Poids*SIN(M494)/m)</f>
        <v>5.96578028681679</v>
      </c>
      <c r="AH495" s="418" t="n">
        <f aca="false">IF(AND(L494&lt;L_rampe,Poussee&lt;Poids*SIN(M494)), g*SIN(M494), (-W494+Poussee)/m)</f>
        <v>-3.74290095337124</v>
      </c>
    </row>
    <row r="496" customFormat="false" ht="12" hidden="false" customHeight="false" outlineLevel="0" collapsed="false">
      <c r="A496" s="417" t="n">
        <f aca="false">IF(B495+0.01&lt;=T_ini+ROUNDUP(Temps_fin_propu,0), 0.01, IF(K495&gt;0, 0.1, 0.0001))</f>
        <v>0.0001</v>
      </c>
      <c r="B496" s="418" t="n">
        <f aca="false">B495+pas</f>
        <v>16.5146999999999</v>
      </c>
      <c r="C496" s="402"/>
      <c r="D496" s="419" t="n">
        <f aca="false">IF(AND(L495&lt;L_rampe,Poussee&lt;Poids*SIN(M495)),0,(-W495+Poussee)/m*COS(M495)-U495/m*SIN(M495))</f>
        <v>-0.536551174953814</v>
      </c>
      <c r="E496" s="420" t="n">
        <f aca="false">IF(AND(L495&lt;L_rampe,Poussee&lt;Poids*SIN(M495)),0,(-W495+Poussee)/m*SIN(M495)+U495/m*COS(M495)-Poids/m)</f>
        <v>-6.10569082323413</v>
      </c>
      <c r="F496" s="418" t="n">
        <f aca="false">SQRT(acc_x^2+acc_z^2)</f>
        <v>6.1292207981333</v>
      </c>
      <c r="G496" s="419" t="n">
        <f aca="false">G495+acc_x*pas</f>
        <v>10.2793494836703</v>
      </c>
      <c r="H496" s="420" t="n">
        <f aca="false">H495+acc_z*pas</f>
        <v>-70.9688409190863</v>
      </c>
      <c r="I496" s="418" t="n">
        <f aca="false">SQRT(vit_x^2+vit_z^2)</f>
        <v>71.7094234198408</v>
      </c>
      <c r="J496" s="419" t="n">
        <f aca="false">J495+0.5*(vit_x+G495)*pas*(K495&gt;=0)</f>
        <v>211.791153319536</v>
      </c>
      <c r="K496" s="420" t="n">
        <f aca="false">K495+0.5*(vit_z+H495)*pas</f>
        <v>-5.47544395278473</v>
      </c>
      <c r="L496" s="418" t="n">
        <f aca="false">SQRT(pos_x^2+pos_z^2)</f>
        <v>211.861919916958</v>
      </c>
      <c r="M496" s="419" t="n">
        <f aca="false">IF(AND(L495&gt;L_rampe,G496&gt;0),ATAN2(G496,H496),$M$4)</f>
        <v>-1.42695354226372</v>
      </c>
      <c r="N496" s="418" t="n">
        <f aca="false">DEGREES(Beta)</f>
        <v>-81.7584155329537</v>
      </c>
      <c r="O496" s="402"/>
      <c r="P496" s="421" t="n">
        <f aca="false">MATCH(t-pas/2-T_ini,CdP_t)</f>
        <v>23</v>
      </c>
      <c r="Q496" s="418" t="n">
        <f aca="false">(INDEX(CdP,2,i_P+1)-INDEX(CdP,2,i_P+0))/(INDEX(CdP,1,i_P+1)-INDEX(CdP,1,i_P+0))*(t-pas/2-T_ini-INDEX(CdP,1,i_P+0))+INDEX(CdP,2,i_P+0)</f>
        <v>0</v>
      </c>
      <c r="R496" s="419" t="n">
        <f aca="false">Poussee/(g*ISP)</f>
        <v>0</v>
      </c>
      <c r="S496" s="420" t="n">
        <f aca="false">S495-Débit*pas</f>
        <v>1.4843</v>
      </c>
      <c r="T496" s="418" t="n">
        <f aca="false">m*g</f>
        <v>14.560983</v>
      </c>
      <c r="U496" s="422" t="n">
        <f aca="false">IF(pos_xz&lt;L_rampe,Poids*COS(Beta),0)</f>
        <v>0</v>
      </c>
      <c r="V496" s="419" t="n">
        <f aca="false">Rho_moyen*(20000-Alt_rampe-pos_z)/(20000+Alt_rampe+pos_z)</f>
        <v>1.22567092556498</v>
      </c>
      <c r="W496" s="418" t="n">
        <f aca="false">1/2*Rho*Sref*Cx*vit_xz^2</f>
        <v>5.55578065066939</v>
      </c>
      <c r="X496" s="402"/>
      <c r="Y496" s="423" t="str">
        <f aca="false">IF(AND(pos_z&lt;=0,K495&gt;0),"Impact balistique","") &amp; IF(AND(H497&lt;0,vit_z&gt;=0),"Apogée","") &amp; IF(AND(Poussee=0,Q495&gt;0),"Fin de propulsion","") &amp; IF(AND(L497&gt;L_rampe,pos_xz&lt;=L_rampe),"Sortie de rampe","")</f>
        <v/>
      </c>
      <c r="Z496" s="424" t="str">
        <f aca="false">IF(ABS(t-T_para)&lt;pas/2,"Para","")</f>
        <v/>
      </c>
      <c r="AA496" s="425" t="str">
        <f aca="false">IF(ABS(t-T_satellite)&lt;pas/2,"Satellite","")</f>
        <v/>
      </c>
      <c r="AB496" s="413"/>
      <c r="AC496" s="421" t="e">
        <f aca="false">IF(ABS(t-ROUND(t,0))&lt;0.001,t,NA())</f>
        <v>#N/A</v>
      </c>
      <c r="AD496" s="426" t="e">
        <f aca="false">IF(ABS(t-ROUND(t,0))&lt;0.001,pos_x,NA())</f>
        <v>#N/A</v>
      </c>
      <c r="AE496" s="427" t="e">
        <f aca="false">IF(t&lt;T_para, pos_z, NA())</f>
        <v>#N/A</v>
      </c>
      <c r="AF496" s="413"/>
      <c r="AG496" s="419" t="n">
        <f aca="false">IF(AND(L495&lt;L_rampe,Poussee&lt;Poids*SIN(M495)),0,(-W495+Poussee)/m-Poids*SIN(M495)/m)</f>
        <v>5.96571810977578</v>
      </c>
      <c r="AH496" s="418" t="n">
        <f aca="false">IF(AND(L495&lt;L_rampe,Poussee&lt;Poids*SIN(M495)), g*SIN(M495), (-W495+Poussee)/m)</f>
        <v>-3.74296588822502</v>
      </c>
    </row>
    <row r="497" customFormat="false" ht="12" hidden="false" customHeight="false" outlineLevel="0" collapsed="false">
      <c r="A497" s="417" t="n">
        <f aca="false">IF(B496+0.01&lt;=T_ini+ROUNDUP(Temps_fin_propu,0), 0.01, IF(K496&gt;0, 0.1, 0.0001))</f>
        <v>0.0001</v>
      </c>
      <c r="B497" s="418" t="n">
        <f aca="false">B496+pas</f>
        <v>16.5147999999999</v>
      </c>
      <c r="C497" s="402"/>
      <c r="D497" s="419" t="n">
        <f aca="false">IF(AND(L496&lt;L_rampe,Poussee&lt;Poids*SIN(M496)),0,(-W496+Poussee)/m*COS(M496)-U496/m*SIN(M496))</f>
        <v>-0.536553218858377</v>
      </c>
      <c r="E497" s="420" t="n">
        <f aca="false">IF(AND(L496&lt;L_rampe,Poussee&lt;Poids*SIN(M496)),0,(-W496+Poussee)/m*SIN(M496)+U496/m*COS(M496)-Poids/m)</f>
        <v>-6.10562550682073</v>
      </c>
      <c r="F497" s="418" t="n">
        <f aca="false">SQRT(acc_x^2+acc_z^2)</f>
        <v>6.12915591139654</v>
      </c>
      <c r="G497" s="419" t="n">
        <f aca="false">G496+acc_x*pas</f>
        <v>10.2792958283484</v>
      </c>
      <c r="H497" s="420" t="n">
        <f aca="false">H496+acc_z*pas</f>
        <v>-70.969451481637</v>
      </c>
      <c r="I497" s="418" t="n">
        <f aca="false">SQRT(vit_x^2+vit_z^2)</f>
        <v>71.7100199855719</v>
      </c>
      <c r="J497" s="419" t="n">
        <f aca="false">J496+0.5*(vit_x+G496)*pas*(K496&gt;=0)</f>
        <v>211.791153319536</v>
      </c>
      <c r="K497" s="420" t="n">
        <f aca="false">K496+0.5*(vit_z+H496)*pas</f>
        <v>-5.48254086740477</v>
      </c>
      <c r="L497" s="418" t="n">
        <f aca="false">SQRT(pos_x^2+pos_z^2)</f>
        <v>211.862103451236</v>
      </c>
      <c r="M497" s="419" t="n">
        <f aca="false">IF(AND(L496&gt;L_rampe,G497&gt;0),ATAN2(G497,H497),$M$4)</f>
        <v>-1.4269555032681</v>
      </c>
      <c r="N497" s="418" t="n">
        <f aca="false">DEGREES(Beta)</f>
        <v>-81.7585278902286</v>
      </c>
      <c r="O497" s="402"/>
      <c r="P497" s="421" t="n">
        <f aca="false">MATCH(t-pas/2-T_ini,CdP_t)</f>
        <v>23</v>
      </c>
      <c r="Q497" s="418" t="n">
        <f aca="false">(INDEX(CdP,2,i_P+1)-INDEX(CdP,2,i_P+0))/(INDEX(CdP,1,i_P+1)-INDEX(CdP,1,i_P+0))*(t-pas/2-T_ini-INDEX(CdP,1,i_P+0))+INDEX(CdP,2,i_P+0)</f>
        <v>0</v>
      </c>
      <c r="R497" s="419" t="n">
        <f aca="false">Poussee/(g*ISP)</f>
        <v>0</v>
      </c>
      <c r="S497" s="420" t="n">
        <f aca="false">S496-Débit*pas</f>
        <v>1.4843</v>
      </c>
      <c r="T497" s="418" t="n">
        <f aca="false">m*g</f>
        <v>14.560983</v>
      </c>
      <c r="U497" s="422" t="n">
        <f aca="false">IF(pos_xz&lt;L_rampe,Poids*COS(Beta),0)</f>
        <v>0</v>
      </c>
      <c r="V497" s="419" t="n">
        <f aca="false">Rho_moyen*(20000-Alt_rampe-pos_z)/(20000+Alt_rampe+pos_z)</f>
        <v>1.22567179541355</v>
      </c>
      <c r="W497" s="418" t="n">
        <f aca="false">1/2*Rho*Sref*Cx*vit_xz^2</f>
        <v>5.55587703341989</v>
      </c>
      <c r="X497" s="402"/>
      <c r="Y497" s="423" t="str">
        <f aca="false">IF(AND(pos_z&lt;=0,K496&gt;0),"Impact balistique","") &amp; IF(AND(H498&lt;0,vit_z&gt;=0),"Apogée","") &amp; IF(AND(Poussee=0,Q496&gt;0),"Fin de propulsion","") &amp; IF(AND(L498&gt;L_rampe,pos_xz&lt;=L_rampe),"Sortie de rampe","")</f>
        <v/>
      </c>
      <c r="Z497" s="424" t="str">
        <f aca="false">IF(ABS(t-T_para)&lt;pas/2,"Para","")</f>
        <v/>
      </c>
      <c r="AA497" s="425" t="str">
        <f aca="false">IF(ABS(t-T_satellite)&lt;pas/2,"Satellite","")</f>
        <v/>
      </c>
      <c r="AB497" s="413"/>
      <c r="AC497" s="421" t="e">
        <f aca="false">IF(ABS(t-ROUND(t,0))&lt;0.001,t,NA())</f>
        <v>#N/A</v>
      </c>
      <c r="AD497" s="426" t="e">
        <f aca="false">IF(ABS(t-ROUND(t,0))&lt;0.001,pos_x,NA())</f>
        <v>#N/A</v>
      </c>
      <c r="AE497" s="427" t="e">
        <f aca="false">IF(t&lt;T_para, pos_z, NA())</f>
        <v>#N/A</v>
      </c>
      <c r="AF497" s="413"/>
      <c r="AG497" s="419" t="n">
        <f aca="false">IF(AND(L496&lt;L_rampe,Poussee&lt;Poids*SIN(M496)),0,(-W496+Poussee)/m-Poids*SIN(M496)/m)</f>
        <v>5.965655932655</v>
      </c>
      <c r="AH497" s="418" t="n">
        <f aca="false">IF(AND(L496&lt;L_rampe,Poussee&lt;Poids*SIN(M496)), g*SIN(M496), (-W496+Poussee)/m)</f>
        <v>-3.74303082306097</v>
      </c>
    </row>
    <row r="498" customFormat="false" ht="12" hidden="false" customHeight="false" outlineLevel="0" collapsed="false">
      <c r="A498" s="417" t="n">
        <f aca="false">IF(B497+0.01&lt;=T_ini+ROUNDUP(Temps_fin_propu,0), 0.01, IF(K497&gt;0, 0.1, 0.0001))</f>
        <v>0.0001</v>
      </c>
      <c r="B498" s="418" t="n">
        <f aca="false">B497+pas</f>
        <v>16.5148999999999</v>
      </c>
      <c r="C498" s="402"/>
      <c r="D498" s="419" t="n">
        <f aca="false">IF(AND(L497&lt;L_rampe,Poussee&lt;Poids*SIN(M497)),0,(-W497+Poussee)/m*COS(M497)-U497/m*SIN(M497))</f>
        <v>-0.536555262665056</v>
      </c>
      <c r="E498" s="420" t="n">
        <f aca="false">IF(AND(L497&lt;L_rampe,Poussee&lt;Poids*SIN(M497)),0,(-W497+Poussee)/m*SIN(M497)+U497/m*COS(M497)-Poids/m)</f>
        <v>-6.10556019042573</v>
      </c>
      <c r="F498" s="418" t="n">
        <f aca="false">SQRT(acc_x^2+acc_z^2)</f>
        <v>6.12909102467935</v>
      </c>
      <c r="G498" s="419" t="n">
        <f aca="false">G497+acc_x*pas</f>
        <v>10.2792421728222</v>
      </c>
      <c r="H498" s="420" t="n">
        <f aca="false">H497+acc_z*pas</f>
        <v>-70.970062037656</v>
      </c>
      <c r="I498" s="418" t="n">
        <f aca="false">SQRT(vit_x^2+vit_z^2)</f>
        <v>71.7106165450853</v>
      </c>
      <c r="J498" s="419" t="n">
        <f aca="false">J497+0.5*(vit_x+G497)*pas*(K497&gt;=0)</f>
        <v>211.791153319536</v>
      </c>
      <c r="K498" s="420" t="n">
        <f aca="false">K497+0.5*(vit_z+H497)*pas</f>
        <v>-5.48963784308073</v>
      </c>
      <c r="L498" s="418" t="n">
        <f aca="false">SQRT(pos_x^2+pos_z^2)</f>
        <v>211.862287224667</v>
      </c>
      <c r="M498" s="419" t="n">
        <f aca="false">IF(AND(L497&gt;L_rampe,G498&gt;0),ATAN2(G498,H498),$M$4)</f>
        <v>-1.42695746422963</v>
      </c>
      <c r="N498" s="418" t="n">
        <f aca="false">DEGREES(Beta)</f>
        <v>-81.7586402450477</v>
      </c>
      <c r="O498" s="402"/>
      <c r="P498" s="421" t="n">
        <f aca="false">MATCH(t-pas/2-T_ini,CdP_t)</f>
        <v>23</v>
      </c>
      <c r="Q498" s="418" t="n">
        <f aca="false">(INDEX(CdP,2,i_P+1)-INDEX(CdP,2,i_P+0))/(INDEX(CdP,1,i_P+1)-INDEX(CdP,1,i_P+0))*(t-pas/2-T_ini-INDEX(CdP,1,i_P+0))+INDEX(CdP,2,i_P+0)</f>
        <v>0</v>
      </c>
      <c r="R498" s="419" t="n">
        <f aca="false">Poussee/(g*ISP)</f>
        <v>0</v>
      </c>
      <c r="S498" s="420" t="n">
        <f aca="false">S497-Débit*pas</f>
        <v>1.4843</v>
      </c>
      <c r="T498" s="418" t="n">
        <f aca="false">m*g</f>
        <v>14.560983</v>
      </c>
      <c r="U498" s="422" t="n">
        <f aca="false">IF(pos_xz&lt;L_rampe,Poids*COS(Beta),0)</f>
        <v>0</v>
      </c>
      <c r="V498" s="419" t="n">
        <f aca="false">Rho_moyen*(20000-Alt_rampe-pos_z)/(20000+Alt_rampe+pos_z)</f>
        <v>1.22567266527021</v>
      </c>
      <c r="W498" s="418" t="n">
        <f aca="false">1/2*Rho*Sref*Cx*vit_xz^2</f>
        <v>5.55597341614388</v>
      </c>
      <c r="X498" s="402"/>
      <c r="Y498" s="423" t="str">
        <f aca="false">IF(AND(pos_z&lt;=0,K497&gt;0),"Impact balistique","") &amp; IF(AND(H499&lt;0,vit_z&gt;=0),"Apogée","") &amp; IF(AND(Poussee=0,Q497&gt;0),"Fin de propulsion","") &amp; IF(AND(L499&gt;L_rampe,pos_xz&lt;=L_rampe),"Sortie de rampe","")</f>
        <v/>
      </c>
      <c r="Z498" s="424" t="str">
        <f aca="false">IF(ABS(t-T_para)&lt;pas/2,"Para","")</f>
        <v/>
      </c>
      <c r="AA498" s="425" t="str">
        <f aca="false">IF(ABS(t-T_satellite)&lt;pas/2,"Satellite","")</f>
        <v/>
      </c>
      <c r="AB498" s="413"/>
      <c r="AC498" s="421" t="e">
        <f aca="false">IF(ABS(t-ROUND(t,0))&lt;0.001,t,NA())</f>
        <v>#N/A</v>
      </c>
      <c r="AD498" s="426" t="e">
        <f aca="false">IF(ABS(t-ROUND(t,0))&lt;0.001,pos_x,NA())</f>
        <v>#N/A</v>
      </c>
      <c r="AE498" s="427" t="e">
        <f aca="false">IF(t&lt;T_para, pos_z, NA())</f>
        <v>#N/A</v>
      </c>
      <c r="AF498" s="413"/>
      <c r="AG498" s="419" t="n">
        <f aca="false">IF(AND(L497&lt;L_rampe,Poussee&lt;Poids*SIN(M497)),0,(-W497+Poussee)/m-Poids*SIN(M497)/m)</f>
        <v>5.96559375545445</v>
      </c>
      <c r="AH498" s="418" t="n">
        <f aca="false">IF(AND(L497&lt;L_rampe,Poussee&lt;Poids*SIN(M497)), g*SIN(M497), (-W497+Poussee)/m)</f>
        <v>-3.74309575787907</v>
      </c>
    </row>
    <row r="499" customFormat="false" ht="12" hidden="false" customHeight="false" outlineLevel="0" collapsed="false">
      <c r="A499" s="417" t="n">
        <f aca="false">IF(B498+0.01&lt;=T_ini+ROUNDUP(Temps_fin_propu,0), 0.01, IF(K498&gt;0, 0.1, 0.0001))</f>
        <v>0.0001</v>
      </c>
      <c r="B499" s="418" t="n">
        <f aca="false">B498+pas</f>
        <v>16.5149999999999</v>
      </c>
      <c r="C499" s="402"/>
      <c r="D499" s="419" t="n">
        <f aca="false">IF(AND(L498&lt;L_rampe,Poussee&lt;Poids*SIN(M498)),0,(-W498+Poussee)/m*COS(M498)-U498/m*SIN(M498))</f>
        <v>-0.536557306373853</v>
      </c>
      <c r="E499" s="420" t="n">
        <f aca="false">IF(AND(L498&lt;L_rampe,Poussee&lt;Poids*SIN(M498)),0,(-W498+Poussee)/m*SIN(M498)+U498/m*COS(M498)-Poids/m)</f>
        <v>-6.10549487404914</v>
      </c>
      <c r="F499" s="418" t="n">
        <f aca="false">SQRT(acc_x^2+acc_z^2)</f>
        <v>6.12902613798175</v>
      </c>
      <c r="G499" s="419" t="n">
        <f aca="false">G498+acc_x*pas</f>
        <v>10.2791885170915</v>
      </c>
      <c r="H499" s="420" t="n">
        <f aca="false">H498+acc_z*pas</f>
        <v>-70.9706725871434</v>
      </c>
      <c r="I499" s="418" t="n">
        <f aca="false">SQRT(vit_x^2+vit_z^2)</f>
        <v>71.711213098381</v>
      </c>
      <c r="J499" s="419" t="n">
        <f aca="false">J498+0.5*(vit_x+G498)*pas*(K498&gt;=0)</f>
        <v>211.791153319536</v>
      </c>
      <c r="K499" s="420" t="n">
        <f aca="false">K498+0.5*(vit_z+H498)*pas</f>
        <v>-5.49673487981197</v>
      </c>
      <c r="L499" s="418" t="n">
        <f aca="false">SQRT(pos_x^2+pos_z^2)</f>
        <v>211.862471237259</v>
      </c>
      <c r="M499" s="419" t="n">
        <f aca="false">IF(AND(L498&gt;L_rampe,G499&gt;0),ATAN2(G499,H499),$M$4)</f>
        <v>-1.42695942514829</v>
      </c>
      <c r="N499" s="418" t="n">
        <f aca="false">DEGREES(Beta)</f>
        <v>-81.758752597411</v>
      </c>
      <c r="O499" s="402"/>
      <c r="P499" s="421" t="n">
        <f aca="false">MATCH(t-pas/2-T_ini,CdP_t)</f>
        <v>23</v>
      </c>
      <c r="Q499" s="418" t="n">
        <f aca="false">(INDEX(CdP,2,i_P+1)-INDEX(CdP,2,i_P+0))/(INDEX(CdP,1,i_P+1)-INDEX(CdP,1,i_P+0))*(t-pas/2-T_ini-INDEX(CdP,1,i_P+0))+INDEX(CdP,2,i_P+0)</f>
        <v>0</v>
      </c>
      <c r="R499" s="419" t="n">
        <f aca="false">Poussee/(g*ISP)</f>
        <v>0</v>
      </c>
      <c r="S499" s="420" t="n">
        <f aca="false">S498-Débit*pas</f>
        <v>1.4843</v>
      </c>
      <c r="T499" s="418" t="n">
        <f aca="false">m*g</f>
        <v>14.560983</v>
      </c>
      <c r="U499" s="422" t="n">
        <f aca="false">IF(pos_xz&lt;L_rampe,Poids*COS(Beta),0)</f>
        <v>0</v>
      </c>
      <c r="V499" s="419" t="n">
        <f aca="false">Rho_moyen*(20000-Alt_rampe-pos_z)/(20000+Alt_rampe+pos_z)</f>
        <v>1.22567353513498</v>
      </c>
      <c r="W499" s="418" t="n">
        <f aca="false">1/2*Rho*Sref*Cx*vit_xz^2</f>
        <v>5.55606979884132</v>
      </c>
      <c r="X499" s="402"/>
      <c r="Y499" s="423" t="str">
        <f aca="false">IF(AND(pos_z&lt;=0,K498&gt;0),"Impact balistique","") &amp; IF(AND(H500&lt;0,vit_z&gt;=0),"Apogée","") &amp; IF(AND(Poussee=0,Q498&gt;0),"Fin de propulsion","") &amp; IF(AND(L500&gt;L_rampe,pos_xz&lt;=L_rampe),"Sortie de rampe","")</f>
        <v/>
      </c>
      <c r="Z499" s="424" t="str">
        <f aca="false">IF(ABS(t-T_para)&lt;pas/2,"Para","")</f>
        <v/>
      </c>
      <c r="AA499" s="425" t="str">
        <f aca="false">IF(ABS(t-T_satellite)&lt;pas/2,"Satellite","")</f>
        <v/>
      </c>
      <c r="AB499" s="413"/>
      <c r="AC499" s="421" t="e">
        <f aca="false">IF(ABS(t-ROUND(t,0))&lt;0.001,t,NA())</f>
        <v>#N/A</v>
      </c>
      <c r="AD499" s="426" t="e">
        <f aca="false">IF(ABS(t-ROUND(t,0))&lt;0.001,pos_x,NA())</f>
        <v>#N/A</v>
      </c>
      <c r="AE499" s="427" t="e">
        <f aca="false">IF(t&lt;T_para, pos_z, NA())</f>
        <v>#N/A</v>
      </c>
      <c r="AF499" s="413"/>
      <c r="AG499" s="419" t="n">
        <f aca="false">IF(AND(L498&lt;L_rampe,Poussee&lt;Poids*SIN(M498)),0,(-W498+Poussee)/m-Poids*SIN(M498)/m)</f>
        <v>5.96553157817415</v>
      </c>
      <c r="AH499" s="418" t="n">
        <f aca="false">IF(AND(L498&lt;L_rampe,Poussee&lt;Poids*SIN(M498)), g*SIN(M498), (-W498+Poussee)/m)</f>
        <v>-3.7431606926793</v>
      </c>
    </row>
    <row r="500" customFormat="false" ht="12" hidden="false" customHeight="false" outlineLevel="0" collapsed="false">
      <c r="A500" s="417" t="n">
        <f aca="false">IF(B499+0.01&lt;=T_ini+ROUNDUP(Temps_fin_propu,0), 0.01, IF(K499&gt;0, 0.1, 0.0001))</f>
        <v>0.0001</v>
      </c>
      <c r="B500" s="418" t="n">
        <f aca="false">B499+pas</f>
        <v>16.5150999999999</v>
      </c>
      <c r="C500" s="402"/>
      <c r="D500" s="419" t="n">
        <f aca="false">IF(AND(L499&lt;L_rampe,Poussee&lt;Poids*SIN(M499)),0,(-W499+Poussee)/m*COS(M499)-U499/m*SIN(M499))</f>
        <v>-0.536559349984768</v>
      </c>
      <c r="E500" s="420" t="n">
        <f aca="false">IF(AND(L499&lt;L_rampe,Poussee&lt;Poids*SIN(M499)),0,(-W499+Poussee)/m*SIN(M499)+U499/m*COS(M499)-Poids/m)</f>
        <v>-6.10542955769099</v>
      </c>
      <c r="F500" s="418" t="n">
        <f aca="false">SQRT(acc_x^2+acc_z^2)</f>
        <v>6.12896125130375</v>
      </c>
      <c r="G500" s="419" t="n">
        <f aca="false">G499+acc_x*pas</f>
        <v>10.2791348611565</v>
      </c>
      <c r="H500" s="420" t="n">
        <f aca="false">H499+acc_z*pas</f>
        <v>-70.9712831300992</v>
      </c>
      <c r="I500" s="418" t="n">
        <f aca="false">SQRT(vit_x^2+vit_z^2)</f>
        <v>71.711809645459</v>
      </c>
      <c r="J500" s="419" t="n">
        <f aca="false">J499+0.5*(vit_x+G499)*pas*(K499&gt;=0)</f>
        <v>211.791153319536</v>
      </c>
      <c r="K500" s="420" t="n">
        <f aca="false">K499+0.5*(vit_z+H499)*pas</f>
        <v>-5.50383197759783</v>
      </c>
      <c r="L500" s="418" t="n">
        <f aca="false">SQRT(pos_x^2+pos_z^2)</f>
        <v>211.862655489015</v>
      </c>
      <c r="M500" s="419" t="n">
        <f aca="false">IF(AND(L499&gt;L_rampe,G500&gt;0),ATAN2(G500,H500),$M$4)</f>
        <v>-1.42696138602409</v>
      </c>
      <c r="N500" s="418" t="n">
        <f aca="false">DEGREES(Beta)</f>
        <v>-81.7588649473185</v>
      </c>
      <c r="O500" s="402"/>
      <c r="P500" s="421" t="n">
        <f aca="false">MATCH(t-pas/2-T_ini,CdP_t)</f>
        <v>23</v>
      </c>
      <c r="Q500" s="418" t="n">
        <f aca="false">(INDEX(CdP,2,i_P+1)-INDEX(CdP,2,i_P+0))/(INDEX(CdP,1,i_P+1)-INDEX(CdP,1,i_P+0))*(t-pas/2-T_ini-INDEX(CdP,1,i_P+0))+INDEX(CdP,2,i_P+0)</f>
        <v>0</v>
      </c>
      <c r="R500" s="419" t="n">
        <f aca="false">Poussee/(g*ISP)</f>
        <v>0</v>
      </c>
      <c r="S500" s="420" t="n">
        <f aca="false">S499-Débit*pas</f>
        <v>1.4843</v>
      </c>
      <c r="T500" s="418" t="n">
        <f aca="false">m*g</f>
        <v>14.560983</v>
      </c>
      <c r="U500" s="422" t="n">
        <f aca="false">IF(pos_xz&lt;L_rampe,Poids*COS(Beta),0)</f>
        <v>0</v>
      </c>
      <c r="V500" s="419" t="n">
        <f aca="false">Rho_moyen*(20000-Alt_rampe-pos_z)/(20000+Alt_rampe+pos_z)</f>
        <v>1.22567440500785</v>
      </c>
      <c r="W500" s="418" t="n">
        <f aca="false">1/2*Rho*Sref*Cx*vit_xz^2</f>
        <v>5.5561661815122</v>
      </c>
      <c r="X500" s="402"/>
      <c r="Y500" s="423" t="str">
        <f aca="false">IF(AND(pos_z&lt;=0,K499&gt;0),"Impact balistique","") &amp; IF(AND(H501&lt;0,vit_z&gt;=0),"Apogée","") &amp; IF(AND(Poussee=0,Q499&gt;0),"Fin de propulsion","") &amp; IF(AND(L501&gt;L_rampe,pos_xz&lt;=L_rampe),"Sortie de rampe","")</f>
        <v/>
      </c>
      <c r="Z500" s="424" t="str">
        <f aca="false">IF(ABS(t-T_para)&lt;pas/2,"Para","")</f>
        <v/>
      </c>
      <c r="AA500" s="425" t="str">
        <f aca="false">IF(ABS(t-T_satellite)&lt;pas/2,"Satellite","")</f>
        <v/>
      </c>
      <c r="AB500" s="413"/>
      <c r="AC500" s="421" t="e">
        <f aca="false">IF(ABS(t-ROUND(t,0))&lt;0.001,t,NA())</f>
        <v>#N/A</v>
      </c>
      <c r="AD500" s="426" t="e">
        <f aca="false">IF(ABS(t-ROUND(t,0))&lt;0.001,pos_x,NA())</f>
        <v>#N/A</v>
      </c>
      <c r="AE500" s="427" t="e">
        <f aca="false">IF(t&lt;T_para, pos_z, NA())</f>
        <v>#N/A</v>
      </c>
      <c r="AF500" s="413"/>
      <c r="AG500" s="419" t="n">
        <f aca="false">IF(AND(L499&lt;L_rampe,Poussee&lt;Poids*SIN(M499)),0,(-W499+Poussee)/m-Poids*SIN(M499)/m)</f>
        <v>5.96546940081413</v>
      </c>
      <c r="AH500" s="418" t="n">
        <f aca="false">IF(AND(L499&lt;L_rampe,Poussee&lt;Poids*SIN(M499)), g*SIN(M499), (-W499+Poussee)/m)</f>
        <v>-3.74322562746165</v>
      </c>
    </row>
    <row r="501" customFormat="false" ht="12" hidden="false" customHeight="false" outlineLevel="0" collapsed="false">
      <c r="A501" s="417" t="n">
        <f aca="false">IF(B500+0.01&lt;=T_ini+ROUNDUP(Temps_fin_propu,0), 0.01, IF(K500&gt;0, 0.1, 0.0001))</f>
        <v>0.0001</v>
      </c>
      <c r="B501" s="418" t="n">
        <f aca="false">B500+pas</f>
        <v>16.5151999999999</v>
      </c>
      <c r="C501" s="402"/>
      <c r="D501" s="419" t="n">
        <f aca="false">IF(AND(L500&lt;L_rampe,Poussee&lt;Poids*SIN(M500)),0,(-W500+Poussee)/m*COS(M500)-U500/m*SIN(M500))</f>
        <v>-0.536561393497801</v>
      </c>
      <c r="E501" s="420" t="n">
        <f aca="false">IF(AND(L500&lt;L_rampe,Poussee&lt;Poids*SIN(M500)),0,(-W500+Poussee)/m*SIN(M500)+U500/m*COS(M500)-Poids/m)</f>
        <v>-6.10536424135129</v>
      </c>
      <c r="F501" s="418" t="n">
        <f aca="false">SQRT(acc_x^2+acc_z^2)</f>
        <v>6.12889636464538</v>
      </c>
      <c r="G501" s="419" t="n">
        <f aca="false">G500+acc_x*pas</f>
        <v>10.2790812050172</v>
      </c>
      <c r="H501" s="420" t="n">
        <f aca="false">H500+acc_z*pas</f>
        <v>-70.9718936665233</v>
      </c>
      <c r="I501" s="418" t="n">
        <f aca="false">SQRT(vit_x^2+vit_z^2)</f>
        <v>71.7124061863192</v>
      </c>
      <c r="J501" s="419" t="n">
        <f aca="false">J500+0.5*(vit_x+G500)*pas*(K500&gt;=0)</f>
        <v>211.791153319536</v>
      </c>
      <c r="K501" s="420" t="n">
        <f aca="false">K500+0.5*(vit_z+H500)*pas</f>
        <v>-5.51092913643766</v>
      </c>
      <c r="L501" s="418" t="n">
        <f aca="false">SQRT(pos_x^2+pos_z^2)</f>
        <v>211.862839979941</v>
      </c>
      <c r="M501" s="419" t="n">
        <f aca="false">IF(AND(L500&gt;L_rampe,G501&gt;0),ATAN2(G501,H501),$M$4)</f>
        <v>-1.42696334685703</v>
      </c>
      <c r="N501" s="418" t="n">
        <f aca="false">DEGREES(Beta)</f>
        <v>-81.7589772947705</v>
      </c>
      <c r="O501" s="402"/>
      <c r="P501" s="421" t="n">
        <f aca="false">MATCH(t-pas/2-T_ini,CdP_t)</f>
        <v>23</v>
      </c>
      <c r="Q501" s="418" t="n">
        <f aca="false">(INDEX(CdP,2,i_P+1)-INDEX(CdP,2,i_P+0))/(INDEX(CdP,1,i_P+1)-INDEX(CdP,1,i_P+0))*(t-pas/2-T_ini-INDEX(CdP,1,i_P+0))+INDEX(CdP,2,i_P+0)</f>
        <v>0</v>
      </c>
      <c r="R501" s="419" t="n">
        <f aca="false">Poussee/(g*ISP)</f>
        <v>0</v>
      </c>
      <c r="S501" s="420" t="n">
        <f aca="false">S500-Débit*pas</f>
        <v>1.4843</v>
      </c>
      <c r="T501" s="418" t="n">
        <f aca="false">m*g</f>
        <v>14.560983</v>
      </c>
      <c r="U501" s="422" t="n">
        <f aca="false">IF(pos_xz&lt;L_rampe,Poids*COS(Beta),0)</f>
        <v>0</v>
      </c>
      <c r="V501" s="419" t="n">
        <f aca="false">Rho_moyen*(20000-Alt_rampe-pos_z)/(20000+Alt_rampe+pos_z)</f>
        <v>1.22567527488882</v>
      </c>
      <c r="W501" s="418" t="n">
        <f aca="false">1/2*Rho*Sref*Cx*vit_xz^2</f>
        <v>5.55626256415649</v>
      </c>
      <c r="X501" s="402"/>
      <c r="Y501" s="423" t="str">
        <f aca="false">IF(AND(pos_z&lt;=0,K500&gt;0),"Impact balistique","") &amp; IF(AND(H502&lt;0,vit_z&gt;=0),"Apogée","") &amp; IF(AND(Poussee=0,Q500&gt;0),"Fin de propulsion","") &amp; IF(AND(L502&gt;L_rampe,pos_xz&lt;=L_rampe),"Sortie de rampe","")</f>
        <v/>
      </c>
      <c r="Z501" s="424" t="str">
        <f aca="false">IF(ABS(t-T_para)&lt;pas/2,"Para","")</f>
        <v/>
      </c>
      <c r="AA501" s="425" t="str">
        <f aca="false">IF(ABS(t-T_satellite)&lt;pas/2,"Satellite","")</f>
        <v/>
      </c>
      <c r="AB501" s="413"/>
      <c r="AC501" s="421" t="e">
        <f aca="false">IF(ABS(t-ROUND(t,0))&lt;0.001,t,NA())</f>
        <v>#N/A</v>
      </c>
      <c r="AD501" s="426" t="e">
        <f aca="false">IF(ABS(t-ROUND(t,0))&lt;0.001,pos_x,NA())</f>
        <v>#N/A</v>
      </c>
      <c r="AE501" s="427" t="e">
        <f aca="false">IF(t&lt;T_para, pos_z, NA())</f>
        <v>#N/A</v>
      </c>
      <c r="AF501" s="413"/>
      <c r="AG501" s="419" t="n">
        <f aca="false">IF(AND(L500&lt;L_rampe,Poussee&lt;Poids*SIN(M500)),0,(-W500+Poussee)/m-Poids*SIN(M500)/m)</f>
        <v>5.96540722337441</v>
      </c>
      <c r="AH501" s="418" t="n">
        <f aca="false">IF(AND(L500&lt;L_rampe,Poussee&lt;Poids*SIN(M500)), g*SIN(M500), (-W500+Poussee)/m)</f>
        <v>-3.7432905622261</v>
      </c>
    </row>
    <row r="502" customFormat="false" ht="12" hidden="false" customHeight="false" outlineLevel="0" collapsed="false">
      <c r="A502" s="417" t="n">
        <f aca="false">IF(B501+0.01&lt;=T_ini+ROUNDUP(Temps_fin_propu,0), 0.01, IF(K501&gt;0, 0.1, 0.0001))</f>
        <v>0.0001</v>
      </c>
      <c r="B502" s="418" t="n">
        <f aca="false">B501+pas</f>
        <v>16.5152999999999</v>
      </c>
      <c r="C502" s="402"/>
      <c r="D502" s="419" t="n">
        <f aca="false">IF(AND(L501&lt;L_rampe,Poussee&lt;Poids*SIN(M501)),0,(-W501+Poussee)/m*COS(M501)-U501/m*SIN(M501))</f>
        <v>-0.536563436912955</v>
      </c>
      <c r="E502" s="420" t="n">
        <f aca="false">IF(AND(L501&lt;L_rampe,Poussee&lt;Poids*SIN(M501)),0,(-W501+Poussee)/m*SIN(M501)+U501/m*COS(M501)-Poids/m)</f>
        <v>-6.10529892503006</v>
      </c>
      <c r="F502" s="418" t="n">
        <f aca="false">SQRT(acc_x^2+acc_z^2)</f>
        <v>6.12883147800663</v>
      </c>
      <c r="G502" s="419" t="n">
        <f aca="false">G501+acc_x*pas</f>
        <v>10.2790275486735</v>
      </c>
      <c r="H502" s="420" t="n">
        <f aca="false">H501+acc_z*pas</f>
        <v>-70.9725041964158</v>
      </c>
      <c r="I502" s="418" t="n">
        <f aca="false">SQRT(vit_x^2+vit_z^2)</f>
        <v>71.7130027209616</v>
      </c>
      <c r="J502" s="419" t="n">
        <f aca="false">J501+0.5*(vit_x+G501)*pas*(K501&gt;=0)</f>
        <v>211.791153319536</v>
      </c>
      <c r="K502" s="420" t="n">
        <f aca="false">K501+0.5*(vit_z+H501)*pas</f>
        <v>-5.51802635633081</v>
      </c>
      <c r="L502" s="418" t="n">
        <f aca="false">SQRT(pos_x^2+pos_z^2)</f>
        <v>211.863024710043</v>
      </c>
      <c r="M502" s="419" t="n">
        <f aca="false">IF(AND(L501&gt;L_rampe,G502&gt;0),ATAN2(G502,H502),$M$4)</f>
        <v>-1.42696530764712</v>
      </c>
      <c r="N502" s="418" t="n">
        <f aca="false">DEGREES(Beta)</f>
        <v>-81.7590896397668</v>
      </c>
      <c r="O502" s="402"/>
      <c r="P502" s="421" t="n">
        <f aca="false">MATCH(t-pas/2-T_ini,CdP_t)</f>
        <v>23</v>
      </c>
      <c r="Q502" s="418" t="n">
        <f aca="false">(INDEX(CdP,2,i_P+1)-INDEX(CdP,2,i_P+0))/(INDEX(CdP,1,i_P+1)-INDEX(CdP,1,i_P+0))*(t-pas/2-T_ini-INDEX(CdP,1,i_P+0))+INDEX(CdP,2,i_P+0)</f>
        <v>0</v>
      </c>
      <c r="R502" s="419" t="n">
        <f aca="false">Poussee/(g*ISP)</f>
        <v>0</v>
      </c>
      <c r="S502" s="420" t="n">
        <f aca="false">S501-Débit*pas</f>
        <v>1.4843</v>
      </c>
      <c r="T502" s="418" t="n">
        <f aca="false">m*g</f>
        <v>14.560983</v>
      </c>
      <c r="U502" s="422" t="n">
        <f aca="false">IF(pos_xz&lt;L_rampe,Poids*COS(Beta),0)</f>
        <v>0</v>
      </c>
      <c r="V502" s="419" t="n">
        <f aca="false">Rho_moyen*(20000-Alt_rampe-pos_z)/(20000+Alt_rampe+pos_z)</f>
        <v>1.22567614477789</v>
      </c>
      <c r="W502" s="418" t="n">
        <f aca="false">1/2*Rho*Sref*Cx*vit_xz^2</f>
        <v>5.55635894677416</v>
      </c>
      <c r="X502" s="402"/>
      <c r="Y502" s="423" t="str">
        <f aca="false">IF(AND(pos_z&lt;=0,K501&gt;0),"Impact balistique","") &amp; IF(AND(H503&lt;0,vit_z&gt;=0),"Apogée","") &amp; IF(AND(Poussee=0,Q501&gt;0),"Fin de propulsion","") &amp; IF(AND(L503&gt;L_rampe,pos_xz&lt;=L_rampe),"Sortie de rampe","")</f>
        <v/>
      </c>
      <c r="Z502" s="424" t="str">
        <f aca="false">IF(ABS(t-T_para)&lt;pas/2,"Para","")</f>
        <v/>
      </c>
      <c r="AA502" s="425" t="str">
        <f aca="false">IF(ABS(t-T_satellite)&lt;pas/2,"Satellite","")</f>
        <v/>
      </c>
      <c r="AB502" s="413"/>
      <c r="AC502" s="421" t="e">
        <f aca="false">IF(ABS(t-ROUND(t,0))&lt;0.001,t,NA())</f>
        <v>#N/A</v>
      </c>
      <c r="AD502" s="426" t="e">
        <f aca="false">IF(ABS(t-ROUND(t,0))&lt;0.001,pos_x,NA())</f>
        <v>#N/A</v>
      </c>
      <c r="AE502" s="427" t="e">
        <f aca="false">IF(t&lt;T_para, pos_z, NA())</f>
        <v>#N/A</v>
      </c>
      <c r="AF502" s="413"/>
      <c r="AG502" s="419" t="n">
        <f aca="false">IF(AND(L501&lt;L_rampe,Poussee&lt;Poids*SIN(M501)),0,(-W501+Poussee)/m-Poids*SIN(M501)/m)</f>
        <v>5.965345045855</v>
      </c>
      <c r="AH502" s="418" t="n">
        <f aca="false">IF(AND(L501&lt;L_rampe,Poussee&lt;Poids*SIN(M501)), g*SIN(M501), (-W501+Poussee)/m)</f>
        <v>-3.74335549697264</v>
      </c>
    </row>
    <row r="503" customFormat="false" ht="12" hidden="false" customHeight="false" outlineLevel="0" collapsed="false">
      <c r="A503" s="417" t="n">
        <f aca="false">IF(B502+0.01&lt;=T_ini+ROUNDUP(Temps_fin_propu,0), 0.01, IF(K502&gt;0, 0.1, 0.0001))</f>
        <v>0.0001</v>
      </c>
      <c r="B503" s="418" t="n">
        <f aca="false">B502+pas</f>
        <v>16.5153999999999</v>
      </c>
      <c r="C503" s="402"/>
      <c r="D503" s="419" t="n">
        <f aca="false">IF(AND(L502&lt;L_rampe,Poussee&lt;Poids*SIN(M502)),0,(-W502+Poussee)/m*COS(M502)-U502/m*SIN(M502))</f>
        <v>-0.536565480230227</v>
      </c>
      <c r="E503" s="420" t="n">
        <f aca="false">IF(AND(L502&lt;L_rampe,Poussee&lt;Poids*SIN(M502)),0,(-W502+Poussee)/m*SIN(M502)+U502/m*COS(M502)-Poids/m)</f>
        <v>-6.10523360872731</v>
      </c>
      <c r="F503" s="418" t="n">
        <f aca="false">SQRT(acc_x^2+acc_z^2)</f>
        <v>6.12876659138755</v>
      </c>
      <c r="G503" s="419" t="n">
        <f aca="false">G502+acc_x*pas</f>
        <v>10.2789738921255</v>
      </c>
      <c r="H503" s="420" t="n">
        <f aca="false">H502+acc_z*pas</f>
        <v>-70.9731147197767</v>
      </c>
      <c r="I503" s="418" t="n">
        <f aca="false">SQRT(vit_x^2+vit_z^2)</f>
        <v>71.7135992493863</v>
      </c>
      <c r="J503" s="419" t="n">
        <f aca="false">J502+0.5*(vit_x+G502)*pas*(K502&gt;=0)</f>
        <v>211.791153319536</v>
      </c>
      <c r="K503" s="420" t="n">
        <f aca="false">K502+0.5*(vit_z+H502)*pas</f>
        <v>-5.52512363727662</v>
      </c>
      <c r="L503" s="418" t="n">
        <f aca="false">SQRT(pos_x^2+pos_z^2)</f>
        <v>211.863209679327</v>
      </c>
      <c r="M503" s="419" t="n">
        <f aca="false">IF(AND(L502&gt;L_rampe,G503&gt;0),ATAN2(G503,H503),$M$4)</f>
        <v>-1.42696726839435</v>
      </c>
      <c r="N503" s="418" t="n">
        <f aca="false">DEGREES(Beta)</f>
        <v>-81.7592019823078</v>
      </c>
      <c r="O503" s="402"/>
      <c r="P503" s="421" t="n">
        <f aca="false">MATCH(t-pas/2-T_ini,CdP_t)</f>
        <v>23</v>
      </c>
      <c r="Q503" s="418" t="n">
        <f aca="false">(INDEX(CdP,2,i_P+1)-INDEX(CdP,2,i_P+0))/(INDEX(CdP,1,i_P+1)-INDEX(CdP,1,i_P+0))*(t-pas/2-T_ini-INDEX(CdP,1,i_P+0))+INDEX(CdP,2,i_P+0)</f>
        <v>0</v>
      </c>
      <c r="R503" s="419" t="n">
        <f aca="false">Poussee/(g*ISP)</f>
        <v>0</v>
      </c>
      <c r="S503" s="420" t="n">
        <f aca="false">S502-Débit*pas</f>
        <v>1.4843</v>
      </c>
      <c r="T503" s="418" t="n">
        <f aca="false">m*g</f>
        <v>14.560983</v>
      </c>
      <c r="U503" s="422" t="n">
        <f aca="false">IF(pos_xz&lt;L_rampe,Poids*COS(Beta),0)</f>
        <v>0</v>
      </c>
      <c r="V503" s="419" t="n">
        <f aca="false">Rho_moyen*(20000-Alt_rampe-pos_z)/(20000+Alt_rampe+pos_z)</f>
        <v>1.22567701467506</v>
      </c>
      <c r="W503" s="418" t="n">
        <f aca="false">1/2*Rho*Sref*Cx*vit_xz^2</f>
        <v>5.5564553293652</v>
      </c>
      <c r="X503" s="402"/>
      <c r="Y503" s="423" t="str">
        <f aca="false">IF(AND(pos_z&lt;=0,K502&gt;0),"Impact balistique","") &amp; IF(AND(H504&lt;0,vit_z&gt;=0),"Apogée","") &amp; IF(AND(Poussee=0,Q502&gt;0),"Fin de propulsion","") &amp; IF(AND(L504&gt;L_rampe,pos_xz&lt;=L_rampe),"Sortie de rampe","")</f>
        <v/>
      </c>
      <c r="Z503" s="424" t="str">
        <f aca="false">IF(ABS(t-T_para)&lt;pas/2,"Para","")</f>
        <v/>
      </c>
      <c r="AA503" s="425" t="str">
        <f aca="false">IF(ABS(t-T_satellite)&lt;pas/2,"Satellite","")</f>
        <v/>
      </c>
      <c r="AB503" s="413"/>
      <c r="AC503" s="421" t="e">
        <f aca="false">IF(ABS(t-ROUND(t,0))&lt;0.001,t,NA())</f>
        <v>#N/A</v>
      </c>
      <c r="AD503" s="426" t="e">
        <f aca="false">IF(ABS(t-ROUND(t,0))&lt;0.001,pos_x,NA())</f>
        <v>#N/A</v>
      </c>
      <c r="AE503" s="427" t="e">
        <f aca="false">IF(t&lt;T_para, pos_z, NA())</f>
        <v>#N/A</v>
      </c>
      <c r="AF503" s="413"/>
      <c r="AG503" s="419" t="n">
        <f aca="false">IF(AND(L502&lt;L_rampe,Poussee&lt;Poids*SIN(M502)),0,(-W502+Poussee)/m-Poids*SIN(M502)/m)</f>
        <v>5.96528286825594</v>
      </c>
      <c r="AH503" s="418" t="n">
        <f aca="false">IF(AND(L502&lt;L_rampe,Poussee&lt;Poids*SIN(M502)), g*SIN(M502), (-W502+Poussee)/m)</f>
        <v>-3.74342043170125</v>
      </c>
    </row>
    <row r="504" customFormat="false" ht="12" hidden="false" customHeight="false" outlineLevel="0" collapsed="false">
      <c r="A504" s="417" t="n">
        <f aca="false">IF(B503+0.01&lt;=T_ini+ROUNDUP(Temps_fin_propu,0), 0.01, IF(K503&gt;0, 0.1, 0.0001))</f>
        <v>0.0001</v>
      </c>
      <c r="B504" s="418" t="n">
        <f aca="false">B503+pas</f>
        <v>16.5154999999999</v>
      </c>
      <c r="C504" s="402"/>
      <c r="D504" s="419" t="n">
        <f aca="false">IF(AND(L503&lt;L_rampe,Poussee&lt;Poids*SIN(M503)),0,(-W503+Poussee)/m*COS(M503)-U503/m*SIN(M503))</f>
        <v>-0.536567523449621</v>
      </c>
      <c r="E504" s="420" t="n">
        <f aca="false">IF(AND(L503&lt;L_rampe,Poussee&lt;Poids*SIN(M503)),0,(-W503+Poussee)/m*SIN(M503)+U503/m*COS(M503)-Poids/m)</f>
        <v>-6.10516829244306</v>
      </c>
      <c r="F504" s="418" t="n">
        <f aca="false">SQRT(acc_x^2+acc_z^2)</f>
        <v>6.12870170478813</v>
      </c>
      <c r="G504" s="419" t="n">
        <f aca="false">G503+acc_x*pas</f>
        <v>10.2789202353731</v>
      </c>
      <c r="H504" s="420" t="n">
        <f aca="false">H503+acc_z*pas</f>
        <v>-70.9737252366059</v>
      </c>
      <c r="I504" s="418" t="n">
        <f aca="false">SQRT(vit_x^2+vit_z^2)</f>
        <v>71.7141957715932</v>
      </c>
      <c r="J504" s="419" t="n">
        <f aca="false">J503+0.5*(vit_x+G503)*pas*(K503&gt;=0)</f>
        <v>211.791153319536</v>
      </c>
      <c r="K504" s="420" t="n">
        <f aca="false">K503+0.5*(vit_z+H503)*pas</f>
        <v>-5.53222097927444</v>
      </c>
      <c r="L504" s="418" t="n">
        <f aca="false">SQRT(pos_x^2+pos_z^2)</f>
        <v>211.863394887797</v>
      </c>
      <c r="M504" s="419" t="n">
        <f aca="false">IF(AND(L503&gt;L_rampe,G504&gt;0),ATAN2(G504,H504),$M$4)</f>
        <v>-1.42696922909872</v>
      </c>
      <c r="N504" s="418" t="n">
        <f aca="false">DEGREES(Beta)</f>
        <v>-81.7593143223934</v>
      </c>
      <c r="O504" s="402"/>
      <c r="P504" s="421" t="n">
        <f aca="false">MATCH(t-pas/2-T_ini,CdP_t)</f>
        <v>23</v>
      </c>
      <c r="Q504" s="418" t="n">
        <f aca="false">(INDEX(CdP,2,i_P+1)-INDEX(CdP,2,i_P+0))/(INDEX(CdP,1,i_P+1)-INDEX(CdP,1,i_P+0))*(t-pas/2-T_ini-INDEX(CdP,1,i_P+0))+INDEX(CdP,2,i_P+0)</f>
        <v>0</v>
      </c>
      <c r="R504" s="419" t="n">
        <f aca="false">Poussee/(g*ISP)</f>
        <v>0</v>
      </c>
      <c r="S504" s="420" t="n">
        <f aca="false">S503-Débit*pas</f>
        <v>1.4843</v>
      </c>
      <c r="T504" s="418" t="n">
        <f aca="false">m*g</f>
        <v>14.560983</v>
      </c>
      <c r="U504" s="422" t="n">
        <f aca="false">IF(pos_xz&lt;L_rampe,Poids*COS(Beta),0)</f>
        <v>0</v>
      </c>
      <c r="V504" s="419" t="n">
        <f aca="false">Rho_moyen*(20000-Alt_rampe-pos_z)/(20000+Alt_rampe+pos_z)</f>
        <v>1.22567788458033</v>
      </c>
      <c r="W504" s="418" t="n">
        <f aca="false">1/2*Rho*Sref*Cx*vit_xz^2</f>
        <v>5.55655171192958</v>
      </c>
      <c r="X504" s="402"/>
      <c r="Y504" s="423" t="str">
        <f aca="false">IF(AND(pos_z&lt;=0,K503&gt;0),"Impact balistique","") &amp; IF(AND(H505&lt;0,vit_z&gt;=0),"Apogée","") &amp; IF(AND(Poussee=0,Q503&gt;0),"Fin de propulsion","") &amp; IF(AND(L505&gt;L_rampe,pos_xz&lt;=L_rampe),"Sortie de rampe","")</f>
        <v/>
      </c>
      <c r="Z504" s="424" t="str">
        <f aca="false">IF(ABS(t-T_para)&lt;pas/2,"Para","")</f>
        <v/>
      </c>
      <c r="AA504" s="425" t="str">
        <f aca="false">IF(ABS(t-T_satellite)&lt;pas/2,"Satellite","")</f>
        <v/>
      </c>
      <c r="AB504" s="413"/>
      <c r="AC504" s="421" t="e">
        <f aca="false">IF(ABS(t-ROUND(t,0))&lt;0.001,t,NA())</f>
        <v>#N/A</v>
      </c>
      <c r="AD504" s="426" t="e">
        <f aca="false">IF(ABS(t-ROUND(t,0))&lt;0.001,pos_x,NA())</f>
        <v>#N/A</v>
      </c>
      <c r="AE504" s="427" t="e">
        <f aca="false">IF(t&lt;T_para, pos_z, NA())</f>
        <v>#N/A</v>
      </c>
      <c r="AF504" s="413"/>
      <c r="AG504" s="419" t="n">
        <f aca="false">IF(AND(L503&lt;L_rampe,Poussee&lt;Poids*SIN(M503)),0,(-W503+Poussee)/m-Poids*SIN(M503)/m)</f>
        <v>5.96522069057723</v>
      </c>
      <c r="AH504" s="418" t="n">
        <f aca="false">IF(AND(L503&lt;L_rampe,Poussee&lt;Poids*SIN(M503)), g*SIN(M503), (-W503+Poussee)/m)</f>
        <v>-3.74348536641192</v>
      </c>
    </row>
    <row r="505" customFormat="false" ht="12" hidden="false" customHeight="false" outlineLevel="0" collapsed="false">
      <c r="A505" s="417" t="n">
        <f aca="false">IF(B504+0.01&lt;=T_ini+ROUNDUP(Temps_fin_propu,0), 0.01, IF(K504&gt;0, 0.1, 0.0001))</f>
        <v>0.0001</v>
      </c>
      <c r="B505" s="418" t="n">
        <f aca="false">B504+pas</f>
        <v>16.5155999999999</v>
      </c>
      <c r="C505" s="402"/>
      <c r="D505" s="419" t="n">
        <f aca="false">IF(AND(L504&lt;L_rampe,Poussee&lt;Poids*SIN(M504)),0,(-W504+Poussee)/m*COS(M504)-U504/m*SIN(M504))</f>
        <v>-0.536569566571137</v>
      </c>
      <c r="E505" s="420" t="n">
        <f aca="false">IF(AND(L504&lt;L_rampe,Poussee&lt;Poids*SIN(M504)),0,(-W504+Poussee)/m*SIN(M504)+U504/m*COS(M504)-Poids/m)</f>
        <v>-6.10510297617732</v>
      </c>
      <c r="F505" s="418" t="n">
        <f aca="false">SQRT(acc_x^2+acc_z^2)</f>
        <v>6.1286368182084</v>
      </c>
      <c r="G505" s="419" t="n">
        <f aca="false">G504+acc_x*pas</f>
        <v>10.2788665784165</v>
      </c>
      <c r="H505" s="420" t="n">
        <f aca="false">H504+acc_z*pas</f>
        <v>-70.9743357469036</v>
      </c>
      <c r="I505" s="418" t="n">
        <f aca="false">SQRT(vit_x^2+vit_z^2)</f>
        <v>71.7147922875823</v>
      </c>
      <c r="J505" s="419" t="n">
        <f aca="false">J504+0.5*(vit_x+G504)*pas*(K504&gt;=0)</f>
        <v>211.791153319536</v>
      </c>
      <c r="K505" s="420" t="n">
        <f aca="false">K504+0.5*(vit_z+H504)*pas</f>
        <v>-5.53931838232362</v>
      </c>
      <c r="L505" s="418" t="n">
        <f aca="false">SQRT(pos_x^2+pos_z^2)</f>
        <v>211.86358033546</v>
      </c>
      <c r="M505" s="419" t="n">
        <f aca="false">IF(AND(L504&gt;L_rampe,G505&gt;0),ATAN2(G505,H505),$M$4)</f>
        <v>-1.42697118976024</v>
      </c>
      <c r="N505" s="418" t="n">
        <f aca="false">DEGREES(Beta)</f>
        <v>-81.7594266600237</v>
      </c>
      <c r="O505" s="402"/>
      <c r="P505" s="421" t="n">
        <f aca="false">MATCH(t-pas/2-T_ini,CdP_t)</f>
        <v>23</v>
      </c>
      <c r="Q505" s="418" t="n">
        <f aca="false">(INDEX(CdP,2,i_P+1)-INDEX(CdP,2,i_P+0))/(INDEX(CdP,1,i_P+1)-INDEX(CdP,1,i_P+0))*(t-pas/2-T_ini-INDEX(CdP,1,i_P+0))+INDEX(CdP,2,i_P+0)</f>
        <v>0</v>
      </c>
      <c r="R505" s="419" t="n">
        <f aca="false">Poussee/(g*ISP)</f>
        <v>0</v>
      </c>
      <c r="S505" s="420" t="n">
        <f aca="false">S504-Débit*pas</f>
        <v>1.4843</v>
      </c>
      <c r="T505" s="418" t="n">
        <f aca="false">m*g</f>
        <v>14.560983</v>
      </c>
      <c r="U505" s="422" t="n">
        <f aca="false">IF(pos_xz&lt;L_rampe,Poids*COS(Beta),0)</f>
        <v>0</v>
      </c>
      <c r="V505" s="419" t="n">
        <f aca="false">Rho_moyen*(20000-Alt_rampe-pos_z)/(20000+Alt_rampe+pos_z)</f>
        <v>1.2256787544937</v>
      </c>
      <c r="W505" s="418" t="n">
        <f aca="false">1/2*Rho*Sref*Cx*vit_xz^2</f>
        <v>5.55664809446727</v>
      </c>
      <c r="X505" s="402"/>
      <c r="Y505" s="423" t="str">
        <f aca="false">IF(AND(pos_z&lt;=0,K504&gt;0),"Impact balistique","") &amp; IF(AND(H506&lt;0,vit_z&gt;=0),"Apogée","") &amp; IF(AND(Poussee=0,Q504&gt;0),"Fin de propulsion","") &amp; IF(AND(L506&gt;L_rampe,pos_xz&lt;=L_rampe),"Sortie de rampe","")</f>
        <v/>
      </c>
      <c r="Z505" s="424" t="str">
        <f aca="false">IF(ABS(t-T_para)&lt;pas/2,"Para","")</f>
        <v/>
      </c>
      <c r="AA505" s="425" t="str">
        <f aca="false">IF(ABS(t-T_satellite)&lt;pas/2,"Satellite","")</f>
        <v/>
      </c>
      <c r="AB505" s="413"/>
      <c r="AC505" s="421" t="e">
        <f aca="false">IF(ABS(t-ROUND(t,0))&lt;0.001,t,NA())</f>
        <v>#N/A</v>
      </c>
      <c r="AD505" s="426" t="e">
        <f aca="false">IF(ABS(t-ROUND(t,0))&lt;0.001,pos_x,NA())</f>
        <v>#N/A</v>
      </c>
      <c r="AE505" s="427" t="e">
        <f aca="false">IF(t&lt;T_para, pos_z, NA())</f>
        <v>#N/A</v>
      </c>
      <c r="AF505" s="413"/>
      <c r="AG505" s="419" t="n">
        <f aca="false">IF(AND(L504&lt;L_rampe,Poussee&lt;Poids*SIN(M504)),0,(-W504+Poussee)/m-Poids*SIN(M504)/m)</f>
        <v>5.96515851281891</v>
      </c>
      <c r="AH505" s="418" t="n">
        <f aca="false">IF(AND(L504&lt;L_rampe,Poussee&lt;Poids*SIN(M504)), g*SIN(M504), (-W504+Poussee)/m)</f>
        <v>-3.74355030110462</v>
      </c>
    </row>
    <row r="506" customFormat="false" ht="12" hidden="false" customHeight="false" outlineLevel="0" collapsed="false">
      <c r="A506" s="417" t="n">
        <f aca="false">IF(B505+0.01&lt;=T_ini+ROUNDUP(Temps_fin_propu,0), 0.01, IF(K505&gt;0, 0.1, 0.0001))</f>
        <v>0.0001</v>
      </c>
      <c r="B506" s="418" t="n">
        <f aca="false">B505+pas</f>
        <v>16.5156999999999</v>
      </c>
      <c r="C506" s="402"/>
      <c r="D506" s="419" t="n">
        <f aca="false">IF(AND(L505&lt;L_rampe,Poussee&lt;Poids*SIN(M505)),0,(-W505+Poussee)/m*COS(M505)-U505/m*SIN(M505))</f>
        <v>-0.536571609594773</v>
      </c>
      <c r="E506" s="420" t="n">
        <f aca="false">IF(AND(L505&lt;L_rampe,Poussee&lt;Poids*SIN(M505)),0,(-W505+Poussee)/m*SIN(M505)+U505/m*COS(M505)-Poids/m)</f>
        <v>-6.10503765993012</v>
      </c>
      <c r="F506" s="418" t="n">
        <f aca="false">SQRT(acc_x^2+acc_z^2)</f>
        <v>6.12857193164837</v>
      </c>
      <c r="G506" s="419" t="n">
        <f aca="false">G505+acc_x*pas</f>
        <v>10.2788129212555</v>
      </c>
      <c r="H506" s="420" t="n">
        <f aca="false">H505+acc_z*pas</f>
        <v>-70.9749462506696</v>
      </c>
      <c r="I506" s="418" t="n">
        <f aca="false">SQRT(vit_x^2+vit_z^2)</f>
        <v>71.7153887973537</v>
      </c>
      <c r="J506" s="419" t="n">
        <f aca="false">J505+0.5*(vit_x+G505)*pas*(K505&gt;=0)</f>
        <v>211.791153319536</v>
      </c>
      <c r="K506" s="420" t="n">
        <f aca="false">K505+0.5*(vit_z+H505)*pas</f>
        <v>-5.54641584642349</v>
      </c>
      <c r="L506" s="418" t="n">
        <f aca="false">SQRT(pos_x^2+pos_z^2)</f>
        <v>211.863766022321</v>
      </c>
      <c r="M506" s="419" t="n">
        <f aca="false">IF(AND(L505&gt;L_rampe,G506&gt;0),ATAN2(G506,H506),$M$4)</f>
        <v>-1.42697315037891</v>
      </c>
      <c r="N506" s="418" t="n">
        <f aca="false">DEGREES(Beta)</f>
        <v>-81.7595389951988</v>
      </c>
      <c r="O506" s="402"/>
      <c r="P506" s="421" t="n">
        <f aca="false">MATCH(t-pas/2-T_ini,CdP_t)</f>
        <v>23</v>
      </c>
      <c r="Q506" s="418" t="n">
        <f aca="false">(INDEX(CdP,2,i_P+1)-INDEX(CdP,2,i_P+0))/(INDEX(CdP,1,i_P+1)-INDEX(CdP,1,i_P+0))*(t-pas/2-T_ini-INDEX(CdP,1,i_P+0))+INDEX(CdP,2,i_P+0)</f>
        <v>0</v>
      </c>
      <c r="R506" s="419" t="n">
        <f aca="false">Poussee/(g*ISP)</f>
        <v>0</v>
      </c>
      <c r="S506" s="420" t="n">
        <f aca="false">S505-Débit*pas</f>
        <v>1.4843</v>
      </c>
      <c r="T506" s="418" t="n">
        <f aca="false">m*g</f>
        <v>14.560983</v>
      </c>
      <c r="U506" s="422" t="n">
        <f aca="false">IF(pos_xz&lt;L_rampe,Poids*COS(Beta),0)</f>
        <v>0</v>
      </c>
      <c r="V506" s="419" t="n">
        <f aca="false">Rho_moyen*(20000-Alt_rampe-pos_z)/(20000+Alt_rampe+pos_z)</f>
        <v>1.22567962441517</v>
      </c>
      <c r="W506" s="418" t="n">
        <f aca="false">1/2*Rho*Sref*Cx*vit_xz^2</f>
        <v>5.55674447697825</v>
      </c>
      <c r="X506" s="402"/>
      <c r="Y506" s="423" t="str">
        <f aca="false">IF(AND(pos_z&lt;=0,K505&gt;0),"Impact balistique","") &amp; IF(AND(H507&lt;0,vit_z&gt;=0),"Apogée","") &amp; IF(AND(Poussee=0,Q505&gt;0),"Fin de propulsion","") &amp; IF(AND(L507&gt;L_rampe,pos_xz&lt;=L_rampe),"Sortie de rampe","")</f>
        <v/>
      </c>
      <c r="Z506" s="424" t="str">
        <f aca="false">IF(ABS(t-T_para)&lt;pas/2,"Para","")</f>
        <v/>
      </c>
      <c r="AA506" s="425" t="str">
        <f aca="false">IF(ABS(t-T_satellite)&lt;pas/2,"Satellite","")</f>
        <v/>
      </c>
      <c r="AB506" s="413"/>
      <c r="AC506" s="421" t="e">
        <f aca="false">IF(ABS(t-ROUND(t,0))&lt;0.001,t,NA())</f>
        <v>#N/A</v>
      </c>
      <c r="AD506" s="426" t="e">
        <f aca="false">IF(ABS(t-ROUND(t,0))&lt;0.001,pos_x,NA())</f>
        <v>#N/A</v>
      </c>
      <c r="AE506" s="427" t="e">
        <f aca="false">IF(t&lt;T_para, pos_z, NA())</f>
        <v>#N/A</v>
      </c>
      <c r="AF506" s="413"/>
      <c r="AG506" s="419" t="n">
        <f aca="false">IF(AND(L505&lt;L_rampe,Poussee&lt;Poids*SIN(M505)),0,(-W505+Poussee)/m-Poids*SIN(M505)/m)</f>
        <v>5.96509633498099</v>
      </c>
      <c r="AH506" s="418" t="n">
        <f aca="false">IF(AND(L505&lt;L_rampe,Poussee&lt;Poids*SIN(M505)), g*SIN(M505), (-W505+Poussee)/m)</f>
        <v>-3.74361523577934</v>
      </c>
    </row>
    <row r="507" customFormat="false" ht="12" hidden="false" customHeight="false" outlineLevel="0" collapsed="false">
      <c r="A507" s="417" t="n">
        <f aca="false">IF(B506+0.01&lt;=T_ini+ROUNDUP(Temps_fin_propu,0), 0.01, IF(K506&gt;0, 0.1, 0.0001))</f>
        <v>0.0001</v>
      </c>
      <c r="B507" s="418" t="n">
        <f aca="false">B506+pas</f>
        <v>16.5157999999999</v>
      </c>
      <c r="C507" s="402"/>
      <c r="D507" s="419" t="n">
        <f aca="false">IF(AND(L506&lt;L_rampe,Poussee&lt;Poids*SIN(M506)),0,(-W506+Poussee)/m*COS(M506)-U506/m*SIN(M506))</f>
        <v>-0.536573652520534</v>
      </c>
      <c r="E507" s="420" t="n">
        <f aca="false">IF(AND(L506&lt;L_rampe,Poussee&lt;Poids*SIN(M506)),0,(-W506+Poussee)/m*SIN(M506)+U506/m*COS(M506)-Poids/m)</f>
        <v>-6.10497234370147</v>
      </c>
      <c r="F507" s="418" t="n">
        <f aca="false">SQRT(acc_x^2+acc_z^2)</f>
        <v>6.12850704510805</v>
      </c>
      <c r="G507" s="419" t="n">
        <f aca="false">G506+acc_x*pas</f>
        <v>10.2787592638902</v>
      </c>
      <c r="H507" s="420" t="n">
        <f aca="false">H506+acc_z*pas</f>
        <v>-70.9755567479039</v>
      </c>
      <c r="I507" s="418" t="n">
        <f aca="false">SQRT(vit_x^2+vit_z^2)</f>
        <v>71.7159853009072</v>
      </c>
      <c r="J507" s="419" t="n">
        <f aca="false">J506+0.5*(vit_x+G506)*pas*(K506&gt;=0)</f>
        <v>211.791153319536</v>
      </c>
      <c r="K507" s="420" t="n">
        <f aca="false">K506+0.5*(vit_z+H506)*pas</f>
        <v>-5.55351337157342</v>
      </c>
      <c r="L507" s="418" t="n">
        <f aca="false">SQRT(pos_x^2+pos_z^2)</f>
        <v>211.863951948385</v>
      </c>
      <c r="M507" s="419" t="n">
        <f aca="false">IF(AND(L506&gt;L_rampe,G507&gt;0),ATAN2(G507,H507),$M$4)</f>
        <v>-1.42697511095474</v>
      </c>
      <c r="N507" s="418" t="n">
        <f aca="false">DEGREES(Beta)</f>
        <v>-81.7596513279187</v>
      </c>
      <c r="O507" s="402"/>
      <c r="P507" s="421" t="n">
        <f aca="false">MATCH(t-pas/2-T_ini,CdP_t)</f>
        <v>23</v>
      </c>
      <c r="Q507" s="418" t="n">
        <f aca="false">(INDEX(CdP,2,i_P+1)-INDEX(CdP,2,i_P+0))/(INDEX(CdP,1,i_P+1)-INDEX(CdP,1,i_P+0))*(t-pas/2-T_ini-INDEX(CdP,1,i_P+0))+INDEX(CdP,2,i_P+0)</f>
        <v>0</v>
      </c>
      <c r="R507" s="419" t="n">
        <f aca="false">Poussee/(g*ISP)</f>
        <v>0</v>
      </c>
      <c r="S507" s="420" t="n">
        <f aca="false">S506-Débit*pas</f>
        <v>1.4843</v>
      </c>
      <c r="T507" s="418" t="n">
        <f aca="false">m*g</f>
        <v>14.560983</v>
      </c>
      <c r="U507" s="422" t="n">
        <f aca="false">IF(pos_xz&lt;L_rampe,Poids*COS(Beta),0)</f>
        <v>0</v>
      </c>
      <c r="V507" s="419" t="n">
        <f aca="false">Rho_moyen*(20000-Alt_rampe-pos_z)/(20000+Alt_rampe+pos_z)</f>
        <v>1.22568049434474</v>
      </c>
      <c r="W507" s="418" t="n">
        <f aca="false">1/2*Rho*Sref*Cx*vit_xz^2</f>
        <v>5.55684085946249</v>
      </c>
      <c r="X507" s="402"/>
      <c r="Y507" s="423" t="str">
        <f aca="false">IF(AND(pos_z&lt;=0,K506&gt;0),"Impact balistique","") &amp; IF(AND(H508&lt;0,vit_z&gt;=0),"Apogée","") &amp; IF(AND(Poussee=0,Q506&gt;0),"Fin de propulsion","") &amp; IF(AND(L508&gt;L_rampe,pos_xz&lt;=L_rampe),"Sortie de rampe","")</f>
        <v/>
      </c>
      <c r="Z507" s="424" t="str">
        <f aca="false">IF(ABS(t-T_para)&lt;pas/2,"Para","")</f>
        <v/>
      </c>
      <c r="AA507" s="425" t="str">
        <f aca="false">IF(ABS(t-T_satellite)&lt;pas/2,"Satellite","")</f>
        <v/>
      </c>
      <c r="AB507" s="413"/>
      <c r="AC507" s="421" t="e">
        <f aca="false">IF(ABS(t-ROUND(t,0))&lt;0.001,t,NA())</f>
        <v>#N/A</v>
      </c>
      <c r="AD507" s="426" t="e">
        <f aca="false">IF(ABS(t-ROUND(t,0))&lt;0.001,pos_x,NA())</f>
        <v>#N/A</v>
      </c>
      <c r="AE507" s="427" t="e">
        <f aca="false">IF(t&lt;T_para, pos_z, NA())</f>
        <v>#N/A</v>
      </c>
      <c r="AF507" s="413"/>
      <c r="AG507" s="419" t="n">
        <f aca="false">IF(AND(L506&lt;L_rampe,Poussee&lt;Poids*SIN(M506)),0,(-W506+Poussee)/m-Poids*SIN(M506)/m)</f>
        <v>5.96503415706348</v>
      </c>
      <c r="AH507" s="418" t="n">
        <f aca="false">IF(AND(L506&lt;L_rampe,Poussee&lt;Poids*SIN(M506)), g*SIN(M506), (-W506+Poussee)/m)</f>
        <v>-3.74368017043607</v>
      </c>
    </row>
    <row r="508" customFormat="false" ht="12" hidden="false" customHeight="false" outlineLevel="0" collapsed="false">
      <c r="A508" s="417" t="n">
        <f aca="false">IF(B507+0.01&lt;=T_ini+ROUNDUP(Temps_fin_propu,0), 0.01, IF(K507&gt;0, 0.1, 0.0001))</f>
        <v>0.0001</v>
      </c>
      <c r="B508" s="418" t="n">
        <f aca="false">B507+pas</f>
        <v>16.5158999999999</v>
      </c>
      <c r="C508" s="402"/>
      <c r="D508" s="419" t="n">
        <f aca="false">IF(AND(L507&lt;L_rampe,Poussee&lt;Poids*SIN(M507)),0,(-W507+Poussee)/m*COS(M507)-U507/m*SIN(M507))</f>
        <v>-0.536575695348418</v>
      </c>
      <c r="E508" s="420" t="n">
        <f aca="false">IF(AND(L507&lt;L_rampe,Poussee&lt;Poids*SIN(M507)),0,(-W507+Poussee)/m*SIN(M507)+U507/m*COS(M507)-Poids/m)</f>
        <v>-6.10490702749138</v>
      </c>
      <c r="F508" s="418" t="n">
        <f aca="false">SQRT(acc_x^2+acc_z^2)</f>
        <v>6.12844215858747</v>
      </c>
      <c r="G508" s="419" t="n">
        <f aca="false">G507+acc_x*pas</f>
        <v>10.2787056063207</v>
      </c>
      <c r="H508" s="420" t="n">
        <f aca="false">H507+acc_z*pas</f>
        <v>-70.9761672386067</v>
      </c>
      <c r="I508" s="418" t="n">
        <f aca="false">SQRT(vit_x^2+vit_z^2)</f>
        <v>71.716581798243</v>
      </c>
      <c r="J508" s="419" t="n">
        <f aca="false">J507+0.5*(vit_x+G507)*pas*(K507&gt;=0)</f>
        <v>211.791153319536</v>
      </c>
      <c r="K508" s="420" t="n">
        <f aca="false">K507+0.5*(vit_z+H507)*pas</f>
        <v>-5.56061095777275</v>
      </c>
      <c r="L508" s="418" t="n">
        <f aca="false">SQRT(pos_x^2+pos_z^2)</f>
        <v>211.864138113658</v>
      </c>
      <c r="M508" s="419" t="n">
        <f aca="false">IF(AND(L507&gt;L_rampe,G508&gt;0),ATAN2(G508,H508),$M$4)</f>
        <v>-1.42697707148771</v>
      </c>
      <c r="N508" s="418" t="n">
        <f aca="false">DEGREES(Beta)</f>
        <v>-81.7597636581836</v>
      </c>
      <c r="O508" s="402"/>
      <c r="P508" s="421" t="n">
        <f aca="false">MATCH(t-pas/2-T_ini,CdP_t)</f>
        <v>23</v>
      </c>
      <c r="Q508" s="418" t="n">
        <f aca="false">(INDEX(CdP,2,i_P+1)-INDEX(CdP,2,i_P+0))/(INDEX(CdP,1,i_P+1)-INDEX(CdP,1,i_P+0))*(t-pas/2-T_ini-INDEX(CdP,1,i_P+0))+INDEX(CdP,2,i_P+0)</f>
        <v>0</v>
      </c>
      <c r="R508" s="419" t="n">
        <f aca="false">Poussee/(g*ISP)</f>
        <v>0</v>
      </c>
      <c r="S508" s="420" t="n">
        <f aca="false">S507-Débit*pas</f>
        <v>1.4843</v>
      </c>
      <c r="T508" s="418" t="n">
        <f aca="false">m*g</f>
        <v>14.560983</v>
      </c>
      <c r="U508" s="422" t="n">
        <f aca="false">IF(pos_xz&lt;L_rampe,Poids*COS(Beta),0)</f>
        <v>0</v>
      </c>
      <c r="V508" s="419" t="n">
        <f aca="false">Rho_moyen*(20000-Alt_rampe-pos_z)/(20000+Alt_rampe+pos_z)</f>
        <v>1.22568136428241</v>
      </c>
      <c r="W508" s="418" t="n">
        <f aca="false">1/2*Rho*Sref*Cx*vit_xz^2</f>
        <v>5.55693724191998</v>
      </c>
      <c r="X508" s="402"/>
      <c r="Y508" s="423" t="str">
        <f aca="false">IF(AND(pos_z&lt;=0,K507&gt;0),"Impact balistique","") &amp; IF(AND(H509&lt;0,vit_z&gt;=0),"Apogée","") &amp; IF(AND(Poussee=0,Q507&gt;0),"Fin de propulsion","") &amp; IF(AND(L509&gt;L_rampe,pos_xz&lt;=L_rampe),"Sortie de rampe","")</f>
        <v/>
      </c>
      <c r="Z508" s="424" t="str">
        <f aca="false">IF(ABS(t-T_para)&lt;pas/2,"Para","")</f>
        <v/>
      </c>
      <c r="AA508" s="425" t="str">
        <f aca="false">IF(ABS(t-T_satellite)&lt;pas/2,"Satellite","")</f>
        <v/>
      </c>
      <c r="AB508" s="413"/>
      <c r="AC508" s="421" t="e">
        <f aca="false">IF(ABS(t-ROUND(t,0))&lt;0.001,t,NA())</f>
        <v>#N/A</v>
      </c>
      <c r="AD508" s="426" t="e">
        <f aca="false">IF(ABS(t-ROUND(t,0))&lt;0.001,pos_x,NA())</f>
        <v>#N/A</v>
      </c>
      <c r="AE508" s="427" t="e">
        <f aca="false">IF(t&lt;T_para, pos_z, NA())</f>
        <v>#N/A</v>
      </c>
      <c r="AF508" s="413"/>
      <c r="AG508" s="419" t="n">
        <f aca="false">IF(AND(L507&lt;L_rampe,Poussee&lt;Poids*SIN(M507)),0,(-W507+Poussee)/m-Poids*SIN(M507)/m)</f>
        <v>5.96497197906642</v>
      </c>
      <c r="AH508" s="418" t="n">
        <f aca="false">IF(AND(L507&lt;L_rampe,Poussee&lt;Poids*SIN(M507)), g*SIN(M507), (-W507+Poussee)/m)</f>
        <v>-3.74374510507478</v>
      </c>
    </row>
    <row r="509" customFormat="false" ht="12" hidden="false" customHeight="false" outlineLevel="0" collapsed="false">
      <c r="A509" s="417" t="n">
        <f aca="false">IF(B508+0.01&lt;=T_ini+ROUNDUP(Temps_fin_propu,0), 0.01, IF(K508&gt;0, 0.1, 0.0001))</f>
        <v>0.0001</v>
      </c>
      <c r="B509" s="418" t="n">
        <f aca="false">B508+pas</f>
        <v>16.5159999999999</v>
      </c>
      <c r="C509" s="402"/>
      <c r="D509" s="419" t="n">
        <f aca="false">IF(AND(L508&lt;L_rampe,Poussee&lt;Poids*SIN(M508)),0,(-W508+Poussee)/m*COS(M508)-U508/m*SIN(M508))</f>
        <v>-0.536577738078426</v>
      </c>
      <c r="E509" s="420" t="n">
        <f aca="false">IF(AND(L508&lt;L_rampe,Poussee&lt;Poids*SIN(M508)),0,(-W508+Poussee)/m*SIN(M508)+U508/m*COS(M508)-Poids/m)</f>
        <v>-6.10484171129987</v>
      </c>
      <c r="F509" s="418" t="n">
        <f aca="false">SQRT(acc_x^2+acc_z^2)</f>
        <v>6.12837727208664</v>
      </c>
      <c r="G509" s="419" t="n">
        <f aca="false">G508+acc_x*pas</f>
        <v>10.2786519485469</v>
      </c>
      <c r="H509" s="420" t="n">
        <f aca="false">H508+acc_z*pas</f>
        <v>-70.9767777227778</v>
      </c>
      <c r="I509" s="418" t="n">
        <f aca="false">SQRT(vit_x^2+vit_z^2)</f>
        <v>71.7171782893609</v>
      </c>
      <c r="J509" s="419" t="n">
        <f aca="false">J508+0.5*(vit_x+G508)*pas*(K508&gt;=0)</f>
        <v>211.791153319536</v>
      </c>
      <c r="K509" s="420" t="n">
        <f aca="false">K508+0.5*(vit_z+H508)*pas</f>
        <v>-5.56770860502082</v>
      </c>
      <c r="L509" s="418" t="n">
        <f aca="false">SQRT(pos_x^2+pos_z^2)</f>
        <v>211.864324518145</v>
      </c>
      <c r="M509" s="419" t="n">
        <f aca="false">IF(AND(L508&gt;L_rampe,G509&gt;0),ATAN2(G509,H509),$M$4)</f>
        <v>-1.42697903197783</v>
      </c>
      <c r="N509" s="418" t="n">
        <f aca="false">DEGREES(Beta)</f>
        <v>-81.7598759859936</v>
      </c>
      <c r="O509" s="402"/>
      <c r="P509" s="421" t="n">
        <f aca="false">MATCH(t-pas/2-T_ini,CdP_t)</f>
        <v>23</v>
      </c>
      <c r="Q509" s="418" t="n">
        <f aca="false">(INDEX(CdP,2,i_P+1)-INDEX(CdP,2,i_P+0))/(INDEX(CdP,1,i_P+1)-INDEX(CdP,1,i_P+0))*(t-pas/2-T_ini-INDEX(CdP,1,i_P+0))+INDEX(CdP,2,i_P+0)</f>
        <v>0</v>
      </c>
      <c r="R509" s="419" t="n">
        <f aca="false">Poussee/(g*ISP)</f>
        <v>0</v>
      </c>
      <c r="S509" s="420" t="n">
        <f aca="false">S508-Débit*pas</f>
        <v>1.4843</v>
      </c>
      <c r="T509" s="418" t="n">
        <f aca="false">m*g</f>
        <v>14.560983</v>
      </c>
      <c r="U509" s="422" t="n">
        <f aca="false">IF(pos_xz&lt;L_rampe,Poids*COS(Beta),0)</f>
        <v>0</v>
      </c>
      <c r="V509" s="419" t="n">
        <f aca="false">Rho_moyen*(20000-Alt_rampe-pos_z)/(20000+Alt_rampe+pos_z)</f>
        <v>1.22568223422818</v>
      </c>
      <c r="W509" s="418" t="n">
        <f aca="false">1/2*Rho*Sref*Cx*vit_xz^2</f>
        <v>5.55703362435069</v>
      </c>
      <c r="X509" s="402"/>
      <c r="Y509" s="423" t="str">
        <f aca="false">IF(AND(pos_z&lt;=0,K508&gt;0),"Impact balistique","") &amp; IF(AND(H510&lt;0,vit_z&gt;=0),"Apogée","") &amp; IF(AND(Poussee=0,Q508&gt;0),"Fin de propulsion","") &amp; IF(AND(L510&gt;L_rampe,pos_xz&lt;=L_rampe),"Sortie de rampe","")</f>
        <v/>
      </c>
      <c r="Z509" s="424" t="str">
        <f aca="false">IF(ABS(t-T_para)&lt;pas/2,"Para","")</f>
        <v/>
      </c>
      <c r="AA509" s="425" t="str">
        <f aca="false">IF(ABS(t-T_satellite)&lt;pas/2,"Satellite","")</f>
        <v/>
      </c>
      <c r="AB509" s="413"/>
      <c r="AC509" s="421" t="e">
        <f aca="false">IF(ABS(t-ROUND(t,0))&lt;0.001,t,NA())</f>
        <v>#N/A</v>
      </c>
      <c r="AD509" s="426" t="e">
        <f aca="false">IF(ABS(t-ROUND(t,0))&lt;0.001,pos_x,NA())</f>
        <v>#N/A</v>
      </c>
      <c r="AE509" s="427" t="e">
        <f aca="false">IF(t&lt;T_para, pos_z, NA())</f>
        <v>#N/A</v>
      </c>
      <c r="AF509" s="413"/>
      <c r="AG509" s="419" t="n">
        <f aca="false">IF(AND(L508&lt;L_rampe,Poussee&lt;Poids*SIN(M508)),0,(-W508+Poussee)/m-Poids*SIN(M508)/m)</f>
        <v>5.96490980098983</v>
      </c>
      <c r="AH509" s="418" t="n">
        <f aca="false">IF(AND(L508&lt;L_rampe,Poussee&lt;Poids*SIN(M508)), g*SIN(M508), (-W508+Poussee)/m)</f>
        <v>-3.74381003969547</v>
      </c>
    </row>
    <row r="510" customFormat="false" ht="12" hidden="false" customHeight="false" outlineLevel="0" collapsed="false">
      <c r="A510" s="417" t="n">
        <f aca="false">IF(B509+0.01&lt;=T_ini+ROUNDUP(Temps_fin_propu,0), 0.01, IF(K509&gt;0, 0.1, 0.0001))</f>
        <v>0.0001</v>
      </c>
      <c r="B510" s="418" t="n">
        <f aca="false">B509+pas</f>
        <v>16.5160999999999</v>
      </c>
      <c r="C510" s="402"/>
      <c r="D510" s="419" t="n">
        <f aca="false">IF(AND(L509&lt;L_rampe,Poussee&lt;Poids*SIN(M509)),0,(-W509+Poussee)/m*COS(M509)-U509/m*SIN(M509))</f>
        <v>-0.536579780710559</v>
      </c>
      <c r="E510" s="420" t="n">
        <f aca="false">IF(AND(L509&lt;L_rampe,Poussee&lt;Poids*SIN(M509)),0,(-W509+Poussee)/m*SIN(M509)+U509/m*COS(M509)-Poids/m)</f>
        <v>-6.10477639512697</v>
      </c>
      <c r="F510" s="418" t="n">
        <f aca="false">SQRT(acc_x^2+acc_z^2)</f>
        <v>6.12831238560558</v>
      </c>
      <c r="G510" s="419" t="n">
        <f aca="false">G509+acc_x*pas</f>
        <v>10.2785982905688</v>
      </c>
      <c r="H510" s="420" t="n">
        <f aca="false">H509+acc_z*pas</f>
        <v>-70.9773882004173</v>
      </c>
      <c r="I510" s="418" t="n">
        <f aca="false">SQRT(vit_x^2+vit_z^2)</f>
        <v>71.717774774261</v>
      </c>
      <c r="J510" s="419" t="n">
        <f aca="false">J509+0.5*(vit_x+G509)*pas*(K509&gt;=0)</f>
        <v>211.791153319536</v>
      </c>
      <c r="K510" s="420" t="n">
        <f aca="false">K509+0.5*(vit_z+H509)*pas</f>
        <v>-5.57480631331698</v>
      </c>
      <c r="L510" s="418" t="n">
        <f aca="false">SQRT(pos_x^2+pos_z^2)</f>
        <v>211.864511161851</v>
      </c>
      <c r="M510" s="419" t="n">
        <f aca="false">IF(AND(L509&gt;L_rampe,G510&gt;0),ATAN2(G510,H510),$M$4)</f>
        <v>-1.42698099242511</v>
      </c>
      <c r="N510" s="418" t="n">
        <f aca="false">DEGREES(Beta)</f>
        <v>-81.7599883113487</v>
      </c>
      <c r="O510" s="402"/>
      <c r="P510" s="421" t="n">
        <f aca="false">MATCH(t-pas/2-T_ini,CdP_t)</f>
        <v>23</v>
      </c>
      <c r="Q510" s="418" t="n">
        <f aca="false">(INDEX(CdP,2,i_P+1)-INDEX(CdP,2,i_P+0))/(INDEX(CdP,1,i_P+1)-INDEX(CdP,1,i_P+0))*(t-pas/2-T_ini-INDEX(CdP,1,i_P+0))+INDEX(CdP,2,i_P+0)</f>
        <v>0</v>
      </c>
      <c r="R510" s="419" t="n">
        <f aca="false">Poussee/(g*ISP)</f>
        <v>0</v>
      </c>
      <c r="S510" s="420" t="n">
        <f aca="false">S509-Débit*pas</f>
        <v>1.4843</v>
      </c>
      <c r="T510" s="418" t="n">
        <f aca="false">m*g</f>
        <v>14.560983</v>
      </c>
      <c r="U510" s="422" t="n">
        <f aca="false">IF(pos_xz&lt;L_rampe,Poids*COS(Beta),0)</f>
        <v>0</v>
      </c>
      <c r="V510" s="419" t="n">
        <f aca="false">Rho_moyen*(20000-Alt_rampe-pos_z)/(20000+Alt_rampe+pos_z)</f>
        <v>1.22568310418206</v>
      </c>
      <c r="W510" s="418" t="n">
        <f aca="false">1/2*Rho*Sref*Cx*vit_xz^2</f>
        <v>5.55713000675459</v>
      </c>
      <c r="X510" s="402"/>
      <c r="Y510" s="423" t="str">
        <f aca="false">IF(AND(pos_z&lt;=0,K509&gt;0),"Impact balistique","") &amp; IF(AND(H511&lt;0,vit_z&gt;=0),"Apogée","") &amp; IF(AND(Poussee=0,Q509&gt;0),"Fin de propulsion","") &amp; IF(AND(L511&gt;L_rampe,pos_xz&lt;=L_rampe),"Sortie de rampe","")</f>
        <v/>
      </c>
      <c r="Z510" s="424" t="str">
        <f aca="false">IF(ABS(t-T_para)&lt;pas/2,"Para","")</f>
        <v/>
      </c>
      <c r="AA510" s="425" t="str">
        <f aca="false">IF(ABS(t-T_satellite)&lt;pas/2,"Satellite","")</f>
        <v/>
      </c>
      <c r="AB510" s="413"/>
      <c r="AC510" s="421" t="e">
        <f aca="false">IF(ABS(t-ROUND(t,0))&lt;0.001,t,NA())</f>
        <v>#N/A</v>
      </c>
      <c r="AD510" s="426" t="e">
        <f aca="false">IF(ABS(t-ROUND(t,0))&lt;0.001,pos_x,NA())</f>
        <v>#N/A</v>
      </c>
      <c r="AE510" s="427" t="e">
        <f aca="false">IF(t&lt;T_para, pos_z, NA())</f>
        <v>#N/A</v>
      </c>
      <c r="AF510" s="413"/>
      <c r="AG510" s="419" t="n">
        <f aca="false">IF(AND(L509&lt;L_rampe,Poussee&lt;Poids*SIN(M509)),0,(-W509+Poussee)/m-Poids*SIN(M509)/m)</f>
        <v>5.96484762283371</v>
      </c>
      <c r="AH510" s="418" t="n">
        <f aca="false">IF(AND(L509&lt;L_rampe,Poussee&lt;Poids*SIN(M509)), g*SIN(M509), (-W509+Poussee)/m)</f>
        <v>-3.74387497429812</v>
      </c>
    </row>
    <row r="511" customFormat="false" ht="12" hidden="false" customHeight="false" outlineLevel="0" collapsed="false">
      <c r="A511" s="417" t="n">
        <f aca="false">IF(B510+0.01&lt;=T_ini+ROUNDUP(Temps_fin_propu,0), 0.01, IF(K510&gt;0, 0.1, 0.0001))</f>
        <v>0.0001</v>
      </c>
      <c r="B511" s="418" t="n">
        <f aca="false">B510+pas</f>
        <v>16.5161999999999</v>
      </c>
      <c r="C511" s="402"/>
      <c r="D511" s="419" t="n">
        <f aca="false">IF(AND(L510&lt;L_rampe,Poussee&lt;Poids*SIN(M510)),0,(-W510+Poussee)/m*COS(M510)-U510/m*SIN(M510))</f>
        <v>-0.536581823244818</v>
      </c>
      <c r="E511" s="420" t="n">
        <f aca="false">IF(AND(L510&lt;L_rampe,Poussee&lt;Poids*SIN(M510)),0,(-W510+Poussee)/m*SIN(M510)+U510/m*COS(M510)-Poids/m)</f>
        <v>-6.10471107897267</v>
      </c>
      <c r="F511" s="418" t="n">
        <f aca="false">SQRT(acc_x^2+acc_z^2)</f>
        <v>6.1282474991443</v>
      </c>
      <c r="G511" s="419" t="n">
        <f aca="false">G510+acc_x*pas</f>
        <v>10.2785446323865</v>
      </c>
      <c r="H511" s="420" t="n">
        <f aca="false">H510+acc_z*pas</f>
        <v>-70.9779986715252</v>
      </c>
      <c r="I511" s="418" t="n">
        <f aca="false">SQRT(vit_x^2+vit_z^2)</f>
        <v>71.7183712529432</v>
      </c>
      <c r="J511" s="419" t="n">
        <f aca="false">J510+0.5*(vit_x+G510)*pas*(K510&gt;=0)</f>
        <v>211.791153319536</v>
      </c>
      <c r="K511" s="420" t="n">
        <f aca="false">K510+0.5*(vit_z+H510)*pas</f>
        <v>-5.58190408266057</v>
      </c>
      <c r="L511" s="418" t="n">
        <f aca="false">SQRT(pos_x^2+pos_z^2)</f>
        <v>211.864698044783</v>
      </c>
      <c r="M511" s="419" t="n">
        <f aca="false">IF(AND(L510&gt;L_rampe,G511&gt;0),ATAN2(G511,H511),$M$4)</f>
        <v>-1.42698295282955</v>
      </c>
      <c r="N511" s="418" t="n">
        <f aca="false">DEGREES(Beta)</f>
        <v>-81.7601006342491</v>
      </c>
      <c r="O511" s="402"/>
      <c r="P511" s="421" t="n">
        <f aca="false">MATCH(t-pas/2-T_ini,CdP_t)</f>
        <v>23</v>
      </c>
      <c r="Q511" s="418" t="n">
        <f aca="false">(INDEX(CdP,2,i_P+1)-INDEX(CdP,2,i_P+0))/(INDEX(CdP,1,i_P+1)-INDEX(CdP,1,i_P+0))*(t-pas/2-T_ini-INDEX(CdP,1,i_P+0))+INDEX(CdP,2,i_P+0)</f>
        <v>0</v>
      </c>
      <c r="R511" s="419" t="n">
        <f aca="false">Poussee/(g*ISP)</f>
        <v>0</v>
      </c>
      <c r="S511" s="420" t="n">
        <f aca="false">S510-Débit*pas</f>
        <v>1.4843</v>
      </c>
      <c r="T511" s="418" t="n">
        <f aca="false">m*g</f>
        <v>14.560983</v>
      </c>
      <c r="U511" s="422" t="n">
        <f aca="false">IF(pos_xz&lt;L_rampe,Poids*COS(Beta),0)</f>
        <v>0</v>
      </c>
      <c r="V511" s="419" t="n">
        <f aca="false">Rho_moyen*(20000-Alt_rampe-pos_z)/(20000+Alt_rampe+pos_z)</f>
        <v>1.22568397414403</v>
      </c>
      <c r="W511" s="418" t="n">
        <f aca="false">1/2*Rho*Sref*Cx*vit_xz^2</f>
        <v>5.55722638913165</v>
      </c>
      <c r="X511" s="402"/>
      <c r="Y511" s="423" t="str">
        <f aca="false">IF(AND(pos_z&lt;=0,K510&gt;0),"Impact balistique","") &amp; IF(AND(H512&lt;0,vit_z&gt;=0),"Apogée","") &amp; IF(AND(Poussee=0,Q510&gt;0),"Fin de propulsion","") &amp; IF(AND(L512&gt;L_rampe,pos_xz&lt;=L_rampe),"Sortie de rampe","")</f>
        <v/>
      </c>
      <c r="Z511" s="424" t="str">
        <f aca="false">IF(ABS(t-T_para)&lt;pas/2,"Para","")</f>
        <v/>
      </c>
      <c r="AA511" s="425" t="str">
        <f aca="false">IF(ABS(t-T_satellite)&lt;pas/2,"Satellite","")</f>
        <v/>
      </c>
      <c r="AB511" s="413"/>
      <c r="AC511" s="421" t="e">
        <f aca="false">IF(ABS(t-ROUND(t,0))&lt;0.001,t,NA())</f>
        <v>#N/A</v>
      </c>
      <c r="AD511" s="426" t="e">
        <f aca="false">IF(ABS(t-ROUND(t,0))&lt;0.001,pos_x,NA())</f>
        <v>#N/A</v>
      </c>
      <c r="AE511" s="427" t="e">
        <f aca="false">IF(t&lt;T_para, pos_z, NA())</f>
        <v>#N/A</v>
      </c>
      <c r="AF511" s="413"/>
      <c r="AG511" s="419" t="n">
        <f aca="false">IF(AND(L510&lt;L_rampe,Poussee&lt;Poids*SIN(M510)),0,(-W510+Poussee)/m-Poids*SIN(M510)/m)</f>
        <v>5.96478544459811</v>
      </c>
      <c r="AH511" s="418" t="n">
        <f aca="false">IF(AND(L510&lt;L_rampe,Poussee&lt;Poids*SIN(M510)), g*SIN(M510), (-W510+Poussee)/m)</f>
        <v>-3.7439399088827</v>
      </c>
    </row>
    <row r="512" customFormat="false" ht="12" hidden="false" customHeight="false" outlineLevel="0" collapsed="false">
      <c r="A512" s="417" t="n">
        <f aca="false">IF(B511+0.01&lt;=T_ini+ROUNDUP(Temps_fin_propu,0), 0.01, IF(K511&gt;0, 0.1, 0.0001))</f>
        <v>0.0001</v>
      </c>
      <c r="B512" s="418" t="n">
        <f aca="false">B511+pas</f>
        <v>16.5162999999999</v>
      </c>
      <c r="C512" s="402"/>
      <c r="D512" s="419" t="n">
        <f aca="false">IF(AND(L511&lt;L_rampe,Poussee&lt;Poids*SIN(M511)),0,(-W511+Poussee)/m*COS(M511)-U511/m*SIN(M511))</f>
        <v>-0.536583865681203</v>
      </c>
      <c r="E512" s="420" t="n">
        <f aca="false">IF(AND(L511&lt;L_rampe,Poussee&lt;Poids*SIN(M511)),0,(-W511+Poussee)/m*SIN(M511)+U511/m*COS(M511)-Poids/m)</f>
        <v>-6.10464576283701</v>
      </c>
      <c r="F512" s="418" t="n">
        <f aca="false">SQRT(acc_x^2+acc_z^2)</f>
        <v>6.12818261270283</v>
      </c>
      <c r="G512" s="419" t="n">
        <f aca="false">G511+acc_x*pas</f>
        <v>10.2784909739999</v>
      </c>
      <c r="H512" s="420" t="n">
        <f aca="false">H511+acc_z*pas</f>
        <v>-70.9786091361015</v>
      </c>
      <c r="I512" s="418" t="n">
        <f aca="false">SQRT(vit_x^2+vit_z^2)</f>
        <v>71.7189677254077</v>
      </c>
      <c r="J512" s="419" t="n">
        <f aca="false">J511+0.5*(vit_x+G511)*pas*(K511&gt;=0)</f>
        <v>211.791153319536</v>
      </c>
      <c r="K512" s="420" t="n">
        <f aca="false">K511+0.5*(vit_z+H511)*pas</f>
        <v>-5.58900191305095</v>
      </c>
      <c r="L512" s="418" t="n">
        <f aca="false">SQRT(pos_x^2+pos_z^2)</f>
        <v>211.864885166946</v>
      </c>
      <c r="M512" s="419" t="n">
        <f aca="false">IF(AND(L511&gt;L_rampe,G512&gt;0),ATAN2(G512,H512),$M$4)</f>
        <v>-1.42698491319114</v>
      </c>
      <c r="N512" s="418" t="n">
        <f aca="false">DEGREES(Beta)</f>
        <v>-81.7602129546947</v>
      </c>
      <c r="O512" s="402"/>
      <c r="P512" s="421" t="n">
        <f aca="false">MATCH(t-pas/2-T_ini,CdP_t)</f>
        <v>23</v>
      </c>
      <c r="Q512" s="418" t="n">
        <f aca="false">(INDEX(CdP,2,i_P+1)-INDEX(CdP,2,i_P+0))/(INDEX(CdP,1,i_P+1)-INDEX(CdP,1,i_P+0))*(t-pas/2-T_ini-INDEX(CdP,1,i_P+0))+INDEX(CdP,2,i_P+0)</f>
        <v>0</v>
      </c>
      <c r="R512" s="419" t="n">
        <f aca="false">Poussee/(g*ISP)</f>
        <v>0</v>
      </c>
      <c r="S512" s="420" t="n">
        <f aca="false">S511-Débit*pas</f>
        <v>1.4843</v>
      </c>
      <c r="T512" s="418" t="n">
        <f aca="false">m*g</f>
        <v>14.560983</v>
      </c>
      <c r="U512" s="422" t="n">
        <f aca="false">IF(pos_xz&lt;L_rampe,Poids*COS(Beta),0)</f>
        <v>0</v>
      </c>
      <c r="V512" s="419" t="n">
        <f aca="false">Rho_moyen*(20000-Alt_rampe-pos_z)/(20000+Alt_rampe+pos_z)</f>
        <v>1.2256848441141</v>
      </c>
      <c r="W512" s="418" t="n">
        <f aca="false">1/2*Rho*Sref*Cx*vit_xz^2</f>
        <v>5.55732277148186</v>
      </c>
      <c r="X512" s="402"/>
      <c r="Y512" s="423" t="str">
        <f aca="false">IF(AND(pos_z&lt;=0,K511&gt;0),"Impact balistique","") &amp; IF(AND(H513&lt;0,vit_z&gt;=0),"Apogée","") &amp; IF(AND(Poussee=0,Q511&gt;0),"Fin de propulsion","") &amp; IF(AND(L513&gt;L_rampe,pos_xz&lt;=L_rampe),"Sortie de rampe","")</f>
        <v/>
      </c>
      <c r="Z512" s="424" t="str">
        <f aca="false">IF(ABS(t-T_para)&lt;pas/2,"Para","")</f>
        <v/>
      </c>
      <c r="AA512" s="425" t="str">
        <f aca="false">IF(ABS(t-T_satellite)&lt;pas/2,"Satellite","")</f>
        <v/>
      </c>
      <c r="AB512" s="413"/>
      <c r="AC512" s="421" t="e">
        <f aca="false">IF(ABS(t-ROUND(t,0))&lt;0.001,t,NA())</f>
        <v>#N/A</v>
      </c>
      <c r="AD512" s="426" t="e">
        <f aca="false">IF(ABS(t-ROUND(t,0))&lt;0.001,pos_x,NA())</f>
        <v>#N/A</v>
      </c>
      <c r="AE512" s="427" t="e">
        <f aca="false">IF(t&lt;T_para, pos_z, NA())</f>
        <v>#N/A</v>
      </c>
      <c r="AF512" s="413"/>
      <c r="AG512" s="419" t="n">
        <f aca="false">IF(AND(L511&lt;L_rampe,Poussee&lt;Poids*SIN(M511)),0,(-W511+Poussee)/m-Poids*SIN(M511)/m)</f>
        <v>5.96472326628303</v>
      </c>
      <c r="AH512" s="418" t="n">
        <f aca="false">IF(AND(L511&lt;L_rampe,Poussee&lt;Poids*SIN(M511)), g*SIN(M511), (-W511+Poussee)/m)</f>
        <v>-3.74400484344921</v>
      </c>
    </row>
    <row r="513" customFormat="false" ht="12" hidden="false" customHeight="false" outlineLevel="0" collapsed="false">
      <c r="A513" s="417" t="n">
        <f aca="false">IF(B512+0.01&lt;=T_ini+ROUNDUP(Temps_fin_propu,0), 0.01, IF(K512&gt;0, 0.1, 0.0001))</f>
        <v>0.0001</v>
      </c>
      <c r="B513" s="418" t="n">
        <f aca="false">B512+pas</f>
        <v>16.5163999999999</v>
      </c>
      <c r="C513" s="402"/>
      <c r="D513" s="419" t="n">
        <f aca="false">IF(AND(L512&lt;L_rampe,Poussee&lt;Poids*SIN(M512)),0,(-W512+Poussee)/m*COS(M512)-U512/m*SIN(M512))</f>
        <v>-0.536585908019715</v>
      </c>
      <c r="E513" s="420" t="n">
        <f aca="false">IF(AND(L512&lt;L_rampe,Poussee&lt;Poids*SIN(M512)),0,(-W512+Poussee)/m*SIN(M512)+U512/m*COS(M512)-Poids/m)</f>
        <v>-6.10458044671999</v>
      </c>
      <c r="F513" s="418" t="n">
        <f aca="false">SQRT(acc_x^2+acc_z^2)</f>
        <v>6.12811772628117</v>
      </c>
      <c r="G513" s="419" t="n">
        <f aca="false">G512+acc_x*pas</f>
        <v>10.2784373154091</v>
      </c>
      <c r="H513" s="420" t="n">
        <f aca="false">H512+acc_z*pas</f>
        <v>-70.9792195941462</v>
      </c>
      <c r="I513" s="418" t="n">
        <f aca="false">SQRT(vit_x^2+vit_z^2)</f>
        <v>71.7195641916543</v>
      </c>
      <c r="J513" s="419" t="n">
        <f aca="false">J512+0.5*(vit_x+G512)*pas*(K512&gt;=0)</f>
        <v>211.791153319536</v>
      </c>
      <c r="K513" s="420" t="n">
        <f aca="false">K512+0.5*(vit_z+H512)*pas</f>
        <v>-5.59609980448747</v>
      </c>
      <c r="L513" s="418" t="n">
        <f aca="false">SQRT(pos_x^2+pos_z^2)</f>
        <v>211.865072528345</v>
      </c>
      <c r="M513" s="419" t="n">
        <f aca="false">IF(AND(L512&gt;L_rampe,G513&gt;0),ATAN2(G513,H513),$M$4)</f>
        <v>-1.4269868735099</v>
      </c>
      <c r="N513" s="418" t="n">
        <f aca="false">DEGREES(Beta)</f>
        <v>-81.7603252726857</v>
      </c>
      <c r="O513" s="402"/>
      <c r="P513" s="421" t="n">
        <f aca="false">MATCH(t-pas/2-T_ini,CdP_t)</f>
        <v>23</v>
      </c>
      <c r="Q513" s="418" t="n">
        <f aca="false">(INDEX(CdP,2,i_P+1)-INDEX(CdP,2,i_P+0))/(INDEX(CdP,1,i_P+1)-INDEX(CdP,1,i_P+0))*(t-pas/2-T_ini-INDEX(CdP,1,i_P+0))+INDEX(CdP,2,i_P+0)</f>
        <v>0</v>
      </c>
      <c r="R513" s="419" t="n">
        <f aca="false">Poussee/(g*ISP)</f>
        <v>0</v>
      </c>
      <c r="S513" s="420" t="n">
        <f aca="false">S512-Débit*pas</f>
        <v>1.4843</v>
      </c>
      <c r="T513" s="418" t="n">
        <f aca="false">m*g</f>
        <v>14.560983</v>
      </c>
      <c r="U513" s="422" t="n">
        <f aca="false">IF(pos_xz&lt;L_rampe,Poids*COS(Beta),0)</f>
        <v>0</v>
      </c>
      <c r="V513" s="419" t="n">
        <f aca="false">Rho_moyen*(20000-Alt_rampe-pos_z)/(20000+Alt_rampe+pos_z)</f>
        <v>1.22568571409227</v>
      </c>
      <c r="W513" s="418" t="n">
        <f aca="false">1/2*Rho*Sref*Cx*vit_xz^2</f>
        <v>5.5574191538052</v>
      </c>
      <c r="X513" s="402"/>
      <c r="Y513" s="423" t="str">
        <f aca="false">IF(AND(pos_z&lt;=0,K512&gt;0),"Impact balistique","") &amp; IF(AND(H514&lt;0,vit_z&gt;=0),"Apogée","") &amp; IF(AND(Poussee=0,Q512&gt;0),"Fin de propulsion","") &amp; IF(AND(L514&gt;L_rampe,pos_xz&lt;=L_rampe),"Sortie de rampe","")</f>
        <v/>
      </c>
      <c r="Z513" s="424" t="str">
        <f aca="false">IF(ABS(t-T_para)&lt;pas/2,"Para","")</f>
        <v/>
      </c>
      <c r="AA513" s="425" t="str">
        <f aca="false">IF(ABS(t-T_satellite)&lt;pas/2,"Satellite","")</f>
        <v/>
      </c>
      <c r="AB513" s="413"/>
      <c r="AC513" s="421" t="e">
        <f aca="false">IF(ABS(t-ROUND(t,0))&lt;0.001,t,NA())</f>
        <v>#N/A</v>
      </c>
      <c r="AD513" s="426" t="e">
        <f aca="false">IF(ABS(t-ROUND(t,0))&lt;0.001,pos_x,NA())</f>
        <v>#N/A</v>
      </c>
      <c r="AE513" s="427" t="e">
        <f aca="false">IF(t&lt;T_para, pos_z, NA())</f>
        <v>#N/A</v>
      </c>
      <c r="AF513" s="413"/>
      <c r="AG513" s="419" t="n">
        <f aca="false">IF(AND(L512&lt;L_rampe,Poussee&lt;Poids*SIN(M512)),0,(-W512+Poussee)/m-Poids*SIN(M512)/m)</f>
        <v>5.9646610878885</v>
      </c>
      <c r="AH513" s="418" t="n">
        <f aca="false">IF(AND(L512&lt;L_rampe,Poussee&lt;Poids*SIN(M512)), g*SIN(M512), (-W512+Poussee)/m)</f>
        <v>-3.74406977799762</v>
      </c>
    </row>
    <row r="514" customFormat="false" ht="12" hidden="false" customHeight="false" outlineLevel="0" collapsed="false">
      <c r="A514" s="417" t="n">
        <f aca="false">IF(B513+0.01&lt;=T_ini+ROUNDUP(Temps_fin_propu,0), 0.01, IF(K513&gt;0, 0.1, 0.0001))</f>
        <v>0.0001</v>
      </c>
      <c r="B514" s="418" t="n">
        <f aca="false">B513+pas</f>
        <v>16.5164999999999</v>
      </c>
      <c r="C514" s="402"/>
      <c r="D514" s="419" t="n">
        <f aca="false">IF(AND(L513&lt;L_rampe,Poussee&lt;Poids*SIN(M513)),0,(-W513+Poussee)/m*COS(M513)-U513/m*SIN(M513))</f>
        <v>-0.536587950260355</v>
      </c>
      <c r="E514" s="420" t="n">
        <f aca="false">IF(AND(L513&lt;L_rampe,Poussee&lt;Poids*SIN(M513)),0,(-W513+Poussee)/m*SIN(M513)+U513/m*COS(M513)-Poids/m)</f>
        <v>-6.10451513062164</v>
      </c>
      <c r="F514" s="418" t="n">
        <f aca="false">SQRT(acc_x^2+acc_z^2)</f>
        <v>6.12805283987933</v>
      </c>
      <c r="G514" s="419" t="n">
        <f aca="false">G513+acc_x*pas</f>
        <v>10.2783836566141</v>
      </c>
      <c r="H514" s="420" t="n">
        <f aca="false">H513+acc_z*pas</f>
        <v>-70.9798300456592</v>
      </c>
      <c r="I514" s="418" t="n">
        <f aca="false">SQRT(vit_x^2+vit_z^2)</f>
        <v>71.720160651683</v>
      </c>
      <c r="J514" s="419" t="n">
        <f aca="false">J513+0.5*(vit_x+G513)*pas*(K513&gt;=0)</f>
        <v>211.791153319536</v>
      </c>
      <c r="K514" s="420" t="n">
        <f aca="false">K513+0.5*(vit_z+H513)*pas</f>
        <v>-5.60319775696946</v>
      </c>
      <c r="L514" s="418" t="n">
        <f aca="false">SQRT(pos_x^2+pos_z^2)</f>
        <v>211.865260128986</v>
      </c>
      <c r="M514" s="419" t="n">
        <f aca="false">IF(AND(L513&gt;L_rampe,G514&gt;0),ATAN2(G514,H514),$M$4)</f>
        <v>-1.42698883378581</v>
      </c>
      <c r="N514" s="418" t="n">
        <f aca="false">DEGREES(Beta)</f>
        <v>-81.7604375882222</v>
      </c>
      <c r="O514" s="402"/>
      <c r="P514" s="421" t="n">
        <f aca="false">MATCH(t-pas/2-T_ini,CdP_t)</f>
        <v>23</v>
      </c>
      <c r="Q514" s="418" t="n">
        <f aca="false">(INDEX(CdP,2,i_P+1)-INDEX(CdP,2,i_P+0))/(INDEX(CdP,1,i_P+1)-INDEX(CdP,1,i_P+0))*(t-pas/2-T_ini-INDEX(CdP,1,i_P+0))+INDEX(CdP,2,i_P+0)</f>
        <v>0</v>
      </c>
      <c r="R514" s="419" t="n">
        <f aca="false">Poussee/(g*ISP)</f>
        <v>0</v>
      </c>
      <c r="S514" s="420" t="n">
        <f aca="false">S513-Débit*pas</f>
        <v>1.4843</v>
      </c>
      <c r="T514" s="418" t="n">
        <f aca="false">m*g</f>
        <v>14.560983</v>
      </c>
      <c r="U514" s="422" t="n">
        <f aca="false">IF(pos_xz&lt;L_rampe,Poids*COS(Beta),0)</f>
        <v>0</v>
      </c>
      <c r="V514" s="419" t="n">
        <f aca="false">Rho_moyen*(20000-Alt_rampe-pos_z)/(20000+Alt_rampe+pos_z)</f>
        <v>1.22568658407855</v>
      </c>
      <c r="W514" s="418" t="n">
        <f aca="false">1/2*Rho*Sref*Cx*vit_xz^2</f>
        <v>5.55751553610163</v>
      </c>
      <c r="X514" s="402"/>
      <c r="Y514" s="423" t="str">
        <f aca="false">IF(AND(pos_z&lt;=0,K513&gt;0),"Impact balistique","") &amp; IF(AND(H515&lt;0,vit_z&gt;=0),"Apogée","") &amp; IF(AND(Poussee=0,Q513&gt;0),"Fin de propulsion","") &amp; IF(AND(L515&gt;L_rampe,pos_xz&lt;=L_rampe),"Sortie de rampe","")</f>
        <v/>
      </c>
      <c r="Z514" s="424" t="str">
        <f aca="false">IF(ABS(t-T_para)&lt;pas/2,"Para","")</f>
        <v/>
      </c>
      <c r="AA514" s="425" t="str">
        <f aca="false">IF(ABS(t-T_satellite)&lt;pas/2,"Satellite","")</f>
        <v/>
      </c>
      <c r="AB514" s="413"/>
      <c r="AC514" s="421" t="e">
        <f aca="false">IF(ABS(t-ROUND(t,0))&lt;0.001,t,NA())</f>
        <v>#N/A</v>
      </c>
      <c r="AD514" s="426" t="e">
        <f aca="false">IF(ABS(t-ROUND(t,0))&lt;0.001,pos_x,NA())</f>
        <v>#N/A</v>
      </c>
      <c r="AE514" s="427" t="e">
        <f aca="false">IF(t&lt;T_para, pos_z, NA())</f>
        <v>#N/A</v>
      </c>
      <c r="AF514" s="413"/>
      <c r="AG514" s="419" t="n">
        <f aca="false">IF(AND(L513&lt;L_rampe,Poussee&lt;Poids*SIN(M513)),0,(-W513+Poussee)/m-Poids*SIN(M513)/m)</f>
        <v>5.96459890941453</v>
      </c>
      <c r="AH514" s="418" t="n">
        <f aca="false">IF(AND(L513&lt;L_rampe,Poussee&lt;Poids*SIN(M513)), g*SIN(M513), (-W513+Poussee)/m)</f>
        <v>-3.74413471252793</v>
      </c>
    </row>
    <row r="515" customFormat="false" ht="12" hidden="false" customHeight="false" outlineLevel="0" collapsed="false">
      <c r="A515" s="417" t="n">
        <f aca="false">IF(B514+0.01&lt;=T_ini+ROUNDUP(Temps_fin_propu,0), 0.01, IF(K514&gt;0, 0.1, 0.0001))</f>
        <v>0.0001</v>
      </c>
      <c r="B515" s="418" t="n">
        <f aca="false">B514+pas</f>
        <v>16.5165999999999</v>
      </c>
      <c r="C515" s="402"/>
      <c r="D515" s="419" t="n">
        <f aca="false">IF(AND(L514&lt;L_rampe,Poussee&lt;Poids*SIN(M514)),0,(-W514+Poussee)/m*COS(M514)-U514/m*SIN(M514))</f>
        <v>-0.536589992403123</v>
      </c>
      <c r="E515" s="420" t="n">
        <f aca="false">IF(AND(L514&lt;L_rampe,Poussee&lt;Poids*SIN(M514)),0,(-W514+Poussee)/m*SIN(M514)+U514/m*COS(M514)-Poids/m)</f>
        <v>-6.10444981454196</v>
      </c>
      <c r="F515" s="418" t="n">
        <f aca="false">SQRT(acc_x^2+acc_z^2)</f>
        <v>6.12798795349735</v>
      </c>
      <c r="G515" s="419" t="n">
        <f aca="false">G514+acc_x*pas</f>
        <v>10.2783299976149</v>
      </c>
      <c r="H515" s="420" t="n">
        <f aca="false">H514+acc_z*pas</f>
        <v>-70.9804404906407</v>
      </c>
      <c r="I515" s="418" t="n">
        <f aca="false">SQRT(vit_x^2+vit_z^2)</f>
        <v>71.7207571054939</v>
      </c>
      <c r="J515" s="419" t="n">
        <f aca="false">J514+0.5*(vit_x+G514)*pas*(K514&gt;=0)</f>
        <v>211.791153319536</v>
      </c>
      <c r="K515" s="420" t="n">
        <f aca="false">K514+0.5*(vit_z+H514)*pas</f>
        <v>-5.61029577049627</v>
      </c>
      <c r="L515" s="418" t="n">
        <f aca="false">SQRT(pos_x^2+pos_z^2)</f>
        <v>211.865447968874</v>
      </c>
      <c r="M515" s="419" t="n">
        <f aca="false">IF(AND(L514&gt;L_rampe,G515&gt;0),ATAN2(G515,H515),$M$4)</f>
        <v>-1.42699079401888</v>
      </c>
      <c r="N515" s="418" t="n">
        <f aca="false">DEGREES(Beta)</f>
        <v>-81.7605499013042</v>
      </c>
      <c r="O515" s="402"/>
      <c r="P515" s="421" t="n">
        <f aca="false">MATCH(t-pas/2-T_ini,CdP_t)</f>
        <v>23</v>
      </c>
      <c r="Q515" s="418" t="n">
        <f aca="false">(INDEX(CdP,2,i_P+1)-INDEX(CdP,2,i_P+0))/(INDEX(CdP,1,i_P+1)-INDEX(CdP,1,i_P+0))*(t-pas/2-T_ini-INDEX(CdP,1,i_P+0))+INDEX(CdP,2,i_P+0)</f>
        <v>0</v>
      </c>
      <c r="R515" s="419" t="n">
        <f aca="false">Poussee/(g*ISP)</f>
        <v>0</v>
      </c>
      <c r="S515" s="420" t="n">
        <f aca="false">S514-Débit*pas</f>
        <v>1.4843</v>
      </c>
      <c r="T515" s="418" t="n">
        <f aca="false">m*g</f>
        <v>14.560983</v>
      </c>
      <c r="U515" s="422" t="n">
        <f aca="false">IF(pos_xz&lt;L_rampe,Poids*COS(Beta),0)</f>
        <v>0</v>
      </c>
      <c r="V515" s="419" t="n">
        <f aca="false">Rho_moyen*(20000-Alt_rampe-pos_z)/(20000+Alt_rampe+pos_z)</f>
        <v>1.22568745407292</v>
      </c>
      <c r="W515" s="418" t="n">
        <f aca="false">1/2*Rho*Sref*Cx*vit_xz^2</f>
        <v>5.55761191837113</v>
      </c>
      <c r="X515" s="402"/>
      <c r="Y515" s="423" t="str">
        <f aca="false">IF(AND(pos_z&lt;=0,K514&gt;0),"Impact balistique","") &amp; IF(AND(H516&lt;0,vit_z&gt;=0),"Apogée","") &amp; IF(AND(Poussee=0,Q514&gt;0),"Fin de propulsion","") &amp; IF(AND(L516&gt;L_rampe,pos_xz&lt;=L_rampe),"Sortie de rampe","")</f>
        <v/>
      </c>
      <c r="Z515" s="424" t="str">
        <f aca="false">IF(ABS(t-T_para)&lt;pas/2,"Para","")</f>
        <v/>
      </c>
      <c r="AA515" s="425" t="str">
        <f aca="false">IF(ABS(t-T_satellite)&lt;pas/2,"Satellite","")</f>
        <v/>
      </c>
      <c r="AB515" s="413"/>
      <c r="AC515" s="421" t="e">
        <f aca="false">IF(ABS(t-ROUND(t,0))&lt;0.001,t,NA())</f>
        <v>#N/A</v>
      </c>
      <c r="AD515" s="426" t="e">
        <f aca="false">IF(ABS(t-ROUND(t,0))&lt;0.001,pos_x,NA())</f>
        <v>#N/A</v>
      </c>
      <c r="AE515" s="427" t="e">
        <f aca="false">IF(t&lt;T_para, pos_z, NA())</f>
        <v>#N/A</v>
      </c>
      <c r="AF515" s="413"/>
      <c r="AG515" s="419" t="n">
        <f aca="false">IF(AND(L514&lt;L_rampe,Poussee&lt;Poids*SIN(M514)),0,(-W514+Poussee)/m-Poids*SIN(M514)/m)</f>
        <v>5.96453673086115</v>
      </c>
      <c r="AH515" s="418" t="n">
        <f aca="false">IF(AND(L514&lt;L_rampe,Poussee&lt;Poids*SIN(M514)), g*SIN(M514), (-W514+Poussee)/m)</f>
        <v>-3.74419964704011</v>
      </c>
    </row>
    <row r="516" customFormat="false" ht="12" hidden="false" customHeight="false" outlineLevel="0" collapsed="false">
      <c r="A516" s="417" t="n">
        <f aca="false">IF(B515+0.01&lt;=T_ini+ROUNDUP(Temps_fin_propu,0), 0.01, IF(K515&gt;0, 0.1, 0.0001))</f>
        <v>0.0001</v>
      </c>
      <c r="B516" s="418" t="n">
        <f aca="false">B515+pas</f>
        <v>16.5166999999999</v>
      </c>
      <c r="C516" s="402"/>
      <c r="D516" s="419" t="n">
        <f aca="false">IF(AND(L515&lt;L_rampe,Poussee&lt;Poids*SIN(M515)),0,(-W515+Poussee)/m*COS(M515)-U515/m*SIN(M515))</f>
        <v>-0.536592034448021</v>
      </c>
      <c r="E516" s="420" t="n">
        <f aca="false">IF(AND(L515&lt;L_rampe,Poussee&lt;Poids*SIN(M515)),0,(-W515+Poussee)/m*SIN(M515)+U515/m*COS(M515)-Poids/m)</f>
        <v>-6.10438449848099</v>
      </c>
      <c r="F516" s="418" t="n">
        <f aca="false">SQRT(acc_x^2+acc_z^2)</f>
        <v>6.12792306713523</v>
      </c>
      <c r="G516" s="419" t="n">
        <f aca="false">G515+acc_x*pas</f>
        <v>10.2782763384114</v>
      </c>
      <c r="H516" s="420" t="n">
        <f aca="false">H515+acc_z*pas</f>
        <v>-70.9810509290905</v>
      </c>
      <c r="I516" s="418" t="n">
        <f aca="false">SQRT(vit_x^2+vit_z^2)</f>
        <v>71.7213535530869</v>
      </c>
      <c r="J516" s="419" t="n">
        <f aca="false">J515+0.5*(vit_x+G515)*pas*(K515&gt;=0)</f>
        <v>211.791153319536</v>
      </c>
      <c r="K516" s="420" t="n">
        <f aca="false">K515+0.5*(vit_z+H515)*pas</f>
        <v>-5.61739384506726</v>
      </c>
      <c r="L516" s="418" t="n">
        <f aca="false">SQRT(pos_x^2+pos_z^2)</f>
        <v>211.865636048015</v>
      </c>
      <c r="M516" s="419" t="n">
        <f aca="false">IF(AND(L515&gt;L_rampe,G516&gt;0),ATAN2(G516,H516),$M$4)</f>
        <v>-1.42699275420912</v>
      </c>
      <c r="N516" s="418" t="n">
        <f aca="false">DEGREES(Beta)</f>
        <v>-81.7606622119318</v>
      </c>
      <c r="O516" s="402"/>
      <c r="P516" s="421" t="n">
        <f aca="false">MATCH(t-pas/2-T_ini,CdP_t)</f>
        <v>23</v>
      </c>
      <c r="Q516" s="418" t="n">
        <f aca="false">(INDEX(CdP,2,i_P+1)-INDEX(CdP,2,i_P+0))/(INDEX(CdP,1,i_P+1)-INDEX(CdP,1,i_P+0))*(t-pas/2-T_ini-INDEX(CdP,1,i_P+0))+INDEX(CdP,2,i_P+0)</f>
        <v>0</v>
      </c>
      <c r="R516" s="419" t="n">
        <f aca="false">Poussee/(g*ISP)</f>
        <v>0</v>
      </c>
      <c r="S516" s="420" t="n">
        <f aca="false">S515-Débit*pas</f>
        <v>1.4843</v>
      </c>
      <c r="T516" s="418" t="n">
        <f aca="false">m*g</f>
        <v>14.560983</v>
      </c>
      <c r="U516" s="422" t="n">
        <f aca="false">IF(pos_xz&lt;L_rampe,Poids*COS(Beta),0)</f>
        <v>0</v>
      </c>
      <c r="V516" s="419" t="n">
        <f aca="false">Rho_moyen*(20000-Alt_rampe-pos_z)/(20000+Alt_rampe+pos_z)</f>
        <v>1.22568832407539</v>
      </c>
      <c r="W516" s="418" t="n">
        <f aca="false">1/2*Rho*Sref*Cx*vit_xz^2</f>
        <v>5.55770830061368</v>
      </c>
      <c r="X516" s="402"/>
      <c r="Y516" s="423" t="str">
        <f aca="false">IF(AND(pos_z&lt;=0,K515&gt;0),"Impact balistique","") &amp; IF(AND(H517&lt;0,vit_z&gt;=0),"Apogée","") &amp; IF(AND(Poussee=0,Q515&gt;0),"Fin de propulsion","") &amp; IF(AND(L517&gt;L_rampe,pos_xz&lt;=L_rampe),"Sortie de rampe","")</f>
        <v/>
      </c>
      <c r="Z516" s="424" t="str">
        <f aca="false">IF(ABS(t-T_para)&lt;pas/2,"Para","")</f>
        <v/>
      </c>
      <c r="AA516" s="425" t="str">
        <f aca="false">IF(ABS(t-T_satellite)&lt;pas/2,"Satellite","")</f>
        <v/>
      </c>
      <c r="AB516" s="413"/>
      <c r="AC516" s="421" t="e">
        <f aca="false">IF(ABS(t-ROUND(t,0))&lt;0.001,t,NA())</f>
        <v>#N/A</v>
      </c>
      <c r="AD516" s="426" t="e">
        <f aca="false">IF(ABS(t-ROUND(t,0))&lt;0.001,pos_x,NA())</f>
        <v>#N/A</v>
      </c>
      <c r="AE516" s="427" t="e">
        <f aca="false">IF(t&lt;T_para, pos_z, NA())</f>
        <v>#N/A</v>
      </c>
      <c r="AF516" s="413"/>
      <c r="AG516" s="419" t="n">
        <f aca="false">IF(AND(L515&lt;L_rampe,Poussee&lt;Poids*SIN(M515)),0,(-W515+Poussee)/m-Poids*SIN(M515)/m)</f>
        <v>5.96447455222838</v>
      </c>
      <c r="AH516" s="418" t="n">
        <f aca="false">IF(AND(L515&lt;L_rampe,Poussee&lt;Poids*SIN(M515)), g*SIN(M515), (-W515+Poussee)/m)</f>
        <v>-3.74426458153415</v>
      </c>
    </row>
    <row r="517" customFormat="false" ht="12" hidden="false" customHeight="false" outlineLevel="0" collapsed="false">
      <c r="A517" s="417" t="n">
        <f aca="false">IF(B516+0.01&lt;=T_ini+ROUNDUP(Temps_fin_propu,0), 0.01, IF(K516&gt;0, 0.1, 0.0001))</f>
        <v>0.0001</v>
      </c>
      <c r="B517" s="418" t="n">
        <f aca="false">B516+pas</f>
        <v>16.5167999999999</v>
      </c>
      <c r="C517" s="402"/>
      <c r="D517" s="419" t="n">
        <f aca="false">IF(AND(L516&lt;L_rampe,Poussee&lt;Poids*SIN(M516)),0,(-W516+Poussee)/m*COS(M516)-U516/m*SIN(M516))</f>
        <v>-0.536594076395048</v>
      </c>
      <c r="E517" s="420" t="n">
        <f aca="false">IF(AND(L516&lt;L_rampe,Poussee&lt;Poids*SIN(M516)),0,(-W516+Poussee)/m*SIN(M516)+U516/m*COS(M516)-Poids/m)</f>
        <v>-6.10431918243872</v>
      </c>
      <c r="F517" s="418" t="n">
        <f aca="false">SQRT(acc_x^2+acc_z^2)</f>
        <v>6.12785818079299</v>
      </c>
      <c r="G517" s="419" t="n">
        <f aca="false">G516+acc_x*pas</f>
        <v>10.2782226790038</v>
      </c>
      <c r="H517" s="420" t="n">
        <f aca="false">H516+acc_z*pas</f>
        <v>-70.9816613610088</v>
      </c>
      <c r="I517" s="418" t="n">
        <f aca="false">SQRT(vit_x^2+vit_z^2)</f>
        <v>71.7219499944621</v>
      </c>
      <c r="J517" s="419" t="n">
        <f aca="false">J516+0.5*(vit_x+G516)*pas*(K516&gt;=0)</f>
        <v>211.791153319536</v>
      </c>
      <c r="K517" s="420" t="n">
        <f aca="false">K516+0.5*(vit_z+H516)*pas</f>
        <v>-5.62449198068176</v>
      </c>
      <c r="L517" s="418" t="n">
        <f aca="false">SQRT(pos_x^2+pos_z^2)</f>
        <v>211.865824366414</v>
      </c>
      <c r="M517" s="419" t="n">
        <f aca="false">IF(AND(L516&gt;L_rampe,G517&gt;0),ATAN2(G517,H517),$M$4)</f>
        <v>-1.42699471435652</v>
      </c>
      <c r="N517" s="418" t="n">
        <f aca="false">DEGREES(Beta)</f>
        <v>-81.7607745201052</v>
      </c>
      <c r="O517" s="402"/>
      <c r="P517" s="421" t="n">
        <f aca="false">MATCH(t-pas/2-T_ini,CdP_t)</f>
        <v>23</v>
      </c>
      <c r="Q517" s="418" t="n">
        <f aca="false">(INDEX(CdP,2,i_P+1)-INDEX(CdP,2,i_P+0))/(INDEX(CdP,1,i_P+1)-INDEX(CdP,1,i_P+0))*(t-pas/2-T_ini-INDEX(CdP,1,i_P+0))+INDEX(CdP,2,i_P+0)</f>
        <v>0</v>
      </c>
      <c r="R517" s="419" t="n">
        <f aca="false">Poussee/(g*ISP)</f>
        <v>0</v>
      </c>
      <c r="S517" s="420" t="n">
        <f aca="false">S516-Débit*pas</f>
        <v>1.4843</v>
      </c>
      <c r="T517" s="418" t="n">
        <f aca="false">m*g</f>
        <v>14.560983</v>
      </c>
      <c r="U517" s="422" t="n">
        <f aca="false">IF(pos_xz&lt;L_rampe,Poids*COS(Beta),0)</f>
        <v>0</v>
      </c>
      <c r="V517" s="419" t="n">
        <f aca="false">Rho_moyen*(20000-Alt_rampe-pos_z)/(20000+Alt_rampe+pos_z)</f>
        <v>1.22568919408596</v>
      </c>
      <c r="W517" s="418" t="n">
        <f aca="false">1/2*Rho*Sref*Cx*vit_xz^2</f>
        <v>5.55780468282925</v>
      </c>
      <c r="X517" s="402"/>
      <c r="Y517" s="423" t="str">
        <f aca="false">IF(AND(pos_z&lt;=0,K516&gt;0),"Impact balistique","") &amp; IF(AND(H518&lt;0,vit_z&gt;=0),"Apogée","") &amp; IF(AND(Poussee=0,Q516&gt;0),"Fin de propulsion","") &amp; IF(AND(L518&gt;L_rampe,pos_xz&lt;=L_rampe),"Sortie de rampe","")</f>
        <v/>
      </c>
      <c r="Z517" s="424" t="str">
        <f aca="false">IF(ABS(t-T_para)&lt;pas/2,"Para","")</f>
        <v/>
      </c>
      <c r="AA517" s="425" t="str">
        <f aca="false">IF(ABS(t-T_satellite)&lt;pas/2,"Satellite","")</f>
        <v/>
      </c>
      <c r="AB517" s="413"/>
      <c r="AC517" s="421" t="e">
        <f aca="false">IF(ABS(t-ROUND(t,0))&lt;0.001,t,NA())</f>
        <v>#N/A</v>
      </c>
      <c r="AD517" s="426" t="e">
        <f aca="false">IF(ABS(t-ROUND(t,0))&lt;0.001,pos_x,NA())</f>
        <v>#N/A</v>
      </c>
      <c r="AE517" s="427" t="e">
        <f aca="false">IF(t&lt;T_para, pos_z, NA())</f>
        <v>#N/A</v>
      </c>
      <c r="AF517" s="413"/>
      <c r="AG517" s="419" t="n">
        <f aca="false">IF(AND(L516&lt;L_rampe,Poussee&lt;Poids*SIN(M516)),0,(-W516+Poussee)/m-Poids*SIN(M516)/m)</f>
        <v>5.96441237351623</v>
      </c>
      <c r="AH517" s="418" t="n">
        <f aca="false">IF(AND(L516&lt;L_rampe,Poussee&lt;Poids*SIN(M516)), g*SIN(M516), (-W516+Poussee)/m)</f>
        <v>-3.74432951601003</v>
      </c>
    </row>
    <row r="518" customFormat="false" ht="12" hidden="false" customHeight="false" outlineLevel="0" collapsed="false">
      <c r="A518" s="417" t="n">
        <f aca="false">IF(B517+0.01&lt;=T_ini+ROUNDUP(Temps_fin_propu,0), 0.01, IF(K517&gt;0, 0.1, 0.0001))</f>
        <v>0.0001</v>
      </c>
      <c r="B518" s="418" t="n">
        <f aca="false">B517+pas</f>
        <v>16.5168999999999</v>
      </c>
      <c r="C518" s="402"/>
      <c r="D518" s="419" t="n">
        <f aca="false">IF(AND(L517&lt;L_rampe,Poussee&lt;Poids*SIN(M517)),0,(-W517+Poussee)/m*COS(M517)-U517/m*SIN(M517))</f>
        <v>-0.536596118244206</v>
      </c>
      <c r="E518" s="420" t="n">
        <f aca="false">IF(AND(L517&lt;L_rampe,Poussee&lt;Poids*SIN(M517)),0,(-W517+Poussee)/m*SIN(M517)+U517/m*COS(M517)-Poids/m)</f>
        <v>-6.10425386641518</v>
      </c>
      <c r="F518" s="418" t="n">
        <f aca="false">SQRT(acc_x^2+acc_z^2)</f>
        <v>6.12779329447065</v>
      </c>
      <c r="G518" s="419" t="n">
        <f aca="false">G517+acc_x*pas</f>
        <v>10.278169019392</v>
      </c>
      <c r="H518" s="420" t="n">
        <f aca="false">H517+acc_z*pas</f>
        <v>-70.9822717863954</v>
      </c>
      <c r="I518" s="418" t="n">
        <f aca="false">SQRT(vit_x^2+vit_z^2)</f>
        <v>71.7225464296193</v>
      </c>
      <c r="J518" s="419" t="n">
        <f aca="false">J517+0.5*(vit_x+G517)*pas*(K517&gt;=0)</f>
        <v>211.791153319536</v>
      </c>
      <c r="K518" s="420" t="n">
        <f aca="false">K517+0.5*(vit_z+H517)*pas</f>
        <v>-5.63159017733913</v>
      </c>
      <c r="L518" s="418" t="n">
        <f aca="false">SQRT(pos_x^2+pos_z^2)</f>
        <v>211.866012924076</v>
      </c>
      <c r="M518" s="419" t="n">
        <f aca="false">IF(AND(L517&gt;L_rampe,G518&gt;0),ATAN2(G518,H518),$M$4)</f>
        <v>-1.42699667446109</v>
      </c>
      <c r="N518" s="418" t="n">
        <f aca="false">DEGREES(Beta)</f>
        <v>-81.7608868258243</v>
      </c>
      <c r="O518" s="402"/>
      <c r="P518" s="421" t="n">
        <f aca="false">MATCH(t-pas/2-T_ini,CdP_t)</f>
        <v>23</v>
      </c>
      <c r="Q518" s="418" t="n">
        <f aca="false">(INDEX(CdP,2,i_P+1)-INDEX(CdP,2,i_P+0))/(INDEX(CdP,1,i_P+1)-INDEX(CdP,1,i_P+0))*(t-pas/2-T_ini-INDEX(CdP,1,i_P+0))+INDEX(CdP,2,i_P+0)</f>
        <v>0</v>
      </c>
      <c r="R518" s="419" t="n">
        <f aca="false">Poussee/(g*ISP)</f>
        <v>0</v>
      </c>
      <c r="S518" s="420" t="n">
        <f aca="false">S517-Débit*pas</f>
        <v>1.4843</v>
      </c>
      <c r="T518" s="418" t="n">
        <f aca="false">m*g</f>
        <v>14.560983</v>
      </c>
      <c r="U518" s="422" t="n">
        <f aca="false">IF(pos_xz&lt;L_rampe,Poids*COS(Beta),0)</f>
        <v>0</v>
      </c>
      <c r="V518" s="419" t="n">
        <f aca="false">Rho_moyen*(20000-Alt_rampe-pos_z)/(20000+Alt_rampe+pos_z)</f>
        <v>1.22569006410464</v>
      </c>
      <c r="W518" s="418" t="n">
        <f aca="false">1/2*Rho*Sref*Cx*vit_xz^2</f>
        <v>5.55790106501783</v>
      </c>
      <c r="X518" s="402"/>
      <c r="Y518" s="423" t="str">
        <f aca="false">IF(AND(pos_z&lt;=0,K517&gt;0),"Impact balistique","") &amp; IF(AND(H519&lt;0,vit_z&gt;=0),"Apogée","") &amp; IF(AND(Poussee=0,Q517&gt;0),"Fin de propulsion","") &amp; IF(AND(L519&gt;L_rampe,pos_xz&lt;=L_rampe),"Sortie de rampe","")</f>
        <v/>
      </c>
      <c r="Z518" s="424" t="str">
        <f aca="false">IF(ABS(t-T_para)&lt;pas/2,"Para","")</f>
        <v/>
      </c>
      <c r="AA518" s="425" t="str">
        <f aca="false">IF(ABS(t-T_satellite)&lt;pas/2,"Satellite","")</f>
        <v/>
      </c>
      <c r="AB518" s="413"/>
      <c r="AC518" s="421" t="e">
        <f aca="false">IF(ABS(t-ROUND(t,0))&lt;0.001,t,NA())</f>
        <v>#N/A</v>
      </c>
      <c r="AD518" s="426" t="e">
        <f aca="false">IF(ABS(t-ROUND(t,0))&lt;0.001,pos_x,NA())</f>
        <v>#N/A</v>
      </c>
      <c r="AE518" s="427" t="e">
        <f aca="false">IF(t&lt;T_para, pos_z, NA())</f>
        <v>#N/A</v>
      </c>
      <c r="AF518" s="413"/>
      <c r="AG518" s="419" t="n">
        <f aca="false">IF(AND(L517&lt;L_rampe,Poussee&lt;Poids*SIN(M517)),0,(-W517+Poussee)/m-Poids*SIN(M517)/m)</f>
        <v>5.96435019472474</v>
      </c>
      <c r="AH518" s="418" t="n">
        <f aca="false">IF(AND(L517&lt;L_rampe,Poussee&lt;Poids*SIN(M517)), g*SIN(M517), (-W517+Poussee)/m)</f>
        <v>-3.74439445046774</v>
      </c>
    </row>
    <row r="519" customFormat="false" ht="12" hidden="false" customHeight="false" outlineLevel="0" collapsed="false">
      <c r="A519" s="417" t="n">
        <f aca="false">IF(B518+0.01&lt;=T_ini+ROUNDUP(Temps_fin_propu,0), 0.01, IF(K518&gt;0, 0.1, 0.0001))</f>
        <v>0.0001</v>
      </c>
      <c r="B519" s="418" t="n">
        <f aca="false">B518+pas</f>
        <v>16.5169999999999</v>
      </c>
      <c r="C519" s="402"/>
      <c r="D519" s="419" t="n">
        <f aca="false">IF(AND(L518&lt;L_rampe,Poussee&lt;Poids*SIN(M518)),0,(-W518+Poussee)/m*COS(M518)-U518/m*SIN(M518))</f>
        <v>-0.536598159995495</v>
      </c>
      <c r="E519" s="420" t="n">
        <f aca="false">IF(AND(L518&lt;L_rampe,Poussee&lt;Poids*SIN(M518)),0,(-W518+Poussee)/m*SIN(M518)+U518/m*COS(M518)-Poids/m)</f>
        <v>-6.10418855041039</v>
      </c>
      <c r="F519" s="418" t="n">
        <f aca="false">SQRT(acc_x^2+acc_z^2)</f>
        <v>6.12772840816822</v>
      </c>
      <c r="G519" s="419" t="n">
        <f aca="false">G518+acc_x*pas</f>
        <v>10.278115359576</v>
      </c>
      <c r="H519" s="420" t="n">
        <f aca="false">H518+acc_z*pas</f>
        <v>-70.9828822052505</v>
      </c>
      <c r="I519" s="418" t="n">
        <f aca="false">SQRT(vit_x^2+vit_z^2)</f>
        <v>71.7231428585587</v>
      </c>
      <c r="J519" s="419" t="n">
        <f aca="false">J518+0.5*(vit_x+G518)*pas*(K518&gt;=0)</f>
        <v>211.791153319536</v>
      </c>
      <c r="K519" s="420" t="n">
        <f aca="false">K518+0.5*(vit_z+H518)*pas</f>
        <v>-5.63868843503872</v>
      </c>
      <c r="L519" s="418" t="n">
        <f aca="false">SQRT(pos_x^2+pos_z^2)</f>
        <v>211.866201721008</v>
      </c>
      <c r="M519" s="419" t="n">
        <f aca="false">IF(AND(L518&gt;L_rampe,G519&gt;0),ATAN2(G519,H519),$M$4)</f>
        <v>-1.42699863452283</v>
      </c>
      <c r="N519" s="418" t="n">
        <f aca="false">DEGREES(Beta)</f>
        <v>-81.7609991290894</v>
      </c>
      <c r="O519" s="402"/>
      <c r="P519" s="421" t="n">
        <f aca="false">MATCH(t-pas/2-T_ini,CdP_t)</f>
        <v>23</v>
      </c>
      <c r="Q519" s="418" t="n">
        <f aca="false">(INDEX(CdP,2,i_P+1)-INDEX(CdP,2,i_P+0))/(INDEX(CdP,1,i_P+1)-INDEX(CdP,1,i_P+0))*(t-pas/2-T_ini-INDEX(CdP,1,i_P+0))+INDEX(CdP,2,i_P+0)</f>
        <v>0</v>
      </c>
      <c r="R519" s="419" t="n">
        <f aca="false">Poussee/(g*ISP)</f>
        <v>0</v>
      </c>
      <c r="S519" s="420" t="n">
        <f aca="false">S518-Débit*pas</f>
        <v>1.4843</v>
      </c>
      <c r="T519" s="418" t="n">
        <f aca="false">m*g</f>
        <v>14.560983</v>
      </c>
      <c r="U519" s="422" t="n">
        <f aca="false">IF(pos_xz&lt;L_rampe,Poids*COS(Beta),0)</f>
        <v>0</v>
      </c>
      <c r="V519" s="419" t="n">
        <f aca="false">Rho_moyen*(20000-Alt_rampe-pos_z)/(20000+Alt_rampe+pos_z)</f>
        <v>1.22569093413141</v>
      </c>
      <c r="W519" s="418" t="n">
        <f aca="false">1/2*Rho*Sref*Cx*vit_xz^2</f>
        <v>5.55799744717938</v>
      </c>
      <c r="X519" s="402"/>
      <c r="Y519" s="423" t="str">
        <f aca="false">IF(AND(pos_z&lt;=0,K518&gt;0),"Impact balistique","") &amp; IF(AND(H520&lt;0,vit_z&gt;=0),"Apogée","") &amp; IF(AND(Poussee=0,Q518&gt;0),"Fin de propulsion","") &amp; IF(AND(L520&gt;L_rampe,pos_xz&lt;=L_rampe),"Sortie de rampe","")</f>
        <v/>
      </c>
      <c r="Z519" s="424" t="str">
        <f aca="false">IF(ABS(t-T_para)&lt;pas/2,"Para","")</f>
        <v/>
      </c>
      <c r="AA519" s="425" t="str">
        <f aca="false">IF(ABS(t-T_satellite)&lt;pas/2,"Satellite","")</f>
        <v/>
      </c>
      <c r="AB519" s="413"/>
      <c r="AC519" s="421" t="e">
        <f aca="false">IF(ABS(t-ROUND(t,0))&lt;0.001,t,NA())</f>
        <v>#N/A</v>
      </c>
      <c r="AD519" s="426" t="e">
        <f aca="false">IF(ABS(t-ROUND(t,0))&lt;0.001,pos_x,NA())</f>
        <v>#N/A</v>
      </c>
      <c r="AE519" s="427" t="e">
        <f aca="false">IF(t&lt;T_para, pos_z, NA())</f>
        <v>#N/A</v>
      </c>
      <c r="AF519" s="413"/>
      <c r="AG519" s="419" t="n">
        <f aca="false">IF(AND(L518&lt;L_rampe,Poussee&lt;Poids*SIN(M518)),0,(-W518+Poussee)/m-Poids*SIN(M518)/m)</f>
        <v>5.96428801585392</v>
      </c>
      <c r="AH519" s="418" t="n">
        <f aca="false">IF(AND(L518&lt;L_rampe,Poussee&lt;Poids*SIN(M518)), g*SIN(M518), (-W518+Poussee)/m)</f>
        <v>-3.74445938490725</v>
      </c>
    </row>
    <row r="520" customFormat="false" ht="12" hidden="false" customHeight="false" outlineLevel="0" collapsed="false">
      <c r="A520" s="417" t="n">
        <f aca="false">IF(B519+0.01&lt;=T_ini+ROUNDUP(Temps_fin_propu,0), 0.01, IF(K519&gt;0, 0.1, 0.0001))</f>
        <v>0.0001</v>
      </c>
      <c r="B520" s="418" t="n">
        <f aca="false">B519+pas</f>
        <v>16.5170999999999</v>
      </c>
      <c r="C520" s="402"/>
      <c r="D520" s="419" t="n">
        <f aca="false">IF(AND(L519&lt;L_rampe,Poussee&lt;Poids*SIN(M519)),0,(-W519+Poussee)/m*COS(M519)-U519/m*SIN(M519))</f>
        <v>-0.536600201648916</v>
      </c>
      <c r="E520" s="420" t="n">
        <f aca="false">IF(AND(L519&lt;L_rampe,Poussee&lt;Poids*SIN(M519)),0,(-W519+Poussee)/m*SIN(M519)+U519/m*COS(M519)-Poids/m)</f>
        <v>-6.10412323442436</v>
      </c>
      <c r="F520" s="418" t="n">
        <f aca="false">SQRT(acc_x^2+acc_z^2)</f>
        <v>6.12766352188572</v>
      </c>
      <c r="G520" s="419" t="n">
        <f aca="false">G519+acc_x*pas</f>
        <v>10.2780616995558</v>
      </c>
      <c r="H520" s="420" t="n">
        <f aca="false">H519+acc_z*pas</f>
        <v>-70.9834926175739</v>
      </c>
      <c r="I520" s="418" t="n">
        <f aca="false">SQRT(vit_x^2+vit_z^2)</f>
        <v>71.7237392812801</v>
      </c>
      <c r="J520" s="419" t="n">
        <f aca="false">J519+0.5*(vit_x+G519)*pas*(K519&gt;=0)</f>
        <v>211.791153319536</v>
      </c>
      <c r="K520" s="420" t="n">
        <f aca="false">K519+0.5*(vit_z+H519)*pas</f>
        <v>-5.64578675377986</v>
      </c>
      <c r="L520" s="418" t="n">
        <f aca="false">SQRT(pos_x^2+pos_z^2)</f>
        <v>211.866390757214</v>
      </c>
      <c r="M520" s="419" t="n">
        <f aca="false">IF(AND(L519&gt;L_rampe,G520&gt;0),ATAN2(G520,H520),$M$4)</f>
        <v>-1.42700059454173</v>
      </c>
      <c r="N520" s="418" t="n">
        <f aca="false">DEGREES(Beta)</f>
        <v>-81.7611114299004</v>
      </c>
      <c r="O520" s="402"/>
      <c r="P520" s="421" t="n">
        <f aca="false">MATCH(t-pas/2-T_ini,CdP_t)</f>
        <v>23</v>
      </c>
      <c r="Q520" s="418" t="n">
        <f aca="false">(INDEX(CdP,2,i_P+1)-INDEX(CdP,2,i_P+0))/(INDEX(CdP,1,i_P+1)-INDEX(CdP,1,i_P+0))*(t-pas/2-T_ini-INDEX(CdP,1,i_P+0))+INDEX(CdP,2,i_P+0)</f>
        <v>0</v>
      </c>
      <c r="R520" s="419" t="n">
        <f aca="false">Poussee/(g*ISP)</f>
        <v>0</v>
      </c>
      <c r="S520" s="420" t="n">
        <f aca="false">S519-Débit*pas</f>
        <v>1.4843</v>
      </c>
      <c r="T520" s="418" t="n">
        <f aca="false">m*g</f>
        <v>14.560983</v>
      </c>
      <c r="U520" s="422" t="n">
        <f aca="false">IF(pos_xz&lt;L_rampe,Poids*COS(Beta),0)</f>
        <v>0</v>
      </c>
      <c r="V520" s="419" t="n">
        <f aca="false">Rho_moyen*(20000-Alt_rampe-pos_z)/(20000+Alt_rampe+pos_z)</f>
        <v>1.22569180416628</v>
      </c>
      <c r="W520" s="418" t="n">
        <f aca="false">1/2*Rho*Sref*Cx*vit_xz^2</f>
        <v>5.55809382931388</v>
      </c>
      <c r="X520" s="402"/>
      <c r="Y520" s="423" t="str">
        <f aca="false">IF(AND(pos_z&lt;=0,K519&gt;0),"Impact balistique","") &amp; IF(AND(H521&lt;0,vit_z&gt;=0),"Apogée","") &amp; IF(AND(Poussee=0,Q519&gt;0),"Fin de propulsion","") &amp; IF(AND(L521&gt;L_rampe,pos_xz&lt;=L_rampe),"Sortie de rampe","")</f>
        <v/>
      </c>
      <c r="Z520" s="424" t="str">
        <f aca="false">IF(ABS(t-T_para)&lt;pas/2,"Para","")</f>
        <v/>
      </c>
      <c r="AA520" s="425" t="str">
        <f aca="false">IF(ABS(t-T_satellite)&lt;pas/2,"Satellite","")</f>
        <v/>
      </c>
      <c r="AB520" s="413"/>
      <c r="AC520" s="421" t="e">
        <f aca="false">IF(ABS(t-ROUND(t,0))&lt;0.001,t,NA())</f>
        <v>#N/A</v>
      </c>
      <c r="AD520" s="426" t="e">
        <f aca="false">IF(ABS(t-ROUND(t,0))&lt;0.001,pos_x,NA())</f>
        <v>#N/A</v>
      </c>
      <c r="AE520" s="427" t="e">
        <f aca="false">IF(t&lt;T_para, pos_z, NA())</f>
        <v>#N/A</v>
      </c>
      <c r="AF520" s="413"/>
      <c r="AG520" s="419" t="n">
        <f aca="false">IF(AND(L519&lt;L_rampe,Poussee&lt;Poids*SIN(M519)),0,(-W519+Poussee)/m-Poids*SIN(M519)/m)</f>
        <v>5.96422583690379</v>
      </c>
      <c r="AH520" s="418" t="n">
        <f aca="false">IF(AND(L519&lt;L_rampe,Poussee&lt;Poids*SIN(M519)), g*SIN(M519), (-W519+Poussee)/m)</f>
        <v>-3.74452431932856</v>
      </c>
    </row>
    <row r="521" customFormat="false" ht="12" hidden="false" customHeight="false" outlineLevel="0" collapsed="false">
      <c r="A521" s="417" t="n">
        <f aca="false">IF(B520+0.01&lt;=T_ini+ROUNDUP(Temps_fin_propu,0), 0.01, IF(K520&gt;0, 0.1, 0.0001))</f>
        <v>0.0001</v>
      </c>
      <c r="B521" s="418" t="n">
        <f aca="false">B520+pas</f>
        <v>16.5171999999999</v>
      </c>
      <c r="C521" s="402"/>
      <c r="D521" s="419" t="n">
        <f aca="false">IF(AND(L520&lt;L_rampe,Poussee&lt;Poids*SIN(M520)),0,(-W520+Poussee)/m*COS(M520)-U520/m*SIN(M520))</f>
        <v>-0.53660224320447</v>
      </c>
      <c r="E521" s="420" t="n">
        <f aca="false">IF(AND(L520&lt;L_rampe,Poussee&lt;Poids*SIN(M520)),0,(-W520+Poussee)/m*SIN(M520)+U520/m*COS(M520)-Poids/m)</f>
        <v>-6.10405791845711</v>
      </c>
      <c r="F521" s="418" t="n">
        <f aca="false">SQRT(acc_x^2+acc_z^2)</f>
        <v>6.12759863562317</v>
      </c>
      <c r="G521" s="419" t="n">
        <f aca="false">G520+acc_x*pas</f>
        <v>10.2780080393315</v>
      </c>
      <c r="H521" s="420" t="n">
        <f aca="false">H520+acc_z*pas</f>
        <v>-70.9841030233658</v>
      </c>
      <c r="I521" s="418" t="n">
        <f aca="false">SQRT(vit_x^2+vit_z^2)</f>
        <v>71.7243356977837</v>
      </c>
      <c r="J521" s="419" t="n">
        <f aca="false">J520+0.5*(vit_x+G520)*pas*(K520&gt;=0)</f>
        <v>211.791153319536</v>
      </c>
      <c r="K521" s="420" t="n">
        <f aca="false">K520+0.5*(vit_z+H520)*pas</f>
        <v>-5.6528851335619</v>
      </c>
      <c r="L521" s="418" t="n">
        <f aca="false">SQRT(pos_x^2+pos_z^2)</f>
        <v>211.8665800327</v>
      </c>
      <c r="M521" s="419" t="n">
        <f aca="false">IF(AND(L520&gt;L_rampe,G521&gt;0),ATAN2(G521,H521),$M$4)</f>
        <v>-1.42700255451781</v>
      </c>
      <c r="N521" s="418" t="n">
        <f aca="false">DEGREES(Beta)</f>
        <v>-81.7612237282574</v>
      </c>
      <c r="O521" s="402"/>
      <c r="P521" s="421" t="n">
        <f aca="false">MATCH(t-pas/2-T_ini,CdP_t)</f>
        <v>23</v>
      </c>
      <c r="Q521" s="418" t="n">
        <f aca="false">(INDEX(CdP,2,i_P+1)-INDEX(CdP,2,i_P+0))/(INDEX(CdP,1,i_P+1)-INDEX(CdP,1,i_P+0))*(t-pas/2-T_ini-INDEX(CdP,1,i_P+0))+INDEX(CdP,2,i_P+0)</f>
        <v>0</v>
      </c>
      <c r="R521" s="419" t="n">
        <f aca="false">Poussee/(g*ISP)</f>
        <v>0</v>
      </c>
      <c r="S521" s="420" t="n">
        <f aca="false">S520-Débit*pas</f>
        <v>1.4843</v>
      </c>
      <c r="T521" s="418" t="n">
        <f aca="false">m*g</f>
        <v>14.560983</v>
      </c>
      <c r="U521" s="422" t="n">
        <f aca="false">IF(pos_xz&lt;L_rampe,Poids*COS(Beta),0)</f>
        <v>0</v>
      </c>
      <c r="V521" s="419" t="n">
        <f aca="false">Rho_moyen*(20000-Alt_rampe-pos_z)/(20000+Alt_rampe+pos_z)</f>
        <v>1.22569267420925</v>
      </c>
      <c r="W521" s="418" t="n">
        <f aca="false">1/2*Rho*Sref*Cx*vit_xz^2</f>
        <v>5.55819021142131</v>
      </c>
      <c r="X521" s="402"/>
      <c r="Y521" s="423" t="str">
        <f aca="false">IF(AND(pos_z&lt;=0,K520&gt;0),"Impact balistique","") &amp; IF(AND(H522&lt;0,vit_z&gt;=0),"Apogée","") &amp; IF(AND(Poussee=0,Q520&gt;0),"Fin de propulsion","") &amp; IF(AND(L522&gt;L_rampe,pos_xz&lt;=L_rampe),"Sortie de rampe","")</f>
        <v/>
      </c>
      <c r="Z521" s="424" t="str">
        <f aca="false">IF(ABS(t-T_para)&lt;pas/2,"Para","")</f>
        <v/>
      </c>
      <c r="AA521" s="425" t="str">
        <f aca="false">IF(ABS(t-T_satellite)&lt;pas/2,"Satellite","")</f>
        <v/>
      </c>
      <c r="AB521" s="413"/>
      <c r="AC521" s="421" t="e">
        <f aca="false">IF(ABS(t-ROUND(t,0))&lt;0.001,t,NA())</f>
        <v>#N/A</v>
      </c>
      <c r="AD521" s="426" t="e">
        <f aca="false">IF(ABS(t-ROUND(t,0))&lt;0.001,pos_x,NA())</f>
        <v>#N/A</v>
      </c>
      <c r="AE521" s="427" t="e">
        <f aca="false">IF(t&lt;T_para, pos_z, NA())</f>
        <v>#N/A</v>
      </c>
      <c r="AF521" s="413"/>
      <c r="AG521" s="419" t="n">
        <f aca="false">IF(AND(L520&lt;L_rampe,Poussee&lt;Poids*SIN(M520)),0,(-W520+Poussee)/m-Poids*SIN(M520)/m)</f>
        <v>5.96416365787438</v>
      </c>
      <c r="AH521" s="418" t="n">
        <f aca="false">IF(AND(L520&lt;L_rampe,Poussee&lt;Poids*SIN(M520)), g*SIN(M520), (-W520+Poussee)/m)</f>
        <v>-3.74458925373165</v>
      </c>
    </row>
    <row r="522" customFormat="false" ht="12" hidden="false" customHeight="false" outlineLevel="0" collapsed="false">
      <c r="A522" s="417" t="n">
        <f aca="false">IF(B521+0.01&lt;=T_ini+ROUNDUP(Temps_fin_propu,0), 0.01, IF(K521&gt;0, 0.1, 0.0001))</f>
        <v>0.0001</v>
      </c>
      <c r="B522" s="418" t="n">
        <f aca="false">B521+pas</f>
        <v>16.5172999999999</v>
      </c>
      <c r="C522" s="402"/>
      <c r="D522" s="419" t="n">
        <f aca="false">IF(AND(L521&lt;L_rampe,Poussee&lt;Poids*SIN(M521)),0,(-W521+Poussee)/m*COS(M521)-U521/m*SIN(M521))</f>
        <v>-0.536604284662158</v>
      </c>
      <c r="E522" s="420" t="n">
        <f aca="false">IF(AND(L521&lt;L_rampe,Poussee&lt;Poids*SIN(M521)),0,(-W521+Poussee)/m*SIN(M521)+U521/m*COS(M521)-Poids/m)</f>
        <v>-6.10399260250865</v>
      </c>
      <c r="F522" s="418" t="n">
        <f aca="false">SQRT(acc_x^2+acc_z^2)</f>
        <v>6.12753374938058</v>
      </c>
      <c r="G522" s="419" t="n">
        <f aca="false">G521+acc_x*pas</f>
        <v>10.277954378903</v>
      </c>
      <c r="H522" s="420" t="n">
        <f aca="false">H521+acc_z*pas</f>
        <v>-70.984713422626</v>
      </c>
      <c r="I522" s="418" t="n">
        <f aca="false">SQRT(vit_x^2+vit_z^2)</f>
        <v>71.7249321080693</v>
      </c>
      <c r="J522" s="419" t="n">
        <f aca="false">J521+0.5*(vit_x+G521)*pas*(K521&gt;=0)</f>
        <v>211.791153319536</v>
      </c>
      <c r="K522" s="420" t="n">
        <f aca="false">K521+0.5*(vit_z+H521)*pas</f>
        <v>-5.6599835743842</v>
      </c>
      <c r="L522" s="418" t="n">
        <f aca="false">SQRT(pos_x^2+pos_z^2)</f>
        <v>211.866769547472</v>
      </c>
      <c r="M522" s="419" t="n">
        <f aca="false">IF(AND(L521&gt;L_rampe,G522&gt;0),ATAN2(G522,H522),$M$4)</f>
        <v>-1.42700451445105</v>
      </c>
      <c r="N522" s="418" t="n">
        <f aca="false">DEGREES(Beta)</f>
        <v>-81.7613360241606</v>
      </c>
      <c r="O522" s="402"/>
      <c r="P522" s="421" t="n">
        <f aca="false">MATCH(t-pas/2-T_ini,CdP_t)</f>
        <v>23</v>
      </c>
      <c r="Q522" s="418" t="n">
        <f aca="false">(INDEX(CdP,2,i_P+1)-INDEX(CdP,2,i_P+0))/(INDEX(CdP,1,i_P+1)-INDEX(CdP,1,i_P+0))*(t-pas/2-T_ini-INDEX(CdP,1,i_P+0))+INDEX(CdP,2,i_P+0)</f>
        <v>0</v>
      </c>
      <c r="R522" s="419" t="n">
        <f aca="false">Poussee/(g*ISP)</f>
        <v>0</v>
      </c>
      <c r="S522" s="420" t="n">
        <f aca="false">S521-Débit*pas</f>
        <v>1.4843</v>
      </c>
      <c r="T522" s="418" t="n">
        <f aca="false">m*g</f>
        <v>14.560983</v>
      </c>
      <c r="U522" s="422" t="n">
        <f aca="false">IF(pos_xz&lt;L_rampe,Poids*COS(Beta),0)</f>
        <v>0</v>
      </c>
      <c r="V522" s="419" t="n">
        <f aca="false">Rho_moyen*(20000-Alt_rampe-pos_z)/(20000+Alt_rampe+pos_z)</f>
        <v>1.22569354426032</v>
      </c>
      <c r="W522" s="418" t="n">
        <f aca="false">1/2*Rho*Sref*Cx*vit_xz^2</f>
        <v>5.55828659350165</v>
      </c>
      <c r="X522" s="402"/>
      <c r="Y522" s="423" t="str">
        <f aca="false">IF(AND(pos_z&lt;=0,K521&gt;0),"Impact balistique","") &amp; IF(AND(H523&lt;0,vit_z&gt;=0),"Apogée","") &amp; IF(AND(Poussee=0,Q521&gt;0),"Fin de propulsion","") &amp; IF(AND(L523&gt;L_rampe,pos_xz&lt;=L_rampe),"Sortie de rampe","")</f>
        <v/>
      </c>
      <c r="Z522" s="424" t="str">
        <f aca="false">IF(ABS(t-T_para)&lt;pas/2,"Para","")</f>
        <v/>
      </c>
      <c r="AA522" s="425" t="str">
        <f aca="false">IF(ABS(t-T_satellite)&lt;pas/2,"Satellite","")</f>
        <v/>
      </c>
      <c r="AB522" s="413"/>
      <c r="AC522" s="421" t="e">
        <f aca="false">IF(ABS(t-ROUND(t,0))&lt;0.001,t,NA())</f>
        <v>#N/A</v>
      </c>
      <c r="AD522" s="426" t="e">
        <f aca="false">IF(ABS(t-ROUND(t,0))&lt;0.001,pos_x,NA())</f>
        <v>#N/A</v>
      </c>
      <c r="AE522" s="427" t="e">
        <f aca="false">IF(t&lt;T_para, pos_z, NA())</f>
        <v>#N/A</v>
      </c>
      <c r="AF522" s="413"/>
      <c r="AG522" s="419" t="n">
        <f aca="false">IF(AND(L521&lt;L_rampe,Poussee&lt;Poids*SIN(M521)),0,(-W521+Poussee)/m-Poids*SIN(M521)/m)</f>
        <v>5.9641014787657</v>
      </c>
      <c r="AH522" s="418" t="n">
        <f aca="false">IF(AND(L521&lt;L_rampe,Poussee&lt;Poids*SIN(M521)), g*SIN(M521), (-W521+Poussee)/m)</f>
        <v>-3.7446541881165</v>
      </c>
    </row>
    <row r="523" customFormat="false" ht="12" hidden="false" customHeight="false" outlineLevel="0" collapsed="false">
      <c r="A523" s="417" t="n">
        <f aca="false">IF(B522+0.01&lt;=T_ini+ROUNDUP(Temps_fin_propu,0), 0.01, IF(K522&gt;0, 0.1, 0.0001))</f>
        <v>0.0001</v>
      </c>
      <c r="B523" s="418" t="n">
        <f aca="false">B522+pas</f>
        <v>16.5173999999999</v>
      </c>
      <c r="C523" s="402"/>
      <c r="D523" s="419" t="n">
        <f aca="false">IF(AND(L522&lt;L_rampe,Poussee&lt;Poids*SIN(M522)),0,(-W522+Poussee)/m*COS(M522)-U522/m*SIN(M522))</f>
        <v>-0.536606326021979</v>
      </c>
      <c r="E523" s="420" t="n">
        <f aca="false">IF(AND(L522&lt;L_rampe,Poussee&lt;Poids*SIN(M522)),0,(-W522+Poussee)/m*SIN(M522)+U522/m*COS(M522)-Poids/m)</f>
        <v>-6.10392728657899</v>
      </c>
      <c r="F523" s="418" t="n">
        <f aca="false">SQRT(acc_x^2+acc_z^2)</f>
        <v>6.12746886315797</v>
      </c>
      <c r="G523" s="419" t="n">
        <f aca="false">G522+acc_x*pas</f>
        <v>10.2779007182704</v>
      </c>
      <c r="H523" s="420" t="n">
        <f aca="false">H522+acc_z*pas</f>
        <v>-70.9853238153547</v>
      </c>
      <c r="I523" s="418" t="n">
        <f aca="false">SQRT(vit_x^2+vit_z^2)</f>
        <v>71.7255285121371</v>
      </c>
      <c r="J523" s="419" t="n">
        <f aca="false">J522+0.5*(vit_x+G522)*pas*(K522&gt;=0)</f>
        <v>211.791153319536</v>
      </c>
      <c r="K523" s="420" t="n">
        <f aca="false">K522+0.5*(vit_z+H522)*pas</f>
        <v>-5.6670820762461</v>
      </c>
      <c r="L523" s="418" t="n">
        <f aca="false">SQRT(pos_x^2+pos_z^2)</f>
        <v>211.866959301535</v>
      </c>
      <c r="M523" s="419" t="n">
        <f aca="false">IF(AND(L522&gt;L_rampe,G523&gt;0),ATAN2(G523,H523),$M$4)</f>
        <v>-1.42700647434147</v>
      </c>
      <c r="N523" s="418" t="n">
        <f aca="false">DEGREES(Beta)</f>
        <v>-81.76144831761</v>
      </c>
      <c r="O523" s="402"/>
      <c r="P523" s="421" t="n">
        <f aca="false">MATCH(t-pas/2-T_ini,CdP_t)</f>
        <v>23</v>
      </c>
      <c r="Q523" s="418" t="n">
        <f aca="false">(INDEX(CdP,2,i_P+1)-INDEX(CdP,2,i_P+0))/(INDEX(CdP,1,i_P+1)-INDEX(CdP,1,i_P+0))*(t-pas/2-T_ini-INDEX(CdP,1,i_P+0))+INDEX(CdP,2,i_P+0)</f>
        <v>0</v>
      </c>
      <c r="R523" s="419" t="n">
        <f aca="false">Poussee/(g*ISP)</f>
        <v>0</v>
      </c>
      <c r="S523" s="420" t="n">
        <f aca="false">S522-Débit*pas</f>
        <v>1.4843</v>
      </c>
      <c r="T523" s="418" t="n">
        <f aca="false">m*g</f>
        <v>14.560983</v>
      </c>
      <c r="U523" s="422" t="n">
        <f aca="false">IF(pos_xz&lt;L_rampe,Poids*COS(Beta),0)</f>
        <v>0</v>
      </c>
      <c r="V523" s="419" t="n">
        <f aca="false">Rho_moyen*(20000-Alt_rampe-pos_z)/(20000+Alt_rampe+pos_z)</f>
        <v>1.22569441431949</v>
      </c>
      <c r="W523" s="418" t="n">
        <f aca="false">1/2*Rho*Sref*Cx*vit_xz^2</f>
        <v>5.55838297555486</v>
      </c>
      <c r="X523" s="402"/>
      <c r="Y523" s="423" t="str">
        <f aca="false">IF(AND(pos_z&lt;=0,K522&gt;0),"Impact balistique","") &amp; IF(AND(H524&lt;0,vit_z&gt;=0),"Apogée","") &amp; IF(AND(Poussee=0,Q522&gt;0),"Fin de propulsion","") &amp; IF(AND(L524&gt;L_rampe,pos_xz&lt;=L_rampe),"Sortie de rampe","")</f>
        <v/>
      </c>
      <c r="Z523" s="424" t="str">
        <f aca="false">IF(ABS(t-T_para)&lt;pas/2,"Para","")</f>
        <v/>
      </c>
      <c r="AA523" s="425" t="str">
        <f aca="false">IF(ABS(t-T_satellite)&lt;pas/2,"Satellite","")</f>
        <v/>
      </c>
      <c r="AB523" s="413"/>
      <c r="AC523" s="421" t="e">
        <f aca="false">IF(ABS(t-ROUND(t,0))&lt;0.001,t,NA())</f>
        <v>#N/A</v>
      </c>
      <c r="AD523" s="426" t="e">
        <f aca="false">IF(ABS(t-ROUND(t,0))&lt;0.001,pos_x,NA())</f>
        <v>#N/A</v>
      </c>
      <c r="AE523" s="427" t="e">
        <f aca="false">IF(t&lt;T_para, pos_z, NA())</f>
        <v>#N/A</v>
      </c>
      <c r="AF523" s="413"/>
      <c r="AG523" s="419" t="n">
        <f aca="false">IF(AND(L522&lt;L_rampe,Poussee&lt;Poids*SIN(M522)),0,(-W522+Poussee)/m-Poids*SIN(M522)/m)</f>
        <v>5.96403929957776</v>
      </c>
      <c r="AH523" s="418" t="n">
        <f aca="false">IF(AND(L522&lt;L_rampe,Poussee&lt;Poids*SIN(M522)), g*SIN(M522), (-W522+Poussee)/m)</f>
        <v>-3.74471912248309</v>
      </c>
    </row>
    <row r="524" customFormat="false" ht="12" hidden="false" customHeight="false" outlineLevel="0" collapsed="false">
      <c r="A524" s="417" t="n">
        <f aca="false">IF(B523+0.01&lt;=T_ini+ROUNDUP(Temps_fin_propu,0), 0.01, IF(K523&gt;0, 0.1, 0.0001))</f>
        <v>0.0001</v>
      </c>
      <c r="B524" s="418" t="n">
        <f aca="false">B523+pas</f>
        <v>16.5174999999999</v>
      </c>
      <c r="C524" s="402"/>
      <c r="D524" s="419" t="n">
        <f aca="false">IF(AND(L523&lt;L_rampe,Poussee&lt;Poids*SIN(M523)),0,(-W523+Poussee)/m*COS(M523)-U523/m*SIN(M523))</f>
        <v>-0.536608367283934</v>
      </c>
      <c r="E524" s="420" t="n">
        <f aca="false">IF(AND(L523&lt;L_rampe,Poussee&lt;Poids*SIN(M523)),0,(-W523+Poussee)/m*SIN(M523)+U523/m*COS(M523)-Poids/m)</f>
        <v>-6.10386197066817</v>
      </c>
      <c r="F524" s="418" t="n">
        <f aca="false">SQRT(acc_x^2+acc_z^2)</f>
        <v>6.12740397695535</v>
      </c>
      <c r="G524" s="419" t="n">
        <f aca="false">G523+acc_x*pas</f>
        <v>10.2778470574337</v>
      </c>
      <c r="H524" s="420" t="n">
        <f aca="false">H523+acc_z*pas</f>
        <v>-70.9859342015517</v>
      </c>
      <c r="I524" s="418" t="n">
        <f aca="false">SQRT(vit_x^2+vit_z^2)</f>
        <v>71.7261249099868</v>
      </c>
      <c r="J524" s="419" t="n">
        <f aca="false">J523+0.5*(vit_x+G523)*pas*(K523&gt;=0)</f>
        <v>211.791153319536</v>
      </c>
      <c r="K524" s="420" t="n">
        <f aca="false">K523+0.5*(vit_z+H523)*pas</f>
        <v>-5.67418063914695</v>
      </c>
      <c r="L524" s="418" t="n">
        <f aca="false">SQRT(pos_x^2+pos_z^2)</f>
        <v>211.867149294894</v>
      </c>
      <c r="M524" s="419" t="n">
        <f aca="false">IF(AND(L523&gt;L_rampe,G524&gt;0),ATAN2(G524,H524),$M$4)</f>
        <v>-1.42700843418907</v>
      </c>
      <c r="N524" s="418" t="n">
        <f aca="false">DEGREES(Beta)</f>
        <v>-81.7615606086057</v>
      </c>
      <c r="O524" s="402"/>
      <c r="P524" s="421" t="n">
        <f aca="false">MATCH(t-pas/2-T_ini,CdP_t)</f>
        <v>23</v>
      </c>
      <c r="Q524" s="418" t="n">
        <f aca="false">(INDEX(CdP,2,i_P+1)-INDEX(CdP,2,i_P+0))/(INDEX(CdP,1,i_P+1)-INDEX(CdP,1,i_P+0))*(t-pas/2-T_ini-INDEX(CdP,1,i_P+0))+INDEX(CdP,2,i_P+0)</f>
        <v>0</v>
      </c>
      <c r="R524" s="419" t="n">
        <f aca="false">Poussee/(g*ISP)</f>
        <v>0</v>
      </c>
      <c r="S524" s="420" t="n">
        <f aca="false">S523-Débit*pas</f>
        <v>1.4843</v>
      </c>
      <c r="T524" s="418" t="n">
        <f aca="false">m*g</f>
        <v>14.560983</v>
      </c>
      <c r="U524" s="422" t="n">
        <f aca="false">IF(pos_xz&lt;L_rampe,Poids*COS(Beta),0)</f>
        <v>0</v>
      </c>
      <c r="V524" s="419" t="n">
        <f aca="false">Rho_moyen*(20000-Alt_rampe-pos_z)/(20000+Alt_rampe+pos_z)</f>
        <v>1.22569528438676</v>
      </c>
      <c r="W524" s="418" t="n">
        <f aca="false">1/2*Rho*Sref*Cx*vit_xz^2</f>
        <v>5.55847935758093</v>
      </c>
      <c r="X524" s="402"/>
      <c r="Y524" s="423" t="str">
        <f aca="false">IF(AND(pos_z&lt;=0,K523&gt;0),"Impact balistique","") &amp; IF(AND(H525&lt;0,vit_z&gt;=0),"Apogée","") &amp; IF(AND(Poussee=0,Q523&gt;0),"Fin de propulsion","") &amp; IF(AND(L525&gt;L_rampe,pos_xz&lt;=L_rampe),"Sortie de rampe","")</f>
        <v/>
      </c>
      <c r="Z524" s="424" t="str">
        <f aca="false">IF(ABS(t-T_para)&lt;pas/2,"Para","")</f>
        <v/>
      </c>
      <c r="AA524" s="425" t="str">
        <f aca="false">IF(ABS(t-T_satellite)&lt;pas/2,"Satellite","")</f>
        <v/>
      </c>
      <c r="AB524" s="413"/>
      <c r="AC524" s="421" t="e">
        <f aca="false">IF(ABS(t-ROUND(t,0))&lt;0.001,t,NA())</f>
        <v>#N/A</v>
      </c>
      <c r="AD524" s="426" t="e">
        <f aca="false">IF(ABS(t-ROUND(t,0))&lt;0.001,pos_x,NA())</f>
        <v>#N/A</v>
      </c>
      <c r="AE524" s="427" t="e">
        <f aca="false">IF(t&lt;T_para, pos_z, NA())</f>
        <v>#N/A</v>
      </c>
      <c r="AF524" s="413"/>
      <c r="AG524" s="419" t="n">
        <f aca="false">IF(AND(L523&lt;L_rampe,Poussee&lt;Poids*SIN(M523)),0,(-W523+Poussee)/m-Poids*SIN(M523)/m)</f>
        <v>5.96397712031061</v>
      </c>
      <c r="AH524" s="418" t="n">
        <f aca="false">IF(AND(L523&lt;L_rampe,Poussee&lt;Poids*SIN(M523)), g*SIN(M523), (-W523+Poussee)/m)</f>
        <v>-3.74478405683141</v>
      </c>
    </row>
    <row r="525" customFormat="false" ht="12" hidden="false" customHeight="false" outlineLevel="0" collapsed="false">
      <c r="A525" s="417" t="n">
        <f aca="false">IF(B524+0.01&lt;=T_ini+ROUNDUP(Temps_fin_propu,0), 0.01, IF(K524&gt;0, 0.1, 0.0001))</f>
        <v>0.0001</v>
      </c>
      <c r="B525" s="418" t="n">
        <f aca="false">B524+pas</f>
        <v>16.5175999999999</v>
      </c>
      <c r="C525" s="402"/>
      <c r="D525" s="419" t="n">
        <f aca="false">IF(AND(L524&lt;L_rampe,Poussee&lt;Poids*SIN(M524)),0,(-W524+Poussee)/m*COS(M524)-U524/m*SIN(M524))</f>
        <v>-0.536610408448026</v>
      </c>
      <c r="E525" s="420" t="n">
        <f aca="false">IF(AND(L524&lt;L_rampe,Poussee&lt;Poids*SIN(M524)),0,(-W524+Poussee)/m*SIN(M524)+U524/m*COS(M524)-Poids/m)</f>
        <v>-6.10379665477619</v>
      </c>
      <c r="F525" s="418" t="n">
        <f aca="false">SQRT(acc_x^2+acc_z^2)</f>
        <v>6.12733909077275</v>
      </c>
      <c r="G525" s="419" t="n">
        <f aca="false">G524+acc_x*pas</f>
        <v>10.2777933963928</v>
      </c>
      <c r="H525" s="420" t="n">
        <f aca="false">H524+acc_z*pas</f>
        <v>-70.9865445812172</v>
      </c>
      <c r="I525" s="418" t="n">
        <f aca="false">SQRT(vit_x^2+vit_z^2)</f>
        <v>71.7267213016187</v>
      </c>
      <c r="J525" s="419" t="n">
        <f aca="false">J524+0.5*(vit_x+G524)*pas*(K524&gt;=0)</f>
        <v>211.791153319536</v>
      </c>
      <c r="K525" s="420" t="n">
        <f aca="false">K524+0.5*(vit_z+H524)*pas</f>
        <v>-5.68127926308609</v>
      </c>
      <c r="L525" s="418" t="n">
        <f aca="false">SQRT(pos_x^2+pos_z^2)</f>
        <v>211.867339527555</v>
      </c>
      <c r="M525" s="419" t="n">
        <f aca="false">IF(AND(L524&gt;L_rampe,G525&gt;0),ATAN2(G525,H525),$M$4)</f>
        <v>-1.42701039399384</v>
      </c>
      <c r="N525" s="418" t="n">
        <f aca="false">DEGREES(Beta)</f>
        <v>-81.7616728971478</v>
      </c>
      <c r="O525" s="402"/>
      <c r="P525" s="421" t="n">
        <f aca="false">MATCH(t-pas/2-T_ini,CdP_t)</f>
        <v>23</v>
      </c>
      <c r="Q525" s="418" t="n">
        <f aca="false">(INDEX(CdP,2,i_P+1)-INDEX(CdP,2,i_P+0))/(INDEX(CdP,1,i_P+1)-INDEX(CdP,1,i_P+0))*(t-pas/2-T_ini-INDEX(CdP,1,i_P+0))+INDEX(CdP,2,i_P+0)</f>
        <v>0</v>
      </c>
      <c r="R525" s="419" t="n">
        <f aca="false">Poussee/(g*ISP)</f>
        <v>0</v>
      </c>
      <c r="S525" s="420" t="n">
        <f aca="false">S524-Débit*pas</f>
        <v>1.4843</v>
      </c>
      <c r="T525" s="418" t="n">
        <f aca="false">m*g</f>
        <v>14.560983</v>
      </c>
      <c r="U525" s="422" t="n">
        <f aca="false">IF(pos_xz&lt;L_rampe,Poids*COS(Beta),0)</f>
        <v>0</v>
      </c>
      <c r="V525" s="419" t="n">
        <f aca="false">Rho_moyen*(20000-Alt_rampe-pos_z)/(20000+Alt_rampe+pos_z)</f>
        <v>1.22569615446212</v>
      </c>
      <c r="W525" s="418" t="n">
        <f aca="false">1/2*Rho*Sref*Cx*vit_xz^2</f>
        <v>5.55857573957983</v>
      </c>
      <c r="X525" s="402"/>
      <c r="Y525" s="423" t="str">
        <f aca="false">IF(AND(pos_z&lt;=0,K524&gt;0),"Impact balistique","") &amp; IF(AND(H526&lt;0,vit_z&gt;=0),"Apogée","") &amp; IF(AND(Poussee=0,Q524&gt;0),"Fin de propulsion","") &amp; IF(AND(L526&gt;L_rampe,pos_xz&lt;=L_rampe),"Sortie de rampe","")</f>
        <v/>
      </c>
      <c r="Z525" s="424" t="str">
        <f aca="false">IF(ABS(t-T_para)&lt;pas/2,"Para","")</f>
        <v/>
      </c>
      <c r="AA525" s="425" t="str">
        <f aca="false">IF(ABS(t-T_satellite)&lt;pas/2,"Satellite","")</f>
        <v/>
      </c>
      <c r="AB525" s="413"/>
      <c r="AC525" s="421" t="e">
        <f aca="false">IF(ABS(t-ROUND(t,0))&lt;0.001,t,NA())</f>
        <v>#N/A</v>
      </c>
      <c r="AD525" s="426" t="e">
        <f aca="false">IF(ABS(t-ROUND(t,0))&lt;0.001,pos_x,NA())</f>
        <v>#N/A</v>
      </c>
      <c r="AE525" s="427" t="e">
        <f aca="false">IF(t&lt;T_para, pos_z, NA())</f>
        <v>#N/A</v>
      </c>
      <c r="AF525" s="413"/>
      <c r="AG525" s="419" t="n">
        <f aca="false">IF(AND(L524&lt;L_rampe,Poussee&lt;Poids*SIN(M524)),0,(-W524+Poussee)/m-Poids*SIN(M524)/m)</f>
        <v>5.96391494096425</v>
      </c>
      <c r="AH525" s="418" t="n">
        <f aca="false">IF(AND(L524&lt;L_rampe,Poussee&lt;Poids*SIN(M524)), g*SIN(M524), (-W524+Poussee)/m)</f>
        <v>-3.74484899116145</v>
      </c>
    </row>
    <row r="526" customFormat="false" ht="12" hidden="false" customHeight="false" outlineLevel="0" collapsed="false">
      <c r="A526" s="417" t="n">
        <f aca="false">IF(B525+0.01&lt;=T_ini+ROUNDUP(Temps_fin_propu,0), 0.01, IF(K525&gt;0, 0.1, 0.0001))</f>
        <v>0.0001</v>
      </c>
      <c r="B526" s="418" t="n">
        <f aca="false">B525+pas</f>
        <v>16.5176999999999</v>
      </c>
      <c r="C526" s="402"/>
      <c r="D526" s="419" t="n">
        <f aca="false">IF(AND(L525&lt;L_rampe,Poussee&lt;Poids*SIN(M525)),0,(-W525+Poussee)/m*COS(M525)-U525/m*SIN(M525))</f>
        <v>-0.536612449514253</v>
      </c>
      <c r="E526" s="420" t="n">
        <f aca="false">IF(AND(L525&lt;L_rampe,Poussee&lt;Poids*SIN(M525)),0,(-W525+Poussee)/m*SIN(M525)+U525/m*COS(M525)-Poids/m)</f>
        <v>-6.10373133890307</v>
      </c>
      <c r="F526" s="418" t="n">
        <f aca="false">SQRT(acc_x^2+acc_z^2)</f>
        <v>6.12727420461017</v>
      </c>
      <c r="G526" s="419" t="n">
        <f aca="false">G525+acc_x*pas</f>
        <v>10.2777397351479</v>
      </c>
      <c r="H526" s="420" t="n">
        <f aca="false">H525+acc_z*pas</f>
        <v>-70.9871549543511</v>
      </c>
      <c r="I526" s="418" t="n">
        <f aca="false">SQRT(vit_x^2+vit_z^2)</f>
        <v>71.7273176870326</v>
      </c>
      <c r="J526" s="419" t="n">
        <f aca="false">J525+0.5*(vit_x+G525)*pas*(K525&gt;=0)</f>
        <v>211.791153319536</v>
      </c>
      <c r="K526" s="420" t="n">
        <f aca="false">K525+0.5*(vit_z+H525)*pas</f>
        <v>-5.68837794806287</v>
      </c>
      <c r="L526" s="418" t="n">
        <f aca="false">SQRT(pos_x^2+pos_z^2)</f>
        <v>211.867529999524</v>
      </c>
      <c r="M526" s="419" t="n">
        <f aca="false">IF(AND(L525&gt;L_rampe,G526&gt;0),ATAN2(G526,H526),$M$4)</f>
        <v>-1.42701235375579</v>
      </c>
      <c r="N526" s="418" t="n">
        <f aca="false">DEGREES(Beta)</f>
        <v>-81.7617851832363</v>
      </c>
      <c r="O526" s="402"/>
      <c r="P526" s="421" t="n">
        <f aca="false">MATCH(t-pas/2-T_ini,CdP_t)</f>
        <v>23</v>
      </c>
      <c r="Q526" s="418" t="n">
        <f aca="false">(INDEX(CdP,2,i_P+1)-INDEX(CdP,2,i_P+0))/(INDEX(CdP,1,i_P+1)-INDEX(CdP,1,i_P+0))*(t-pas/2-T_ini-INDEX(CdP,1,i_P+0))+INDEX(CdP,2,i_P+0)</f>
        <v>0</v>
      </c>
      <c r="R526" s="419" t="n">
        <f aca="false">Poussee/(g*ISP)</f>
        <v>0</v>
      </c>
      <c r="S526" s="420" t="n">
        <f aca="false">S525-Débit*pas</f>
        <v>1.4843</v>
      </c>
      <c r="T526" s="418" t="n">
        <f aca="false">m*g</f>
        <v>14.560983</v>
      </c>
      <c r="U526" s="422" t="n">
        <f aca="false">IF(pos_xz&lt;L_rampe,Poids*COS(Beta),0)</f>
        <v>0</v>
      </c>
      <c r="V526" s="419" t="n">
        <f aca="false">Rho_moyen*(20000-Alt_rampe-pos_z)/(20000+Alt_rampe+pos_z)</f>
        <v>1.22569702454559</v>
      </c>
      <c r="W526" s="418" t="n">
        <f aca="false">1/2*Rho*Sref*Cx*vit_xz^2</f>
        <v>5.55867212155154</v>
      </c>
      <c r="X526" s="402"/>
      <c r="Y526" s="423" t="str">
        <f aca="false">IF(AND(pos_z&lt;=0,K525&gt;0),"Impact balistique","") &amp; IF(AND(H527&lt;0,vit_z&gt;=0),"Apogée","") &amp; IF(AND(Poussee=0,Q525&gt;0),"Fin de propulsion","") &amp; IF(AND(L527&gt;L_rampe,pos_xz&lt;=L_rampe),"Sortie de rampe","")</f>
        <v/>
      </c>
      <c r="Z526" s="424" t="str">
        <f aca="false">IF(ABS(t-T_para)&lt;pas/2,"Para","")</f>
        <v/>
      </c>
      <c r="AA526" s="425" t="str">
        <f aca="false">IF(ABS(t-T_satellite)&lt;pas/2,"Satellite","")</f>
        <v/>
      </c>
      <c r="AB526" s="413"/>
      <c r="AC526" s="421" t="e">
        <f aca="false">IF(ABS(t-ROUND(t,0))&lt;0.001,t,NA())</f>
        <v>#N/A</v>
      </c>
      <c r="AD526" s="426" t="e">
        <f aca="false">IF(ABS(t-ROUND(t,0))&lt;0.001,pos_x,NA())</f>
        <v>#N/A</v>
      </c>
      <c r="AE526" s="427" t="e">
        <f aca="false">IF(t&lt;T_para, pos_z, NA())</f>
        <v>#N/A</v>
      </c>
      <c r="AF526" s="413"/>
      <c r="AG526" s="419" t="n">
        <f aca="false">IF(AND(L525&lt;L_rampe,Poussee&lt;Poids*SIN(M525)),0,(-W525+Poussee)/m-Poids*SIN(M525)/m)</f>
        <v>5.96385276153871</v>
      </c>
      <c r="AH526" s="418" t="n">
        <f aca="false">IF(AND(L525&lt;L_rampe,Poussee&lt;Poids*SIN(M525)), g*SIN(M525), (-W525+Poussee)/m)</f>
        <v>-3.74491392547318</v>
      </c>
    </row>
    <row r="527" customFormat="false" ht="12" hidden="false" customHeight="false" outlineLevel="0" collapsed="false">
      <c r="A527" s="417" t="n">
        <f aca="false">IF(B526+0.01&lt;=T_ini+ROUNDUP(Temps_fin_propu,0), 0.01, IF(K526&gt;0, 0.1, 0.0001))</f>
        <v>0.0001</v>
      </c>
      <c r="B527" s="418" t="n">
        <f aca="false">B526+pas</f>
        <v>16.5177999999999</v>
      </c>
      <c r="C527" s="402"/>
      <c r="D527" s="419" t="n">
        <f aca="false">IF(AND(L526&lt;L_rampe,Poussee&lt;Poids*SIN(M526)),0,(-W526+Poussee)/m*COS(M526)-U526/m*SIN(M526))</f>
        <v>-0.536614490482618</v>
      </c>
      <c r="E527" s="420" t="n">
        <f aca="false">IF(AND(L526&lt;L_rampe,Poussee&lt;Poids*SIN(M526)),0,(-W526+Poussee)/m*SIN(M526)+U526/m*COS(M526)-Poids/m)</f>
        <v>-6.10366602304883</v>
      </c>
      <c r="F527" s="418" t="n">
        <f aca="false">SQRT(acc_x^2+acc_z^2)</f>
        <v>6.12720931846763</v>
      </c>
      <c r="G527" s="419" t="n">
        <f aca="false">G526+acc_x*pas</f>
        <v>10.2776860736988</v>
      </c>
      <c r="H527" s="420" t="n">
        <f aca="false">H526+acc_z*pas</f>
        <v>-70.9877653209534</v>
      </c>
      <c r="I527" s="418" t="n">
        <f aca="false">SQRT(vit_x^2+vit_z^2)</f>
        <v>71.7279140662285</v>
      </c>
      <c r="J527" s="419" t="n">
        <f aca="false">J526+0.5*(vit_x+G526)*pas*(K526&gt;=0)</f>
        <v>211.791153319536</v>
      </c>
      <c r="K527" s="420" t="n">
        <f aca="false">K526+0.5*(vit_z+H526)*pas</f>
        <v>-5.69547669407663</v>
      </c>
      <c r="L527" s="418" t="n">
        <f aca="false">SQRT(pos_x^2+pos_z^2)</f>
        <v>211.867720710806</v>
      </c>
      <c r="M527" s="419" t="n">
        <f aca="false">IF(AND(L526&gt;L_rampe,G527&gt;0),ATAN2(G527,H527),$M$4)</f>
        <v>-1.42701431347492</v>
      </c>
      <c r="N527" s="418" t="n">
        <f aca="false">DEGREES(Beta)</f>
        <v>-81.7618974668714</v>
      </c>
      <c r="O527" s="402"/>
      <c r="P527" s="421" t="n">
        <f aca="false">MATCH(t-pas/2-T_ini,CdP_t)</f>
        <v>23</v>
      </c>
      <c r="Q527" s="418" t="n">
        <f aca="false">(INDEX(CdP,2,i_P+1)-INDEX(CdP,2,i_P+0))/(INDEX(CdP,1,i_P+1)-INDEX(CdP,1,i_P+0))*(t-pas/2-T_ini-INDEX(CdP,1,i_P+0))+INDEX(CdP,2,i_P+0)</f>
        <v>0</v>
      </c>
      <c r="R527" s="419" t="n">
        <f aca="false">Poussee/(g*ISP)</f>
        <v>0</v>
      </c>
      <c r="S527" s="420" t="n">
        <f aca="false">S526-Débit*pas</f>
        <v>1.4843</v>
      </c>
      <c r="T527" s="418" t="n">
        <f aca="false">m*g</f>
        <v>14.560983</v>
      </c>
      <c r="U527" s="422" t="n">
        <f aca="false">IF(pos_xz&lt;L_rampe,Poids*COS(Beta),0)</f>
        <v>0</v>
      </c>
      <c r="V527" s="419" t="n">
        <f aca="false">Rho_moyen*(20000-Alt_rampe-pos_z)/(20000+Alt_rampe+pos_z)</f>
        <v>1.22569789463716</v>
      </c>
      <c r="W527" s="418" t="n">
        <f aca="false">1/2*Rho*Sref*Cx*vit_xz^2</f>
        <v>5.55876850349602</v>
      </c>
      <c r="X527" s="402"/>
      <c r="Y527" s="423" t="str">
        <f aca="false">IF(AND(pos_z&lt;=0,K526&gt;0),"Impact balistique","") &amp; IF(AND(H528&lt;0,vit_z&gt;=0),"Apogée","") &amp; IF(AND(Poussee=0,Q526&gt;0),"Fin de propulsion","") &amp; IF(AND(L528&gt;L_rampe,pos_xz&lt;=L_rampe),"Sortie de rampe","")</f>
        <v/>
      </c>
      <c r="Z527" s="424" t="str">
        <f aca="false">IF(ABS(t-T_para)&lt;pas/2,"Para","")</f>
        <v/>
      </c>
      <c r="AA527" s="425" t="str">
        <f aca="false">IF(ABS(t-T_satellite)&lt;pas/2,"Satellite","")</f>
        <v/>
      </c>
      <c r="AB527" s="413"/>
      <c r="AC527" s="421" t="e">
        <f aca="false">IF(ABS(t-ROUND(t,0))&lt;0.001,t,NA())</f>
        <v>#N/A</v>
      </c>
      <c r="AD527" s="426" t="e">
        <f aca="false">IF(ABS(t-ROUND(t,0))&lt;0.001,pos_x,NA())</f>
        <v>#N/A</v>
      </c>
      <c r="AE527" s="427" t="e">
        <f aca="false">IF(t&lt;T_para, pos_z, NA())</f>
        <v>#N/A</v>
      </c>
      <c r="AF527" s="413"/>
      <c r="AG527" s="419" t="n">
        <f aca="false">IF(AND(L526&lt;L_rampe,Poussee&lt;Poids*SIN(M526)),0,(-W526+Poussee)/m-Poids*SIN(M526)/m)</f>
        <v>5.963790582034</v>
      </c>
      <c r="AH527" s="418" t="n">
        <f aca="false">IF(AND(L526&lt;L_rampe,Poussee&lt;Poids*SIN(M526)), g*SIN(M526), (-W526+Poussee)/m)</f>
        <v>-3.74497885976658</v>
      </c>
    </row>
    <row r="528" customFormat="false" ht="12" hidden="false" customHeight="false" outlineLevel="0" collapsed="false">
      <c r="A528" s="417" t="n">
        <f aca="false">IF(B527+0.01&lt;=T_ini+ROUNDUP(Temps_fin_propu,0), 0.01, IF(K527&gt;0, 0.1, 0.0001))</f>
        <v>0.0001</v>
      </c>
      <c r="B528" s="418" t="n">
        <f aca="false">B527+pas</f>
        <v>16.5178999999999</v>
      </c>
      <c r="C528" s="402"/>
      <c r="D528" s="419" t="n">
        <f aca="false">IF(AND(L527&lt;L_rampe,Poussee&lt;Poids*SIN(M527)),0,(-W527+Poussee)/m*COS(M527)-U527/m*SIN(M527))</f>
        <v>-0.53661653135312</v>
      </c>
      <c r="E528" s="420" t="n">
        <f aca="false">IF(AND(L527&lt;L_rampe,Poussee&lt;Poids*SIN(M527)),0,(-W527+Poussee)/m*SIN(M527)+U527/m*COS(M527)-Poids/m)</f>
        <v>-6.10360070721347</v>
      </c>
      <c r="F528" s="418" t="n">
        <f aca="false">SQRT(acc_x^2+acc_z^2)</f>
        <v>6.12714443234516</v>
      </c>
      <c r="G528" s="419" t="n">
        <f aca="false">G527+acc_x*pas</f>
        <v>10.2776324120457</v>
      </c>
      <c r="H528" s="420" t="n">
        <f aca="false">H527+acc_z*pas</f>
        <v>-70.9883756810241</v>
      </c>
      <c r="I528" s="418" t="n">
        <f aca="false">SQRT(vit_x^2+vit_z^2)</f>
        <v>71.7285104392065</v>
      </c>
      <c r="J528" s="419" t="n">
        <f aca="false">J527+0.5*(vit_x+G527)*pas*(K527&gt;=0)</f>
        <v>211.791153319536</v>
      </c>
      <c r="K528" s="420" t="n">
        <f aca="false">K527+0.5*(vit_z+H527)*pas</f>
        <v>-5.70257550112673</v>
      </c>
      <c r="L528" s="418" t="n">
        <f aca="false">SQRT(pos_x^2+pos_z^2)</f>
        <v>211.867911661406</v>
      </c>
      <c r="M528" s="419" t="n">
        <f aca="false">IF(AND(L527&gt;L_rampe,G528&gt;0),ATAN2(G528,H528),$M$4)</f>
        <v>-1.42701627315123</v>
      </c>
      <c r="N528" s="418" t="n">
        <f aca="false">DEGREES(Beta)</f>
        <v>-81.7620097480531</v>
      </c>
      <c r="O528" s="402"/>
      <c r="P528" s="421" t="n">
        <f aca="false">MATCH(t-pas/2-T_ini,CdP_t)</f>
        <v>23</v>
      </c>
      <c r="Q528" s="418" t="n">
        <f aca="false">(INDEX(CdP,2,i_P+1)-INDEX(CdP,2,i_P+0))/(INDEX(CdP,1,i_P+1)-INDEX(CdP,1,i_P+0))*(t-pas/2-T_ini-INDEX(CdP,1,i_P+0))+INDEX(CdP,2,i_P+0)</f>
        <v>0</v>
      </c>
      <c r="R528" s="419" t="n">
        <f aca="false">Poussee/(g*ISP)</f>
        <v>0</v>
      </c>
      <c r="S528" s="420" t="n">
        <f aca="false">S527-Débit*pas</f>
        <v>1.4843</v>
      </c>
      <c r="T528" s="418" t="n">
        <f aca="false">m*g</f>
        <v>14.560983</v>
      </c>
      <c r="U528" s="422" t="n">
        <f aca="false">IF(pos_xz&lt;L_rampe,Poids*COS(Beta),0)</f>
        <v>0</v>
      </c>
      <c r="V528" s="419" t="n">
        <f aca="false">Rho_moyen*(20000-Alt_rampe-pos_z)/(20000+Alt_rampe+pos_z)</f>
        <v>1.22569876473682</v>
      </c>
      <c r="W528" s="418" t="n">
        <f aca="false">1/2*Rho*Sref*Cx*vit_xz^2</f>
        <v>5.55886488541327</v>
      </c>
      <c r="X528" s="402"/>
      <c r="Y528" s="423" t="str">
        <f aca="false">IF(AND(pos_z&lt;=0,K527&gt;0),"Impact balistique","") &amp; IF(AND(H529&lt;0,vit_z&gt;=0),"Apogée","") &amp; IF(AND(Poussee=0,Q527&gt;0),"Fin de propulsion","") &amp; IF(AND(L529&gt;L_rampe,pos_xz&lt;=L_rampe),"Sortie de rampe","")</f>
        <v/>
      </c>
      <c r="Z528" s="424" t="str">
        <f aca="false">IF(ABS(t-T_para)&lt;pas/2,"Para","")</f>
        <v/>
      </c>
      <c r="AA528" s="425" t="str">
        <f aca="false">IF(ABS(t-T_satellite)&lt;pas/2,"Satellite","")</f>
        <v/>
      </c>
      <c r="AB528" s="413"/>
      <c r="AC528" s="421" t="e">
        <f aca="false">IF(ABS(t-ROUND(t,0))&lt;0.001,t,NA())</f>
        <v>#N/A</v>
      </c>
      <c r="AD528" s="426" t="e">
        <f aca="false">IF(ABS(t-ROUND(t,0))&lt;0.001,pos_x,NA())</f>
        <v>#N/A</v>
      </c>
      <c r="AE528" s="427" t="e">
        <f aca="false">IF(t&lt;T_para, pos_z, NA())</f>
        <v>#N/A</v>
      </c>
      <c r="AF528" s="413"/>
      <c r="AG528" s="419" t="n">
        <f aca="false">IF(AND(L527&lt;L_rampe,Poussee&lt;Poids*SIN(M527)),0,(-W527+Poussee)/m-Poids*SIN(M527)/m)</f>
        <v>5.96372840245015</v>
      </c>
      <c r="AH528" s="418" t="n">
        <f aca="false">IF(AND(L527&lt;L_rampe,Poussee&lt;Poids*SIN(M527)), g*SIN(M527), (-W527+Poussee)/m)</f>
        <v>-3.74504379404166</v>
      </c>
    </row>
    <row r="529" customFormat="false" ht="12" hidden="false" customHeight="false" outlineLevel="0" collapsed="false">
      <c r="A529" s="417" t="n">
        <f aca="false">IF(B528+0.01&lt;=T_ini+ROUNDUP(Temps_fin_propu,0), 0.01, IF(K528&gt;0, 0.1, 0.0001))</f>
        <v>0.0001</v>
      </c>
      <c r="B529" s="418" t="n">
        <f aca="false">B528+pas</f>
        <v>16.5179999999999</v>
      </c>
      <c r="C529" s="402"/>
      <c r="D529" s="419" t="n">
        <f aca="false">IF(AND(L528&lt;L_rampe,Poussee&lt;Poids*SIN(M528)),0,(-W528+Poussee)/m*COS(M528)-U528/m*SIN(M528))</f>
        <v>-0.53661857212576</v>
      </c>
      <c r="E529" s="420" t="n">
        <f aca="false">IF(AND(L528&lt;L_rampe,Poussee&lt;Poids*SIN(M528)),0,(-W528+Poussee)/m*SIN(M528)+U528/m*COS(M528)-Poids/m)</f>
        <v>-6.10353539139703</v>
      </c>
      <c r="F529" s="418" t="n">
        <f aca="false">SQRT(acc_x^2+acc_z^2)</f>
        <v>6.12707954624276</v>
      </c>
      <c r="G529" s="419" t="n">
        <f aca="false">G528+acc_x*pas</f>
        <v>10.2775787501885</v>
      </c>
      <c r="H529" s="420" t="n">
        <f aca="false">H528+acc_z*pas</f>
        <v>-70.9889860345633</v>
      </c>
      <c r="I529" s="418" t="n">
        <f aca="false">SQRT(vit_x^2+vit_z^2)</f>
        <v>71.7291068059665</v>
      </c>
      <c r="J529" s="419" t="n">
        <f aca="false">J528+0.5*(vit_x+G528)*pas*(K528&gt;=0)</f>
        <v>211.791153319536</v>
      </c>
      <c r="K529" s="420" t="n">
        <f aca="false">K528+0.5*(vit_z+H528)*pas</f>
        <v>-5.70967436921251</v>
      </c>
      <c r="L529" s="418" t="n">
        <f aca="false">SQRT(pos_x^2+pos_z^2)</f>
        <v>211.86810285133</v>
      </c>
      <c r="M529" s="419" t="n">
        <f aca="false">IF(AND(L528&gt;L_rampe,G529&gt;0),ATAN2(G529,H529),$M$4)</f>
        <v>-1.42701823278472</v>
      </c>
      <c r="N529" s="418" t="n">
        <f aca="false">DEGREES(Beta)</f>
        <v>-81.7621220267815</v>
      </c>
      <c r="O529" s="402"/>
      <c r="P529" s="421" t="n">
        <f aca="false">MATCH(t-pas/2-T_ini,CdP_t)</f>
        <v>23</v>
      </c>
      <c r="Q529" s="418" t="n">
        <f aca="false">(INDEX(CdP,2,i_P+1)-INDEX(CdP,2,i_P+0))/(INDEX(CdP,1,i_P+1)-INDEX(CdP,1,i_P+0))*(t-pas/2-T_ini-INDEX(CdP,1,i_P+0))+INDEX(CdP,2,i_P+0)</f>
        <v>0</v>
      </c>
      <c r="R529" s="419" t="n">
        <f aca="false">Poussee/(g*ISP)</f>
        <v>0</v>
      </c>
      <c r="S529" s="420" t="n">
        <f aca="false">S528-Débit*pas</f>
        <v>1.4843</v>
      </c>
      <c r="T529" s="418" t="n">
        <f aca="false">m*g</f>
        <v>14.560983</v>
      </c>
      <c r="U529" s="422" t="n">
        <f aca="false">IF(pos_xz&lt;L_rampe,Poids*COS(Beta),0)</f>
        <v>0</v>
      </c>
      <c r="V529" s="419" t="n">
        <f aca="false">Rho_moyen*(20000-Alt_rampe-pos_z)/(20000+Alt_rampe+pos_z)</f>
        <v>1.22569963484459</v>
      </c>
      <c r="W529" s="418" t="n">
        <f aca="false">1/2*Rho*Sref*Cx*vit_xz^2</f>
        <v>5.55896126730326</v>
      </c>
      <c r="X529" s="402"/>
      <c r="Y529" s="423" t="str">
        <f aca="false">IF(AND(pos_z&lt;=0,K528&gt;0),"Impact balistique","") &amp; IF(AND(H530&lt;0,vit_z&gt;=0),"Apogée","") &amp; IF(AND(Poussee=0,Q528&gt;0),"Fin de propulsion","") &amp; IF(AND(L530&gt;L_rampe,pos_xz&lt;=L_rampe),"Sortie de rampe","")</f>
        <v/>
      </c>
      <c r="Z529" s="424" t="str">
        <f aca="false">IF(ABS(t-T_para)&lt;pas/2,"Para","")</f>
        <v/>
      </c>
      <c r="AA529" s="425" t="str">
        <f aca="false">IF(ABS(t-T_satellite)&lt;pas/2,"Satellite","")</f>
        <v/>
      </c>
      <c r="AB529" s="413"/>
      <c r="AC529" s="421" t="e">
        <f aca="false">IF(ABS(t-ROUND(t,0))&lt;0.001,t,NA())</f>
        <v>#N/A</v>
      </c>
      <c r="AD529" s="426" t="e">
        <f aca="false">IF(ABS(t-ROUND(t,0))&lt;0.001,pos_x,NA())</f>
        <v>#N/A</v>
      </c>
      <c r="AE529" s="427" t="e">
        <f aca="false">IF(t&lt;T_para, pos_z, NA())</f>
        <v>#N/A</v>
      </c>
      <c r="AF529" s="413"/>
      <c r="AG529" s="419" t="n">
        <f aca="false">IF(AND(L528&lt;L_rampe,Poussee&lt;Poids*SIN(M528)),0,(-W528+Poussee)/m-Poids*SIN(M528)/m)</f>
        <v>5.96366622278718</v>
      </c>
      <c r="AH529" s="418" t="n">
        <f aca="false">IF(AND(L528&lt;L_rampe,Poussee&lt;Poids*SIN(M528)), g*SIN(M528), (-W528+Poussee)/m)</f>
        <v>-3.74510872829838</v>
      </c>
    </row>
    <row r="530" customFormat="false" ht="12" hidden="false" customHeight="false" outlineLevel="0" collapsed="false">
      <c r="A530" s="417" t="n">
        <f aca="false">IF(B529+0.01&lt;=T_ini+ROUNDUP(Temps_fin_propu,0), 0.01, IF(K529&gt;0, 0.1, 0.0001))</f>
        <v>0.0001</v>
      </c>
      <c r="B530" s="418" t="n">
        <f aca="false">B529+pas</f>
        <v>16.5180999999999</v>
      </c>
      <c r="C530" s="402"/>
      <c r="D530" s="419" t="n">
        <f aca="false">IF(AND(L529&lt;L_rampe,Poussee&lt;Poids*SIN(M529)),0,(-W529+Poussee)/m*COS(M529)-U529/m*SIN(M529))</f>
        <v>-0.536620612800539</v>
      </c>
      <c r="E530" s="420" t="n">
        <f aca="false">IF(AND(L529&lt;L_rampe,Poussee&lt;Poids*SIN(M529)),0,(-W529+Poussee)/m*SIN(M529)+U529/m*COS(M529)-Poids/m)</f>
        <v>-6.10347007559951</v>
      </c>
      <c r="F530" s="418" t="n">
        <f aca="false">SQRT(acc_x^2+acc_z^2)</f>
        <v>6.12701466016045</v>
      </c>
      <c r="G530" s="419" t="n">
        <f aca="false">G529+acc_x*pas</f>
        <v>10.2775250881272</v>
      </c>
      <c r="H530" s="420" t="n">
        <f aca="false">H529+acc_z*pas</f>
        <v>-70.9895963815709</v>
      </c>
      <c r="I530" s="418" t="n">
        <f aca="false">SQRT(vit_x^2+vit_z^2)</f>
        <v>71.7297031665085</v>
      </c>
      <c r="J530" s="419" t="n">
        <f aca="false">J529+0.5*(vit_x+G529)*pas*(K529&gt;=0)</f>
        <v>211.791153319536</v>
      </c>
      <c r="K530" s="420" t="n">
        <f aca="false">K529+0.5*(vit_z+H529)*pas</f>
        <v>-5.71677329833332</v>
      </c>
      <c r="L530" s="418" t="n">
        <f aca="false">SQRT(pos_x^2+pos_z^2)</f>
        <v>211.868294280583</v>
      </c>
      <c r="M530" s="419" t="n">
        <f aca="false">IF(AND(L529&gt;L_rampe,G530&gt;0),ATAN2(G530,H530),$M$4)</f>
        <v>-1.42702019237539</v>
      </c>
      <c r="N530" s="418" t="n">
        <f aca="false">DEGREES(Beta)</f>
        <v>-81.7622343030567</v>
      </c>
      <c r="O530" s="402"/>
      <c r="P530" s="421" t="n">
        <f aca="false">MATCH(t-pas/2-T_ini,CdP_t)</f>
        <v>23</v>
      </c>
      <c r="Q530" s="418" t="n">
        <f aca="false">(INDEX(CdP,2,i_P+1)-INDEX(CdP,2,i_P+0))/(INDEX(CdP,1,i_P+1)-INDEX(CdP,1,i_P+0))*(t-pas/2-T_ini-INDEX(CdP,1,i_P+0))+INDEX(CdP,2,i_P+0)</f>
        <v>0</v>
      </c>
      <c r="R530" s="419" t="n">
        <f aca="false">Poussee/(g*ISP)</f>
        <v>0</v>
      </c>
      <c r="S530" s="420" t="n">
        <f aca="false">S529-Débit*pas</f>
        <v>1.4843</v>
      </c>
      <c r="T530" s="418" t="n">
        <f aca="false">m*g</f>
        <v>14.560983</v>
      </c>
      <c r="U530" s="422" t="n">
        <f aca="false">IF(pos_xz&lt;L_rampe,Poids*COS(Beta),0)</f>
        <v>0</v>
      </c>
      <c r="V530" s="419" t="n">
        <f aca="false">Rho_moyen*(20000-Alt_rampe-pos_z)/(20000+Alt_rampe+pos_z)</f>
        <v>1.22570050496045</v>
      </c>
      <c r="W530" s="418" t="n">
        <f aca="false">1/2*Rho*Sref*Cx*vit_xz^2</f>
        <v>5.55905764916595</v>
      </c>
      <c r="X530" s="402"/>
      <c r="Y530" s="423" t="str">
        <f aca="false">IF(AND(pos_z&lt;=0,K529&gt;0),"Impact balistique","") &amp; IF(AND(H531&lt;0,vit_z&gt;=0),"Apogée","") &amp; IF(AND(Poussee=0,Q529&gt;0),"Fin de propulsion","") &amp; IF(AND(L531&gt;L_rampe,pos_xz&lt;=L_rampe),"Sortie de rampe","")</f>
        <v/>
      </c>
      <c r="Z530" s="424" t="str">
        <f aca="false">IF(ABS(t-T_para)&lt;pas/2,"Para","")</f>
        <v/>
      </c>
      <c r="AA530" s="425" t="str">
        <f aca="false">IF(ABS(t-T_satellite)&lt;pas/2,"Satellite","")</f>
        <v/>
      </c>
      <c r="AB530" s="413"/>
      <c r="AC530" s="421" t="e">
        <f aca="false">IF(ABS(t-ROUND(t,0))&lt;0.001,t,NA())</f>
        <v>#N/A</v>
      </c>
      <c r="AD530" s="426" t="e">
        <f aca="false">IF(ABS(t-ROUND(t,0))&lt;0.001,pos_x,NA())</f>
        <v>#N/A</v>
      </c>
      <c r="AE530" s="427" t="e">
        <f aca="false">IF(t&lt;T_para, pos_z, NA())</f>
        <v>#N/A</v>
      </c>
      <c r="AF530" s="413"/>
      <c r="AG530" s="419" t="n">
        <f aca="false">IF(AND(L529&lt;L_rampe,Poussee&lt;Poids*SIN(M529)),0,(-W529+Poussee)/m-Poids*SIN(M529)/m)</f>
        <v>5.96360404304511</v>
      </c>
      <c r="AH530" s="418" t="n">
        <f aca="false">IF(AND(L529&lt;L_rampe,Poussee&lt;Poids*SIN(M529)), g*SIN(M529), (-W529+Poussee)/m)</f>
        <v>-3.74517366253673</v>
      </c>
    </row>
    <row r="531" customFormat="false" ht="12" hidden="false" customHeight="false" outlineLevel="0" collapsed="false">
      <c r="A531" s="417" t="n">
        <f aca="false">IF(B530+0.01&lt;=T_ini+ROUNDUP(Temps_fin_propu,0), 0.01, IF(K530&gt;0, 0.1, 0.0001))</f>
        <v>0.0001</v>
      </c>
      <c r="B531" s="418" t="n">
        <f aca="false">B530+pas</f>
        <v>16.5181999999999</v>
      </c>
      <c r="C531" s="402"/>
      <c r="D531" s="419" t="n">
        <f aca="false">IF(AND(L530&lt;L_rampe,Poussee&lt;Poids*SIN(M530)),0,(-W530+Poussee)/m*COS(M530)-U530/m*SIN(M530))</f>
        <v>-0.536622653377458</v>
      </c>
      <c r="E531" s="420" t="n">
        <f aca="false">IF(AND(L530&lt;L_rampe,Poussee&lt;Poids*SIN(M530)),0,(-W530+Poussee)/m*SIN(M530)+U530/m*COS(M530)-Poids/m)</f>
        <v>-6.10340475982093</v>
      </c>
      <c r="F531" s="418" t="n">
        <f aca="false">SQRT(acc_x^2+acc_z^2)</f>
        <v>6.12694977409825</v>
      </c>
      <c r="G531" s="419" t="n">
        <f aca="false">G530+acc_x*pas</f>
        <v>10.2774714258619</v>
      </c>
      <c r="H531" s="420" t="n">
        <f aca="false">H530+acc_z*pas</f>
        <v>-70.9902067220468</v>
      </c>
      <c r="I531" s="418" t="n">
        <f aca="false">SQRT(vit_x^2+vit_z^2)</f>
        <v>71.7302995208326</v>
      </c>
      <c r="J531" s="419" t="n">
        <f aca="false">J530+0.5*(vit_x+G530)*pas*(K530&gt;=0)</f>
        <v>211.791153319536</v>
      </c>
      <c r="K531" s="420" t="n">
        <f aca="false">K530+0.5*(vit_z+H530)*pas</f>
        <v>-5.7238722884885</v>
      </c>
      <c r="L531" s="418" t="n">
        <f aca="false">SQRT(pos_x^2+pos_z^2)</f>
        <v>211.868485949171</v>
      </c>
      <c r="M531" s="419" t="n">
        <f aca="false">IF(AND(L530&gt;L_rampe,G531&gt;0),ATAN2(G531,H531),$M$4)</f>
        <v>-1.42702215192325</v>
      </c>
      <c r="N531" s="418" t="n">
        <f aca="false">DEGREES(Beta)</f>
        <v>-81.7623465768788</v>
      </c>
      <c r="O531" s="402"/>
      <c r="P531" s="421" t="n">
        <f aca="false">MATCH(t-pas/2-T_ini,CdP_t)</f>
        <v>23</v>
      </c>
      <c r="Q531" s="418" t="n">
        <f aca="false">(INDEX(CdP,2,i_P+1)-INDEX(CdP,2,i_P+0))/(INDEX(CdP,1,i_P+1)-INDEX(CdP,1,i_P+0))*(t-pas/2-T_ini-INDEX(CdP,1,i_P+0))+INDEX(CdP,2,i_P+0)</f>
        <v>0</v>
      </c>
      <c r="R531" s="419" t="n">
        <f aca="false">Poussee/(g*ISP)</f>
        <v>0</v>
      </c>
      <c r="S531" s="420" t="n">
        <f aca="false">S530-Débit*pas</f>
        <v>1.4843</v>
      </c>
      <c r="T531" s="418" t="n">
        <f aca="false">m*g</f>
        <v>14.560983</v>
      </c>
      <c r="U531" s="422" t="n">
        <f aca="false">IF(pos_xz&lt;L_rampe,Poids*COS(Beta),0)</f>
        <v>0</v>
      </c>
      <c r="V531" s="419" t="n">
        <f aca="false">Rho_moyen*(20000-Alt_rampe-pos_z)/(20000+Alt_rampe+pos_z)</f>
        <v>1.22570137508441</v>
      </c>
      <c r="W531" s="418" t="n">
        <f aca="false">1/2*Rho*Sref*Cx*vit_xz^2</f>
        <v>5.55915403100133</v>
      </c>
      <c r="X531" s="402"/>
      <c r="Y531" s="423" t="str">
        <f aca="false">IF(AND(pos_z&lt;=0,K530&gt;0),"Impact balistique","") &amp; IF(AND(H532&lt;0,vit_z&gt;=0),"Apogée","") &amp; IF(AND(Poussee=0,Q530&gt;0),"Fin de propulsion","") &amp; IF(AND(L532&gt;L_rampe,pos_xz&lt;=L_rampe),"Sortie de rampe","")</f>
        <v/>
      </c>
      <c r="Z531" s="424" t="str">
        <f aca="false">IF(ABS(t-T_para)&lt;pas/2,"Para","")</f>
        <v/>
      </c>
      <c r="AA531" s="425" t="str">
        <f aca="false">IF(ABS(t-T_satellite)&lt;pas/2,"Satellite","")</f>
        <v/>
      </c>
      <c r="AB531" s="413"/>
      <c r="AC531" s="421" t="e">
        <f aca="false">IF(ABS(t-ROUND(t,0))&lt;0.001,t,NA())</f>
        <v>#N/A</v>
      </c>
      <c r="AD531" s="426" t="e">
        <f aca="false">IF(ABS(t-ROUND(t,0))&lt;0.001,pos_x,NA())</f>
        <v>#N/A</v>
      </c>
      <c r="AE531" s="427" t="e">
        <f aca="false">IF(t&lt;T_para, pos_z, NA())</f>
        <v>#N/A</v>
      </c>
      <c r="AF531" s="413"/>
      <c r="AG531" s="419" t="n">
        <f aca="false">IF(AND(L530&lt;L_rampe,Poussee&lt;Poids*SIN(M530)),0,(-W530+Poussee)/m-Poids*SIN(M530)/m)</f>
        <v>5.96354186322396</v>
      </c>
      <c r="AH531" s="418" t="n">
        <f aca="false">IF(AND(L530&lt;L_rampe,Poussee&lt;Poids*SIN(M530)), g*SIN(M530), (-W530+Poussee)/m)</f>
        <v>-3.74523859675669</v>
      </c>
    </row>
    <row r="532" customFormat="false" ht="12" hidden="false" customHeight="false" outlineLevel="0" collapsed="false">
      <c r="A532" s="417" t="n">
        <f aca="false">IF(B531+0.01&lt;=T_ini+ROUNDUP(Temps_fin_propu,0), 0.01, IF(K531&gt;0, 0.1, 0.0001))</f>
        <v>0.0001</v>
      </c>
      <c r="B532" s="418" t="n">
        <f aca="false">B531+pas</f>
        <v>16.5182999999999</v>
      </c>
      <c r="C532" s="402"/>
      <c r="D532" s="419" t="n">
        <f aca="false">IF(AND(L531&lt;L_rampe,Poussee&lt;Poids*SIN(M531)),0,(-W531+Poussee)/m*COS(M531)-U531/m*SIN(M531))</f>
        <v>-0.536624693856517</v>
      </c>
      <c r="E532" s="420" t="n">
        <f aca="false">IF(AND(L531&lt;L_rampe,Poussee&lt;Poids*SIN(M531)),0,(-W531+Poussee)/m*SIN(M531)+U531/m*COS(M531)-Poids/m)</f>
        <v>-6.1033394440613</v>
      </c>
      <c r="F532" s="418" t="n">
        <f aca="false">SQRT(acc_x^2+acc_z^2)</f>
        <v>6.12688488805618</v>
      </c>
      <c r="G532" s="419" t="n">
        <f aca="false">G531+acc_x*pas</f>
        <v>10.2774177633925</v>
      </c>
      <c r="H532" s="420" t="n">
        <f aca="false">H531+acc_z*pas</f>
        <v>-70.9908170559912</v>
      </c>
      <c r="I532" s="418" t="n">
        <f aca="false">SQRT(vit_x^2+vit_z^2)</f>
        <v>71.7308958689386</v>
      </c>
      <c r="J532" s="419" t="n">
        <f aca="false">J531+0.5*(vit_x+G531)*pas*(K531&gt;=0)</f>
        <v>211.791153319536</v>
      </c>
      <c r="K532" s="420" t="n">
        <f aca="false">K531+0.5*(vit_z+H531)*pas</f>
        <v>-5.7309713396774</v>
      </c>
      <c r="L532" s="418" t="n">
        <f aca="false">SQRT(pos_x^2+pos_z^2)</f>
        <v>211.8686778571</v>
      </c>
      <c r="M532" s="419" t="n">
        <f aca="false">IF(AND(L531&gt;L_rampe,G532&gt;0),ATAN2(G532,H532),$M$4)</f>
        <v>-1.4270241114283</v>
      </c>
      <c r="N532" s="418" t="n">
        <f aca="false">DEGREES(Beta)</f>
        <v>-81.7624588482479</v>
      </c>
      <c r="O532" s="402"/>
      <c r="P532" s="421" t="n">
        <f aca="false">MATCH(t-pas/2-T_ini,CdP_t)</f>
        <v>23</v>
      </c>
      <c r="Q532" s="418" t="n">
        <f aca="false">(INDEX(CdP,2,i_P+1)-INDEX(CdP,2,i_P+0))/(INDEX(CdP,1,i_P+1)-INDEX(CdP,1,i_P+0))*(t-pas/2-T_ini-INDEX(CdP,1,i_P+0))+INDEX(CdP,2,i_P+0)</f>
        <v>0</v>
      </c>
      <c r="R532" s="419" t="n">
        <f aca="false">Poussee/(g*ISP)</f>
        <v>0</v>
      </c>
      <c r="S532" s="420" t="n">
        <f aca="false">S531-Débit*pas</f>
        <v>1.4843</v>
      </c>
      <c r="T532" s="418" t="n">
        <f aca="false">m*g</f>
        <v>14.560983</v>
      </c>
      <c r="U532" s="422" t="n">
        <f aca="false">IF(pos_xz&lt;L_rampe,Poids*COS(Beta),0)</f>
        <v>0</v>
      </c>
      <c r="V532" s="419" t="n">
        <f aca="false">Rho_moyen*(20000-Alt_rampe-pos_z)/(20000+Alt_rampe+pos_z)</f>
        <v>1.22570224521647</v>
      </c>
      <c r="W532" s="418" t="n">
        <f aca="false">1/2*Rho*Sref*Cx*vit_xz^2</f>
        <v>5.55925041280938</v>
      </c>
      <c r="X532" s="402"/>
      <c r="Y532" s="423" t="str">
        <f aca="false">IF(AND(pos_z&lt;=0,K531&gt;0),"Impact balistique","") &amp; IF(AND(H533&lt;0,vit_z&gt;=0),"Apogée","") &amp; IF(AND(Poussee=0,Q531&gt;0),"Fin de propulsion","") &amp; IF(AND(L533&gt;L_rampe,pos_xz&lt;=L_rampe),"Sortie de rampe","")</f>
        <v/>
      </c>
      <c r="Z532" s="424" t="str">
        <f aca="false">IF(ABS(t-T_para)&lt;pas/2,"Para","")</f>
        <v/>
      </c>
      <c r="AA532" s="425" t="str">
        <f aca="false">IF(ABS(t-T_satellite)&lt;pas/2,"Satellite","")</f>
        <v/>
      </c>
      <c r="AB532" s="413"/>
      <c r="AC532" s="421" t="e">
        <f aca="false">IF(ABS(t-ROUND(t,0))&lt;0.001,t,NA())</f>
        <v>#N/A</v>
      </c>
      <c r="AD532" s="426" t="e">
        <f aca="false">IF(ABS(t-ROUND(t,0))&lt;0.001,pos_x,NA())</f>
        <v>#N/A</v>
      </c>
      <c r="AE532" s="427" t="e">
        <f aca="false">IF(t&lt;T_para, pos_z, NA())</f>
        <v>#N/A</v>
      </c>
      <c r="AF532" s="413"/>
      <c r="AG532" s="419" t="n">
        <f aca="false">IF(AND(L531&lt;L_rampe,Poussee&lt;Poids*SIN(M531)),0,(-W531+Poussee)/m-Poids*SIN(M531)/m)</f>
        <v>5.96347968332375</v>
      </c>
      <c r="AH532" s="418" t="n">
        <f aca="false">IF(AND(L531&lt;L_rampe,Poussee&lt;Poids*SIN(M531)), g*SIN(M531), (-W531+Poussee)/m)</f>
        <v>-3.74530353095826</v>
      </c>
    </row>
    <row r="533" customFormat="false" ht="12" hidden="false" customHeight="false" outlineLevel="0" collapsed="false">
      <c r="A533" s="417" t="n">
        <f aca="false">IF(B532+0.01&lt;=T_ini+ROUNDUP(Temps_fin_propu,0), 0.01, IF(K532&gt;0, 0.1, 0.0001))</f>
        <v>0.0001</v>
      </c>
      <c r="B533" s="418" t="n">
        <f aca="false">B532+pas</f>
        <v>16.5183999999999</v>
      </c>
      <c r="C533" s="402"/>
      <c r="D533" s="419" t="n">
        <f aca="false">IF(AND(L532&lt;L_rampe,Poussee&lt;Poids*SIN(M532)),0,(-W532+Poussee)/m*COS(M532)-U532/m*SIN(M532))</f>
        <v>-0.536626734237717</v>
      </c>
      <c r="E533" s="420" t="n">
        <f aca="false">IF(AND(L532&lt;L_rampe,Poussee&lt;Poids*SIN(M532)),0,(-W532+Poussee)/m*SIN(M532)+U532/m*COS(M532)-Poids/m)</f>
        <v>-6.10327412832065</v>
      </c>
      <c r="F533" s="418" t="n">
        <f aca="false">SQRT(acc_x^2+acc_z^2)</f>
        <v>6.12682000203424</v>
      </c>
      <c r="G533" s="419" t="n">
        <f aca="false">G532+acc_x*pas</f>
        <v>10.2773641007191</v>
      </c>
      <c r="H533" s="420" t="n">
        <f aca="false">H532+acc_z*pas</f>
        <v>-70.9914273834041</v>
      </c>
      <c r="I533" s="418" t="n">
        <f aca="false">SQRT(vit_x^2+vit_z^2)</f>
        <v>71.7314922108266</v>
      </c>
      <c r="J533" s="419" t="n">
        <f aca="false">J532+0.5*(vit_x+G532)*pas*(K532&gt;=0)</f>
        <v>211.791153319536</v>
      </c>
      <c r="K533" s="420" t="n">
        <f aca="false">K532+0.5*(vit_z+H532)*pas</f>
        <v>-5.73807045189937</v>
      </c>
      <c r="L533" s="418" t="n">
        <f aca="false">SQRT(pos_x^2+pos_z^2)</f>
        <v>211.868870004374</v>
      </c>
      <c r="M533" s="419" t="n">
        <f aca="false">IF(AND(L532&gt;L_rampe,G533&gt;0),ATAN2(G533,H533),$M$4)</f>
        <v>-1.42702607089053</v>
      </c>
      <c r="N533" s="418" t="n">
        <f aca="false">DEGREES(Beta)</f>
        <v>-81.762571117164</v>
      </c>
      <c r="O533" s="402"/>
      <c r="P533" s="421" t="n">
        <f aca="false">MATCH(t-pas/2-T_ini,CdP_t)</f>
        <v>23</v>
      </c>
      <c r="Q533" s="418" t="n">
        <f aca="false">(INDEX(CdP,2,i_P+1)-INDEX(CdP,2,i_P+0))/(INDEX(CdP,1,i_P+1)-INDEX(CdP,1,i_P+0))*(t-pas/2-T_ini-INDEX(CdP,1,i_P+0))+INDEX(CdP,2,i_P+0)</f>
        <v>0</v>
      </c>
      <c r="R533" s="419" t="n">
        <f aca="false">Poussee/(g*ISP)</f>
        <v>0</v>
      </c>
      <c r="S533" s="420" t="n">
        <f aca="false">S532-Débit*pas</f>
        <v>1.4843</v>
      </c>
      <c r="T533" s="418" t="n">
        <f aca="false">m*g</f>
        <v>14.560983</v>
      </c>
      <c r="U533" s="422" t="n">
        <f aca="false">IF(pos_xz&lt;L_rampe,Poids*COS(Beta),0)</f>
        <v>0</v>
      </c>
      <c r="V533" s="419" t="n">
        <f aca="false">Rho_moyen*(20000-Alt_rampe-pos_z)/(20000+Alt_rampe+pos_z)</f>
        <v>1.22570311535663</v>
      </c>
      <c r="W533" s="418" t="n">
        <f aca="false">1/2*Rho*Sref*Cx*vit_xz^2</f>
        <v>5.55934679459006</v>
      </c>
      <c r="X533" s="402"/>
      <c r="Y533" s="423" t="str">
        <f aca="false">IF(AND(pos_z&lt;=0,K532&gt;0),"Impact balistique","") &amp; IF(AND(H534&lt;0,vit_z&gt;=0),"Apogée","") &amp; IF(AND(Poussee=0,Q532&gt;0),"Fin de propulsion","") &amp; IF(AND(L534&gt;L_rampe,pos_xz&lt;=L_rampe),"Sortie de rampe","")</f>
        <v/>
      </c>
      <c r="Z533" s="424" t="str">
        <f aca="false">IF(ABS(t-T_para)&lt;pas/2,"Para","")</f>
        <v/>
      </c>
      <c r="AA533" s="425" t="str">
        <f aca="false">IF(ABS(t-T_satellite)&lt;pas/2,"Satellite","")</f>
        <v/>
      </c>
      <c r="AB533" s="413"/>
      <c r="AC533" s="421" t="e">
        <f aca="false">IF(ABS(t-ROUND(t,0))&lt;0.001,t,NA())</f>
        <v>#N/A</v>
      </c>
      <c r="AD533" s="426" t="e">
        <f aca="false">IF(ABS(t-ROUND(t,0))&lt;0.001,pos_x,NA())</f>
        <v>#N/A</v>
      </c>
      <c r="AE533" s="427" t="e">
        <f aca="false">IF(t&lt;T_para, pos_z, NA())</f>
        <v>#N/A</v>
      </c>
      <c r="AF533" s="413"/>
      <c r="AG533" s="419" t="n">
        <f aca="false">IF(AND(L532&lt;L_rampe,Poussee&lt;Poids*SIN(M532)),0,(-W532+Poussee)/m-Poids*SIN(M532)/m)</f>
        <v>5.9634175033445</v>
      </c>
      <c r="AH533" s="418" t="n">
        <f aca="false">IF(AND(L532&lt;L_rampe,Poussee&lt;Poids*SIN(M532)), g*SIN(M532), (-W532+Poussee)/m)</f>
        <v>-3.7453684651414</v>
      </c>
    </row>
    <row r="534" customFormat="false" ht="12" hidden="false" customHeight="false" outlineLevel="0" collapsed="false">
      <c r="A534" s="417" t="n">
        <f aca="false">IF(B533+0.01&lt;=T_ini+ROUNDUP(Temps_fin_propu,0), 0.01, IF(K533&gt;0, 0.1, 0.0001))</f>
        <v>0.0001</v>
      </c>
      <c r="B534" s="418" t="n">
        <f aca="false">B533+pas</f>
        <v>16.5184999999999</v>
      </c>
      <c r="C534" s="402"/>
      <c r="D534" s="419" t="n">
        <f aca="false">IF(AND(L533&lt;L_rampe,Poussee&lt;Poids*SIN(M533)),0,(-W533+Poussee)/m*COS(M533)-U533/m*SIN(M533))</f>
        <v>-0.536628774521059</v>
      </c>
      <c r="E534" s="420" t="n">
        <f aca="false">IF(AND(L533&lt;L_rampe,Poussee&lt;Poids*SIN(M533)),0,(-W533+Poussee)/m*SIN(M533)+U533/m*COS(M533)-Poids/m)</f>
        <v>-6.103208812599</v>
      </c>
      <c r="F534" s="418" t="n">
        <f aca="false">SQRT(acc_x^2+acc_z^2)</f>
        <v>6.12675511603247</v>
      </c>
      <c r="G534" s="419" t="n">
        <f aca="false">G533+acc_x*pas</f>
        <v>10.2773104378416</v>
      </c>
      <c r="H534" s="420" t="n">
        <f aca="false">H533+acc_z*pas</f>
        <v>-70.9920377042853</v>
      </c>
      <c r="I534" s="418" t="n">
        <f aca="false">SQRT(vit_x^2+vit_z^2)</f>
        <v>71.7320885464967</v>
      </c>
      <c r="J534" s="419" t="n">
        <f aca="false">J533+0.5*(vit_x+G533)*pas*(K533&gt;=0)</f>
        <v>211.791153319536</v>
      </c>
      <c r="K534" s="420" t="n">
        <f aca="false">K533+0.5*(vit_z+H533)*pas</f>
        <v>-5.74516962515375</v>
      </c>
      <c r="L534" s="418" t="n">
        <f aca="false">SQRT(pos_x^2+pos_z^2)</f>
        <v>211.869062390999</v>
      </c>
      <c r="M534" s="419" t="n">
        <f aca="false">IF(AND(L533&gt;L_rampe,G534&gt;0),ATAN2(G534,H534),$M$4)</f>
        <v>-1.42702803030995</v>
      </c>
      <c r="N534" s="418" t="n">
        <f aca="false">DEGREES(Beta)</f>
        <v>-81.7626833836273</v>
      </c>
      <c r="O534" s="402"/>
      <c r="P534" s="421" t="n">
        <f aca="false">MATCH(t-pas/2-T_ini,CdP_t)</f>
        <v>23</v>
      </c>
      <c r="Q534" s="418" t="n">
        <f aca="false">(INDEX(CdP,2,i_P+1)-INDEX(CdP,2,i_P+0))/(INDEX(CdP,1,i_P+1)-INDEX(CdP,1,i_P+0))*(t-pas/2-T_ini-INDEX(CdP,1,i_P+0))+INDEX(CdP,2,i_P+0)</f>
        <v>0</v>
      </c>
      <c r="R534" s="419" t="n">
        <f aca="false">Poussee/(g*ISP)</f>
        <v>0</v>
      </c>
      <c r="S534" s="420" t="n">
        <f aca="false">S533-Débit*pas</f>
        <v>1.4843</v>
      </c>
      <c r="T534" s="418" t="n">
        <f aca="false">m*g</f>
        <v>14.560983</v>
      </c>
      <c r="U534" s="422" t="n">
        <f aca="false">IF(pos_xz&lt;L_rampe,Poids*COS(Beta),0)</f>
        <v>0</v>
      </c>
      <c r="V534" s="419" t="n">
        <f aca="false">Rho_moyen*(20000-Alt_rampe-pos_z)/(20000+Alt_rampe+pos_z)</f>
        <v>1.22570398550489</v>
      </c>
      <c r="W534" s="418" t="n">
        <f aca="false">1/2*Rho*Sref*Cx*vit_xz^2</f>
        <v>5.55944317634335</v>
      </c>
      <c r="X534" s="402"/>
      <c r="Y534" s="423" t="str">
        <f aca="false">IF(AND(pos_z&lt;=0,K533&gt;0),"Impact balistique","") &amp; IF(AND(H535&lt;0,vit_z&gt;=0),"Apogée","") &amp; IF(AND(Poussee=0,Q533&gt;0),"Fin de propulsion","") &amp; IF(AND(L535&gt;L_rampe,pos_xz&lt;=L_rampe),"Sortie de rampe","")</f>
        <v/>
      </c>
      <c r="Z534" s="424" t="str">
        <f aca="false">IF(ABS(t-T_para)&lt;pas/2,"Para","")</f>
        <v/>
      </c>
      <c r="AA534" s="425" t="str">
        <f aca="false">IF(ABS(t-T_satellite)&lt;pas/2,"Satellite","")</f>
        <v/>
      </c>
      <c r="AB534" s="413"/>
      <c r="AC534" s="421" t="e">
        <f aca="false">IF(ABS(t-ROUND(t,0))&lt;0.001,t,NA())</f>
        <v>#N/A</v>
      </c>
      <c r="AD534" s="426" t="e">
        <f aca="false">IF(ABS(t-ROUND(t,0))&lt;0.001,pos_x,NA())</f>
        <v>#N/A</v>
      </c>
      <c r="AE534" s="427" t="e">
        <f aca="false">IF(t&lt;T_para, pos_z, NA())</f>
        <v>#N/A</v>
      </c>
      <c r="AF534" s="413"/>
      <c r="AG534" s="419" t="n">
        <f aca="false">IF(AND(L533&lt;L_rampe,Poussee&lt;Poids*SIN(M533)),0,(-W533+Poussee)/m-Poids*SIN(M533)/m)</f>
        <v>5.96335532328623</v>
      </c>
      <c r="AH534" s="418" t="n">
        <f aca="false">IF(AND(L533&lt;L_rampe,Poussee&lt;Poids*SIN(M533)), g*SIN(M533), (-W533+Poussee)/m)</f>
        <v>-3.74543339930611</v>
      </c>
    </row>
    <row r="535" customFormat="false" ht="12" hidden="false" customHeight="false" outlineLevel="0" collapsed="false">
      <c r="A535" s="417" t="n">
        <f aca="false">IF(B534+0.01&lt;=T_ini+ROUNDUP(Temps_fin_propu,0), 0.01, IF(K534&gt;0, 0.1, 0.0001))</f>
        <v>0.0001</v>
      </c>
      <c r="B535" s="418" t="n">
        <f aca="false">B534+pas</f>
        <v>16.5185999999999</v>
      </c>
      <c r="C535" s="402"/>
      <c r="D535" s="419" t="n">
        <f aca="false">IF(AND(L534&lt;L_rampe,Poussee&lt;Poids*SIN(M534)),0,(-W534+Poussee)/m*COS(M534)-U534/m*SIN(M534))</f>
        <v>-0.536630814706544</v>
      </c>
      <c r="E535" s="420" t="n">
        <f aca="false">IF(AND(L534&lt;L_rampe,Poussee&lt;Poids*SIN(M534)),0,(-W534+Poussee)/m*SIN(M534)+U534/m*COS(M534)-Poids/m)</f>
        <v>-6.10314349689634</v>
      </c>
      <c r="F535" s="418" t="n">
        <f aca="false">SQRT(acc_x^2+acc_z^2)</f>
        <v>6.12669023005086</v>
      </c>
      <c r="G535" s="419" t="n">
        <f aca="false">G534+acc_x*pas</f>
        <v>10.2772567747601</v>
      </c>
      <c r="H535" s="420" t="n">
        <f aca="false">H534+acc_z*pas</f>
        <v>-70.992648018635</v>
      </c>
      <c r="I535" s="418" t="n">
        <f aca="false">SQRT(vit_x^2+vit_z^2)</f>
        <v>71.7326848759487</v>
      </c>
      <c r="J535" s="419" t="n">
        <f aca="false">J534+0.5*(vit_x+G534)*pas*(K534&gt;=0)</f>
        <v>211.791153319536</v>
      </c>
      <c r="K535" s="420" t="n">
        <f aca="false">K534+0.5*(vit_z+H534)*pas</f>
        <v>-5.7522688594399</v>
      </c>
      <c r="L535" s="418" t="n">
        <f aca="false">SQRT(pos_x^2+pos_z^2)</f>
        <v>211.869255016981</v>
      </c>
      <c r="M535" s="419" t="n">
        <f aca="false">IF(AND(L534&gt;L_rampe,G535&gt;0),ATAN2(G535,H535),$M$4)</f>
        <v>-1.42702998968657</v>
      </c>
      <c r="N535" s="418" t="n">
        <f aca="false">DEGREES(Beta)</f>
        <v>-81.7627956476377</v>
      </c>
      <c r="O535" s="402"/>
      <c r="P535" s="421" t="n">
        <f aca="false">MATCH(t-pas/2-T_ini,CdP_t)</f>
        <v>23</v>
      </c>
      <c r="Q535" s="418" t="n">
        <f aca="false">(INDEX(CdP,2,i_P+1)-INDEX(CdP,2,i_P+0))/(INDEX(CdP,1,i_P+1)-INDEX(CdP,1,i_P+0))*(t-pas/2-T_ini-INDEX(CdP,1,i_P+0))+INDEX(CdP,2,i_P+0)</f>
        <v>0</v>
      </c>
      <c r="R535" s="419" t="n">
        <f aca="false">Poussee/(g*ISP)</f>
        <v>0</v>
      </c>
      <c r="S535" s="420" t="n">
        <f aca="false">S534-Débit*pas</f>
        <v>1.4843</v>
      </c>
      <c r="T535" s="418" t="n">
        <f aca="false">m*g</f>
        <v>14.560983</v>
      </c>
      <c r="U535" s="422" t="n">
        <f aca="false">IF(pos_xz&lt;L_rampe,Poids*COS(Beta),0)</f>
        <v>0</v>
      </c>
      <c r="V535" s="419" t="n">
        <f aca="false">Rho_moyen*(20000-Alt_rampe-pos_z)/(20000+Alt_rampe+pos_z)</f>
        <v>1.22570485566124</v>
      </c>
      <c r="W535" s="418" t="n">
        <f aca="false">1/2*Rho*Sref*Cx*vit_xz^2</f>
        <v>5.55953955806923</v>
      </c>
      <c r="X535" s="402"/>
      <c r="Y535" s="423" t="str">
        <f aca="false">IF(AND(pos_z&lt;=0,K534&gt;0),"Impact balistique","") &amp; IF(AND(H536&lt;0,vit_z&gt;=0),"Apogée","") &amp; IF(AND(Poussee=0,Q534&gt;0),"Fin de propulsion","") &amp; IF(AND(L536&gt;L_rampe,pos_xz&lt;=L_rampe),"Sortie de rampe","")</f>
        <v/>
      </c>
      <c r="Z535" s="424" t="str">
        <f aca="false">IF(ABS(t-T_para)&lt;pas/2,"Para","")</f>
        <v/>
      </c>
      <c r="AA535" s="425" t="str">
        <f aca="false">IF(ABS(t-T_satellite)&lt;pas/2,"Satellite","")</f>
        <v/>
      </c>
      <c r="AB535" s="413"/>
      <c r="AC535" s="421" t="e">
        <f aca="false">IF(ABS(t-ROUND(t,0))&lt;0.001,t,NA())</f>
        <v>#N/A</v>
      </c>
      <c r="AD535" s="426" t="e">
        <f aca="false">IF(ABS(t-ROUND(t,0))&lt;0.001,pos_x,NA())</f>
        <v>#N/A</v>
      </c>
      <c r="AE535" s="427" t="e">
        <f aca="false">IF(t&lt;T_para, pos_z, NA())</f>
        <v>#N/A</v>
      </c>
      <c r="AF535" s="413"/>
      <c r="AG535" s="419" t="n">
        <f aca="false">IF(AND(L534&lt;L_rampe,Poussee&lt;Poids*SIN(M534)),0,(-W534+Poussee)/m-Poids*SIN(M534)/m)</f>
        <v>5.96329314314896</v>
      </c>
      <c r="AH535" s="418" t="n">
        <f aca="false">IF(AND(L534&lt;L_rampe,Poussee&lt;Poids*SIN(M534)), g*SIN(M534), (-W534+Poussee)/m)</f>
        <v>-3.74549833345237</v>
      </c>
    </row>
    <row r="536" customFormat="false" ht="12" hidden="false" customHeight="false" outlineLevel="0" collapsed="false">
      <c r="A536" s="417" t="n">
        <f aca="false">IF(B535+0.01&lt;=T_ini+ROUNDUP(Temps_fin_propu,0), 0.01, IF(K535&gt;0, 0.1, 0.0001))</f>
        <v>0.0001</v>
      </c>
      <c r="B536" s="418" t="n">
        <f aca="false">B535+pas</f>
        <v>16.5186999999999</v>
      </c>
      <c r="C536" s="402"/>
      <c r="D536" s="419" t="n">
        <f aca="false">IF(AND(L535&lt;L_rampe,Poussee&lt;Poids*SIN(M535)),0,(-W535+Poussee)/m*COS(M535)-U535/m*SIN(M535))</f>
        <v>-0.536632854794171</v>
      </c>
      <c r="E536" s="420" t="n">
        <f aca="false">IF(AND(L535&lt;L_rampe,Poussee&lt;Poids*SIN(M535)),0,(-W535+Poussee)/m*SIN(M535)+U535/m*COS(M535)-Poids/m)</f>
        <v>-6.10307818121271</v>
      </c>
      <c r="F536" s="418" t="n">
        <f aca="false">SQRT(acc_x^2+acc_z^2)</f>
        <v>6.12662534408945</v>
      </c>
      <c r="G536" s="419" t="n">
        <f aca="false">G535+acc_x*pas</f>
        <v>10.2772031114747</v>
      </c>
      <c r="H536" s="420" t="n">
        <f aca="false">H535+acc_z*pas</f>
        <v>-70.9932583264531</v>
      </c>
      <c r="I536" s="418" t="n">
        <f aca="false">SQRT(vit_x^2+vit_z^2)</f>
        <v>71.7332811991827</v>
      </c>
      <c r="J536" s="419" t="n">
        <f aca="false">J535+0.5*(vit_x+G535)*pas*(K535&gt;=0)</f>
        <v>211.791153319536</v>
      </c>
      <c r="K536" s="420" t="n">
        <f aca="false">K535+0.5*(vit_z+H535)*pas</f>
        <v>-5.75936815475715</v>
      </c>
      <c r="L536" s="418" t="n">
        <f aca="false">SQRT(pos_x^2+pos_z^2)</f>
        <v>211.869447882325</v>
      </c>
      <c r="M536" s="419" t="n">
        <f aca="false">IF(AND(L535&gt;L_rampe,G536&gt;0),ATAN2(G536,H536),$M$4)</f>
        <v>-1.42703194902037</v>
      </c>
      <c r="N536" s="418" t="n">
        <f aca="false">DEGREES(Beta)</f>
        <v>-81.7629079091955</v>
      </c>
      <c r="O536" s="402"/>
      <c r="P536" s="421" t="n">
        <f aca="false">MATCH(t-pas/2-T_ini,CdP_t)</f>
        <v>23</v>
      </c>
      <c r="Q536" s="418" t="n">
        <f aca="false">(INDEX(CdP,2,i_P+1)-INDEX(CdP,2,i_P+0))/(INDEX(CdP,1,i_P+1)-INDEX(CdP,1,i_P+0))*(t-pas/2-T_ini-INDEX(CdP,1,i_P+0))+INDEX(CdP,2,i_P+0)</f>
        <v>0</v>
      </c>
      <c r="R536" s="419" t="n">
        <f aca="false">Poussee/(g*ISP)</f>
        <v>0</v>
      </c>
      <c r="S536" s="420" t="n">
        <f aca="false">S535-Débit*pas</f>
        <v>1.4843</v>
      </c>
      <c r="T536" s="418" t="n">
        <f aca="false">m*g</f>
        <v>14.560983</v>
      </c>
      <c r="U536" s="422" t="n">
        <f aca="false">IF(pos_xz&lt;L_rampe,Poids*COS(Beta),0)</f>
        <v>0</v>
      </c>
      <c r="V536" s="419" t="n">
        <f aca="false">Rho_moyen*(20000-Alt_rampe-pos_z)/(20000+Alt_rampe+pos_z)</f>
        <v>1.2257057258257</v>
      </c>
      <c r="W536" s="418" t="n">
        <f aca="false">1/2*Rho*Sref*Cx*vit_xz^2</f>
        <v>5.55963593976768</v>
      </c>
      <c r="X536" s="402"/>
      <c r="Y536" s="423" t="str">
        <f aca="false">IF(AND(pos_z&lt;=0,K535&gt;0),"Impact balistique","") &amp; IF(AND(H537&lt;0,vit_z&gt;=0),"Apogée","") &amp; IF(AND(Poussee=0,Q535&gt;0),"Fin de propulsion","") &amp; IF(AND(L537&gt;L_rampe,pos_xz&lt;=L_rampe),"Sortie de rampe","")</f>
        <v/>
      </c>
      <c r="Z536" s="424" t="str">
        <f aca="false">IF(ABS(t-T_para)&lt;pas/2,"Para","")</f>
        <v/>
      </c>
      <c r="AA536" s="425" t="str">
        <f aca="false">IF(ABS(t-T_satellite)&lt;pas/2,"Satellite","")</f>
        <v/>
      </c>
      <c r="AB536" s="413"/>
      <c r="AC536" s="421" t="e">
        <f aca="false">IF(ABS(t-ROUND(t,0))&lt;0.001,t,NA())</f>
        <v>#N/A</v>
      </c>
      <c r="AD536" s="426" t="e">
        <f aca="false">IF(ABS(t-ROUND(t,0))&lt;0.001,pos_x,NA())</f>
        <v>#N/A</v>
      </c>
      <c r="AE536" s="427" t="e">
        <f aca="false">IF(t&lt;T_para, pos_z, NA())</f>
        <v>#N/A</v>
      </c>
      <c r="AF536" s="413"/>
      <c r="AG536" s="419" t="n">
        <f aca="false">IF(AND(L535&lt;L_rampe,Poussee&lt;Poids*SIN(M535)),0,(-W535+Poussee)/m-Poids*SIN(M535)/m)</f>
        <v>5.96323096293273</v>
      </c>
      <c r="AH536" s="418" t="n">
        <f aca="false">IF(AND(L535&lt;L_rampe,Poussee&lt;Poids*SIN(M535)), g*SIN(M535), (-W535+Poussee)/m)</f>
        <v>-3.74556326758016</v>
      </c>
    </row>
    <row r="537" customFormat="false" ht="12" hidden="false" customHeight="false" outlineLevel="0" collapsed="false">
      <c r="A537" s="417" t="n">
        <f aca="false">IF(B536+0.01&lt;=T_ini+ROUNDUP(Temps_fin_propu,0), 0.01, IF(K536&gt;0, 0.1, 0.0001))</f>
        <v>0.0001</v>
      </c>
      <c r="B537" s="418" t="n">
        <f aca="false">B536+pas</f>
        <v>16.5187999999999</v>
      </c>
      <c r="C537" s="402"/>
      <c r="D537" s="419" t="n">
        <f aca="false">IF(AND(L536&lt;L_rampe,Poussee&lt;Poids*SIN(M536)),0,(-W536+Poussee)/m*COS(M536)-U536/m*SIN(M536))</f>
        <v>-0.536634894783942</v>
      </c>
      <c r="E537" s="420" t="n">
        <f aca="false">IF(AND(L536&lt;L_rampe,Poussee&lt;Poids*SIN(M536)),0,(-W536+Poussee)/m*SIN(M536)+U536/m*COS(M536)-Poids/m)</f>
        <v>-6.10301286554812</v>
      </c>
      <c r="F537" s="418" t="n">
        <f aca="false">SQRT(acc_x^2+acc_z^2)</f>
        <v>6.12656045814825</v>
      </c>
      <c r="G537" s="419" t="n">
        <f aca="false">G536+acc_x*pas</f>
        <v>10.2771494479852</v>
      </c>
      <c r="H537" s="420" t="n">
        <f aca="false">H536+acc_z*pas</f>
        <v>-70.9938686277397</v>
      </c>
      <c r="I537" s="418" t="n">
        <f aca="false">SQRT(vit_x^2+vit_z^2)</f>
        <v>71.7338775161986</v>
      </c>
      <c r="J537" s="419" t="n">
        <f aca="false">J536+0.5*(vit_x+G536)*pas*(K536&gt;=0)</f>
        <v>211.791153319536</v>
      </c>
      <c r="K537" s="420" t="n">
        <f aca="false">K536+0.5*(vit_z+H536)*pas</f>
        <v>-5.76646751110486</v>
      </c>
      <c r="L537" s="418" t="n">
        <f aca="false">SQRT(pos_x^2+pos_z^2)</f>
        <v>211.869640987037</v>
      </c>
      <c r="M537" s="419" t="n">
        <f aca="false">IF(AND(L536&gt;L_rampe,G537&gt;0),ATAN2(G537,H537),$M$4)</f>
        <v>-1.42703390831137</v>
      </c>
      <c r="N537" s="418" t="n">
        <f aca="false">DEGREES(Beta)</f>
        <v>-81.7630201683006</v>
      </c>
      <c r="O537" s="402"/>
      <c r="P537" s="421" t="n">
        <f aca="false">MATCH(t-pas/2-T_ini,CdP_t)</f>
        <v>23</v>
      </c>
      <c r="Q537" s="418" t="n">
        <f aca="false">(INDEX(CdP,2,i_P+1)-INDEX(CdP,2,i_P+0))/(INDEX(CdP,1,i_P+1)-INDEX(CdP,1,i_P+0))*(t-pas/2-T_ini-INDEX(CdP,1,i_P+0))+INDEX(CdP,2,i_P+0)</f>
        <v>0</v>
      </c>
      <c r="R537" s="419" t="n">
        <f aca="false">Poussee/(g*ISP)</f>
        <v>0</v>
      </c>
      <c r="S537" s="420" t="n">
        <f aca="false">S536-Débit*pas</f>
        <v>1.4843</v>
      </c>
      <c r="T537" s="418" t="n">
        <f aca="false">m*g</f>
        <v>14.560983</v>
      </c>
      <c r="U537" s="422" t="n">
        <f aca="false">IF(pos_xz&lt;L_rampe,Poids*COS(Beta),0)</f>
        <v>0</v>
      </c>
      <c r="V537" s="419" t="n">
        <f aca="false">Rho_moyen*(20000-Alt_rampe-pos_z)/(20000+Alt_rampe+pos_z)</f>
        <v>1.22570659599825</v>
      </c>
      <c r="W537" s="418" t="n">
        <f aca="false">1/2*Rho*Sref*Cx*vit_xz^2</f>
        <v>5.55973232143867</v>
      </c>
      <c r="X537" s="402"/>
      <c r="Y537" s="423" t="str">
        <f aca="false">IF(AND(pos_z&lt;=0,K536&gt;0),"Impact balistique","") &amp; IF(AND(H538&lt;0,vit_z&gt;=0),"Apogée","") &amp; IF(AND(Poussee=0,Q536&gt;0),"Fin de propulsion","") &amp; IF(AND(L538&gt;L_rampe,pos_xz&lt;=L_rampe),"Sortie de rampe","")</f>
        <v/>
      </c>
      <c r="Z537" s="424" t="str">
        <f aca="false">IF(ABS(t-T_para)&lt;pas/2,"Para","")</f>
        <v/>
      </c>
      <c r="AA537" s="425" t="str">
        <f aca="false">IF(ABS(t-T_satellite)&lt;pas/2,"Satellite","")</f>
        <v/>
      </c>
      <c r="AB537" s="413"/>
      <c r="AC537" s="421" t="e">
        <f aca="false">IF(ABS(t-ROUND(t,0))&lt;0.001,t,NA())</f>
        <v>#N/A</v>
      </c>
      <c r="AD537" s="426" t="e">
        <f aca="false">IF(ABS(t-ROUND(t,0))&lt;0.001,pos_x,NA())</f>
        <v>#N/A</v>
      </c>
      <c r="AE537" s="427" t="e">
        <f aca="false">IF(t&lt;T_para, pos_z, NA())</f>
        <v>#N/A</v>
      </c>
      <c r="AF537" s="413"/>
      <c r="AG537" s="419" t="n">
        <f aca="false">IF(AND(L536&lt;L_rampe,Poussee&lt;Poids*SIN(M536)),0,(-W536+Poussee)/m-Poids*SIN(M536)/m)</f>
        <v>5.96316878263753</v>
      </c>
      <c r="AH537" s="418" t="n">
        <f aca="false">IF(AND(L536&lt;L_rampe,Poussee&lt;Poids*SIN(M536)), g*SIN(M536), (-W536+Poussee)/m)</f>
        <v>-3.74562820168948</v>
      </c>
    </row>
    <row r="538" customFormat="false" ht="12" hidden="false" customHeight="false" outlineLevel="0" collapsed="false">
      <c r="A538" s="417" t="n">
        <f aca="false">IF(B537+0.01&lt;=T_ini+ROUNDUP(Temps_fin_propu,0), 0.01, IF(K537&gt;0, 0.1, 0.0001))</f>
        <v>0.0001</v>
      </c>
      <c r="B538" s="418" t="n">
        <f aca="false">B537+pas</f>
        <v>16.5188999999999</v>
      </c>
      <c r="C538" s="402"/>
      <c r="D538" s="419" t="n">
        <f aca="false">IF(AND(L537&lt;L_rampe,Poussee&lt;Poids*SIN(M537)),0,(-W537+Poussee)/m*COS(M537)-U537/m*SIN(M537))</f>
        <v>-0.536636934675858</v>
      </c>
      <c r="E538" s="420" t="n">
        <f aca="false">IF(AND(L537&lt;L_rampe,Poussee&lt;Poids*SIN(M537)),0,(-W537+Poussee)/m*SIN(M537)+U537/m*COS(M537)-Poids/m)</f>
        <v>-6.10294754990258</v>
      </c>
      <c r="F538" s="418" t="n">
        <f aca="false">SQRT(acc_x^2+acc_z^2)</f>
        <v>6.12649557222726</v>
      </c>
      <c r="G538" s="419" t="n">
        <f aca="false">G537+acc_x*pas</f>
        <v>10.2770957842917</v>
      </c>
      <c r="H538" s="420" t="n">
        <f aca="false">H537+acc_z*pas</f>
        <v>-70.9944789224947</v>
      </c>
      <c r="I538" s="418" t="n">
        <f aca="false">SQRT(vit_x^2+vit_z^2)</f>
        <v>71.7344738269965</v>
      </c>
      <c r="J538" s="419" t="n">
        <f aca="false">J537+0.5*(vit_x+G537)*pas*(K537&gt;=0)</f>
        <v>211.791153319536</v>
      </c>
      <c r="K538" s="420" t="n">
        <f aca="false">K537+0.5*(vit_z+H537)*pas</f>
        <v>-5.77356692848237</v>
      </c>
      <c r="L538" s="418" t="n">
        <f aca="false">SQRT(pos_x^2+pos_z^2)</f>
        <v>211.869834331122</v>
      </c>
      <c r="M538" s="419" t="n">
        <f aca="false">IF(AND(L537&gt;L_rampe,G538&gt;0),ATAN2(G538,H538),$M$4)</f>
        <v>-1.42703586755957</v>
      </c>
      <c r="N538" s="418" t="n">
        <f aca="false">DEGREES(Beta)</f>
        <v>-81.7631324249532</v>
      </c>
      <c r="O538" s="402"/>
      <c r="P538" s="421" t="n">
        <f aca="false">MATCH(t-pas/2-T_ini,CdP_t)</f>
        <v>23</v>
      </c>
      <c r="Q538" s="418" t="n">
        <f aca="false">(INDEX(CdP,2,i_P+1)-INDEX(CdP,2,i_P+0))/(INDEX(CdP,1,i_P+1)-INDEX(CdP,1,i_P+0))*(t-pas/2-T_ini-INDEX(CdP,1,i_P+0))+INDEX(CdP,2,i_P+0)</f>
        <v>0</v>
      </c>
      <c r="R538" s="419" t="n">
        <f aca="false">Poussee/(g*ISP)</f>
        <v>0</v>
      </c>
      <c r="S538" s="420" t="n">
        <f aca="false">S537-Débit*pas</f>
        <v>1.4843</v>
      </c>
      <c r="T538" s="418" t="n">
        <f aca="false">m*g</f>
        <v>14.560983</v>
      </c>
      <c r="U538" s="422" t="n">
        <f aca="false">IF(pos_xz&lt;L_rampe,Poids*COS(Beta),0)</f>
        <v>0</v>
      </c>
      <c r="V538" s="419" t="n">
        <f aca="false">Rho_moyen*(20000-Alt_rampe-pos_z)/(20000+Alt_rampe+pos_z)</f>
        <v>1.22570746617891</v>
      </c>
      <c r="W538" s="418" t="n">
        <f aca="false">1/2*Rho*Sref*Cx*vit_xz^2</f>
        <v>5.55982870308218</v>
      </c>
      <c r="X538" s="402"/>
      <c r="Y538" s="423" t="str">
        <f aca="false">IF(AND(pos_z&lt;=0,K537&gt;0),"Impact balistique","") &amp; IF(AND(H539&lt;0,vit_z&gt;=0),"Apogée","") &amp; IF(AND(Poussee=0,Q537&gt;0),"Fin de propulsion","") &amp; IF(AND(L539&gt;L_rampe,pos_xz&lt;=L_rampe),"Sortie de rampe","")</f>
        <v/>
      </c>
      <c r="Z538" s="424" t="str">
        <f aca="false">IF(ABS(t-T_para)&lt;pas/2,"Para","")</f>
        <v/>
      </c>
      <c r="AA538" s="425" t="str">
        <f aca="false">IF(ABS(t-T_satellite)&lt;pas/2,"Satellite","")</f>
        <v/>
      </c>
      <c r="AB538" s="413"/>
      <c r="AC538" s="421" t="e">
        <f aca="false">IF(ABS(t-ROUND(t,0))&lt;0.001,t,NA())</f>
        <v>#N/A</v>
      </c>
      <c r="AD538" s="426" t="e">
        <f aca="false">IF(ABS(t-ROUND(t,0))&lt;0.001,pos_x,NA())</f>
        <v>#N/A</v>
      </c>
      <c r="AE538" s="427" t="e">
        <f aca="false">IF(t&lt;T_para, pos_z, NA())</f>
        <v>#N/A</v>
      </c>
      <c r="AF538" s="413"/>
      <c r="AG538" s="419" t="n">
        <f aca="false">IF(AND(L537&lt;L_rampe,Poussee&lt;Poids*SIN(M537)),0,(-W537+Poussee)/m-Poids*SIN(M537)/m)</f>
        <v>5.96310660226339</v>
      </c>
      <c r="AH538" s="418" t="n">
        <f aca="false">IF(AND(L537&lt;L_rampe,Poussee&lt;Poids*SIN(M537)), g*SIN(M537), (-W537+Poussee)/m)</f>
        <v>-3.74569313578029</v>
      </c>
    </row>
    <row r="539" customFormat="false" ht="12" hidden="false" customHeight="false" outlineLevel="0" collapsed="false">
      <c r="A539" s="417" t="n">
        <f aca="false">IF(B538+0.01&lt;=T_ini+ROUNDUP(Temps_fin_propu,0), 0.01, IF(K538&gt;0, 0.1, 0.0001))</f>
        <v>0.0001</v>
      </c>
      <c r="B539" s="418" t="n">
        <f aca="false">B538+pas</f>
        <v>16.5189999999999</v>
      </c>
      <c r="C539" s="402"/>
      <c r="D539" s="419" t="n">
        <f aca="false">IF(AND(L538&lt;L_rampe,Poussee&lt;Poids*SIN(M538)),0,(-W538+Poussee)/m*COS(M538)-U538/m*SIN(M538))</f>
        <v>-0.536638974469918</v>
      </c>
      <c r="E539" s="420" t="n">
        <f aca="false">IF(AND(L538&lt;L_rampe,Poussee&lt;Poids*SIN(M538)),0,(-W538+Poussee)/m*SIN(M538)+U538/m*COS(M538)-Poids/m)</f>
        <v>-6.10288223427612</v>
      </c>
      <c r="F539" s="418" t="n">
        <f aca="false">SQRT(acc_x^2+acc_z^2)</f>
        <v>6.12643068632652</v>
      </c>
      <c r="G539" s="419" t="n">
        <f aca="false">G538+acc_x*pas</f>
        <v>10.2770421203943</v>
      </c>
      <c r="H539" s="420" t="n">
        <f aca="false">H538+acc_z*pas</f>
        <v>-70.9950892107181</v>
      </c>
      <c r="I539" s="418" t="n">
        <f aca="false">SQRT(vit_x^2+vit_z^2)</f>
        <v>71.7350701315764</v>
      </c>
      <c r="J539" s="419" t="n">
        <f aca="false">J538+0.5*(vit_x+G538)*pas*(K538&gt;=0)</f>
        <v>211.791153319536</v>
      </c>
      <c r="K539" s="420" t="n">
        <f aca="false">K538+0.5*(vit_z+H538)*pas</f>
        <v>-5.78066640688903</v>
      </c>
      <c r="L539" s="418" t="n">
        <f aca="false">SQRT(pos_x^2+pos_z^2)</f>
        <v>211.870027914585</v>
      </c>
      <c r="M539" s="419" t="n">
        <f aca="false">IF(AND(L538&gt;L_rampe,G539&gt;0),ATAN2(G539,H539),$M$4)</f>
        <v>-1.42703782676496</v>
      </c>
      <c r="N539" s="418" t="n">
        <f aca="false">DEGREES(Beta)</f>
        <v>-81.7632446791534</v>
      </c>
      <c r="O539" s="402"/>
      <c r="P539" s="421" t="n">
        <f aca="false">MATCH(t-pas/2-T_ini,CdP_t)</f>
        <v>23</v>
      </c>
      <c r="Q539" s="418" t="n">
        <f aca="false">(INDEX(CdP,2,i_P+1)-INDEX(CdP,2,i_P+0))/(INDEX(CdP,1,i_P+1)-INDEX(CdP,1,i_P+0))*(t-pas/2-T_ini-INDEX(CdP,1,i_P+0))+INDEX(CdP,2,i_P+0)</f>
        <v>0</v>
      </c>
      <c r="R539" s="419" t="n">
        <f aca="false">Poussee/(g*ISP)</f>
        <v>0</v>
      </c>
      <c r="S539" s="420" t="n">
        <f aca="false">S538-Débit*pas</f>
        <v>1.4843</v>
      </c>
      <c r="T539" s="418" t="n">
        <f aca="false">m*g</f>
        <v>14.560983</v>
      </c>
      <c r="U539" s="422" t="n">
        <f aca="false">IF(pos_xz&lt;L_rampe,Poids*COS(Beta),0)</f>
        <v>0</v>
      </c>
      <c r="V539" s="419" t="n">
        <f aca="false">Rho_moyen*(20000-Alt_rampe-pos_z)/(20000+Alt_rampe+pos_z)</f>
        <v>1.22570833636766</v>
      </c>
      <c r="W539" s="418" t="n">
        <f aca="false">1/2*Rho*Sref*Cx*vit_xz^2</f>
        <v>5.55992508469818</v>
      </c>
      <c r="X539" s="402"/>
      <c r="Y539" s="423" t="str">
        <f aca="false">IF(AND(pos_z&lt;=0,K538&gt;0),"Impact balistique","") &amp; IF(AND(H540&lt;0,vit_z&gt;=0),"Apogée","") &amp; IF(AND(Poussee=0,Q538&gt;0),"Fin de propulsion","") &amp; IF(AND(L540&gt;L_rampe,pos_xz&lt;=L_rampe),"Sortie de rampe","")</f>
        <v/>
      </c>
      <c r="Z539" s="424" t="str">
        <f aca="false">IF(ABS(t-T_para)&lt;pas/2,"Para","")</f>
        <v/>
      </c>
      <c r="AA539" s="425" t="str">
        <f aca="false">IF(ABS(t-T_satellite)&lt;pas/2,"Satellite","")</f>
        <v/>
      </c>
      <c r="AB539" s="413"/>
      <c r="AC539" s="421" t="e">
        <f aca="false">IF(ABS(t-ROUND(t,0))&lt;0.001,t,NA())</f>
        <v>#N/A</v>
      </c>
      <c r="AD539" s="426" t="e">
        <f aca="false">IF(ABS(t-ROUND(t,0))&lt;0.001,pos_x,NA())</f>
        <v>#N/A</v>
      </c>
      <c r="AE539" s="427" t="e">
        <f aca="false">IF(t&lt;T_para, pos_z, NA())</f>
        <v>#N/A</v>
      </c>
      <c r="AF539" s="413"/>
      <c r="AG539" s="419" t="n">
        <f aca="false">IF(AND(L538&lt;L_rampe,Poussee&lt;Poids*SIN(M538)),0,(-W538+Poussee)/m-Poids*SIN(M538)/m)</f>
        <v>5.96304442181035</v>
      </c>
      <c r="AH539" s="418" t="n">
        <f aca="false">IF(AND(L538&lt;L_rampe,Poussee&lt;Poids*SIN(M538)), g*SIN(M538), (-W538+Poussee)/m)</f>
        <v>-3.74575806985258</v>
      </c>
    </row>
    <row r="540" customFormat="false" ht="12" hidden="false" customHeight="false" outlineLevel="0" collapsed="false">
      <c r="A540" s="417" t="n">
        <f aca="false">IF(B539+0.01&lt;=T_ini+ROUNDUP(Temps_fin_propu,0), 0.01, IF(K539&gt;0, 0.1, 0.0001))</f>
        <v>0.0001</v>
      </c>
      <c r="B540" s="418" t="n">
        <f aca="false">B539+pas</f>
        <v>16.5190999999999</v>
      </c>
      <c r="C540" s="402"/>
      <c r="D540" s="419" t="n">
        <f aca="false">IF(AND(L539&lt;L_rampe,Poussee&lt;Poids*SIN(M539)),0,(-W539+Poussee)/m*COS(M539)-U539/m*SIN(M539))</f>
        <v>-0.536641014166125</v>
      </c>
      <c r="E540" s="420" t="n">
        <f aca="false">IF(AND(L539&lt;L_rampe,Poussee&lt;Poids*SIN(M539)),0,(-W539+Poussee)/m*SIN(M539)+U539/m*COS(M539)-Poids/m)</f>
        <v>-6.10281691866875</v>
      </c>
      <c r="F540" s="418" t="n">
        <f aca="false">SQRT(acc_x^2+acc_z^2)</f>
        <v>6.12636580044603</v>
      </c>
      <c r="G540" s="419" t="n">
        <f aca="false">G539+acc_x*pas</f>
        <v>10.2769884562929</v>
      </c>
      <c r="H540" s="420" t="n">
        <f aca="false">H539+acc_z*pas</f>
        <v>-70.99569949241</v>
      </c>
      <c r="I540" s="418" t="n">
        <f aca="false">SQRT(vit_x^2+vit_z^2)</f>
        <v>71.7356664299382</v>
      </c>
      <c r="J540" s="419" t="n">
        <f aca="false">J539+0.5*(vit_x+G539)*pas*(K539&gt;=0)</f>
        <v>211.791153319536</v>
      </c>
      <c r="K540" s="420" t="n">
        <f aca="false">K539+0.5*(vit_z+H539)*pas</f>
        <v>-5.78776594632419</v>
      </c>
      <c r="L540" s="418" t="n">
        <f aca="false">SQRT(pos_x^2+pos_z^2)</f>
        <v>211.870221737432</v>
      </c>
      <c r="M540" s="419" t="n">
        <f aca="false">IF(AND(L539&gt;L_rampe,G540&gt;0),ATAN2(G540,H540),$M$4)</f>
        <v>-1.42703978592755</v>
      </c>
      <c r="N540" s="418" t="n">
        <f aca="false">DEGREES(Beta)</f>
        <v>-81.7633569309011</v>
      </c>
      <c r="O540" s="402"/>
      <c r="P540" s="421" t="n">
        <f aca="false">MATCH(t-pas/2-T_ini,CdP_t)</f>
        <v>23</v>
      </c>
      <c r="Q540" s="418" t="n">
        <f aca="false">(INDEX(CdP,2,i_P+1)-INDEX(CdP,2,i_P+0))/(INDEX(CdP,1,i_P+1)-INDEX(CdP,1,i_P+0))*(t-pas/2-T_ini-INDEX(CdP,1,i_P+0))+INDEX(CdP,2,i_P+0)</f>
        <v>0</v>
      </c>
      <c r="R540" s="419" t="n">
        <f aca="false">Poussee/(g*ISP)</f>
        <v>0</v>
      </c>
      <c r="S540" s="420" t="n">
        <f aca="false">S539-Débit*pas</f>
        <v>1.4843</v>
      </c>
      <c r="T540" s="418" t="n">
        <f aca="false">m*g</f>
        <v>14.560983</v>
      </c>
      <c r="U540" s="422" t="n">
        <f aca="false">IF(pos_xz&lt;L_rampe,Poids*COS(Beta),0)</f>
        <v>0</v>
      </c>
      <c r="V540" s="419" t="n">
        <f aca="false">Rho_moyen*(20000-Alt_rampe-pos_z)/(20000+Alt_rampe+pos_z)</f>
        <v>1.2257092065645</v>
      </c>
      <c r="W540" s="418" t="n">
        <f aca="false">1/2*Rho*Sref*Cx*vit_xz^2</f>
        <v>5.56002146628665</v>
      </c>
      <c r="X540" s="402"/>
      <c r="Y540" s="423" t="str">
        <f aca="false">IF(AND(pos_z&lt;=0,K539&gt;0),"Impact balistique","") &amp; IF(AND(H541&lt;0,vit_z&gt;=0),"Apogée","") &amp; IF(AND(Poussee=0,Q539&gt;0),"Fin de propulsion","") &amp; IF(AND(L541&gt;L_rampe,pos_xz&lt;=L_rampe),"Sortie de rampe","")</f>
        <v/>
      </c>
      <c r="Z540" s="424" t="str">
        <f aca="false">IF(ABS(t-T_para)&lt;pas/2,"Para","")</f>
        <v/>
      </c>
      <c r="AA540" s="425" t="str">
        <f aca="false">IF(ABS(t-T_satellite)&lt;pas/2,"Satellite","")</f>
        <v/>
      </c>
      <c r="AB540" s="413"/>
      <c r="AC540" s="421" t="e">
        <f aca="false">IF(ABS(t-ROUND(t,0))&lt;0.001,t,NA())</f>
        <v>#N/A</v>
      </c>
      <c r="AD540" s="426" t="e">
        <f aca="false">IF(ABS(t-ROUND(t,0))&lt;0.001,pos_x,NA())</f>
        <v>#N/A</v>
      </c>
      <c r="AE540" s="427" t="e">
        <f aca="false">IF(t&lt;T_para, pos_z, NA())</f>
        <v>#N/A</v>
      </c>
      <c r="AF540" s="413"/>
      <c r="AG540" s="419" t="n">
        <f aca="false">IF(AND(L539&lt;L_rampe,Poussee&lt;Poids*SIN(M539)),0,(-W539+Poussee)/m-Poids*SIN(M539)/m)</f>
        <v>5.96298224127841</v>
      </c>
      <c r="AH540" s="418" t="n">
        <f aca="false">IF(AND(L539&lt;L_rampe,Poussee&lt;Poids*SIN(M539)), g*SIN(M539), (-W539+Poussee)/m)</f>
        <v>-3.74582300390634</v>
      </c>
    </row>
    <row r="541" customFormat="false" ht="12" hidden="false" customHeight="false" outlineLevel="0" collapsed="false">
      <c r="A541" s="417" t="n">
        <f aca="false">IF(B540+0.01&lt;=T_ini+ROUNDUP(Temps_fin_propu,0), 0.01, IF(K540&gt;0, 0.1, 0.0001))</f>
        <v>0.0001</v>
      </c>
      <c r="B541" s="418" t="n">
        <f aca="false">B540+pas</f>
        <v>16.5191999999999</v>
      </c>
      <c r="C541" s="402"/>
      <c r="D541" s="419" t="n">
        <f aca="false">IF(AND(L540&lt;L_rampe,Poussee&lt;Poids*SIN(M540)),0,(-W540+Poussee)/m*COS(M540)-U540/m*SIN(M540))</f>
        <v>-0.536643053764479</v>
      </c>
      <c r="E541" s="420" t="n">
        <f aca="false">IF(AND(L540&lt;L_rampe,Poussee&lt;Poids*SIN(M540)),0,(-W540+Poussee)/m*SIN(M540)+U540/m*COS(M540)-Poids/m)</f>
        <v>-6.10275160308047</v>
      </c>
      <c r="F541" s="418" t="n">
        <f aca="false">SQRT(acc_x^2+acc_z^2)</f>
        <v>6.12630091458581</v>
      </c>
      <c r="G541" s="419" t="n">
        <f aca="false">G540+acc_x*pas</f>
        <v>10.2769347919875</v>
      </c>
      <c r="H541" s="420" t="n">
        <f aca="false">H540+acc_z*pas</f>
        <v>-70.9963097675703</v>
      </c>
      <c r="I541" s="418" t="n">
        <f aca="false">SQRT(vit_x^2+vit_z^2)</f>
        <v>71.7362627220819</v>
      </c>
      <c r="J541" s="419" t="n">
        <f aca="false">J540+0.5*(vit_x+G540)*pas*(K540&gt;=0)</f>
        <v>211.791153319536</v>
      </c>
      <c r="K541" s="420" t="n">
        <f aca="false">K540+0.5*(vit_z+H540)*pas</f>
        <v>-5.79486554678719</v>
      </c>
      <c r="L541" s="418" t="n">
        <f aca="false">SQRT(pos_x^2+pos_z^2)</f>
        <v>211.870415799669</v>
      </c>
      <c r="M541" s="419" t="n">
        <f aca="false">IF(AND(L540&gt;L_rampe,G541&gt;0),ATAN2(G541,H541),$M$4)</f>
        <v>-1.42704174504734</v>
      </c>
      <c r="N541" s="418" t="n">
        <f aca="false">DEGREES(Beta)</f>
        <v>-81.7634691801966</v>
      </c>
      <c r="O541" s="402"/>
      <c r="P541" s="421" t="n">
        <f aca="false">MATCH(t-pas/2-T_ini,CdP_t)</f>
        <v>23</v>
      </c>
      <c r="Q541" s="418" t="n">
        <f aca="false">(INDEX(CdP,2,i_P+1)-INDEX(CdP,2,i_P+0))/(INDEX(CdP,1,i_P+1)-INDEX(CdP,1,i_P+0))*(t-pas/2-T_ini-INDEX(CdP,1,i_P+0))+INDEX(CdP,2,i_P+0)</f>
        <v>0</v>
      </c>
      <c r="R541" s="419" t="n">
        <f aca="false">Poussee/(g*ISP)</f>
        <v>0</v>
      </c>
      <c r="S541" s="420" t="n">
        <f aca="false">S540-Débit*pas</f>
        <v>1.4843</v>
      </c>
      <c r="T541" s="418" t="n">
        <f aca="false">m*g</f>
        <v>14.560983</v>
      </c>
      <c r="U541" s="422" t="n">
        <f aca="false">IF(pos_xz&lt;L_rampe,Poids*COS(Beta),0)</f>
        <v>0</v>
      </c>
      <c r="V541" s="419" t="n">
        <f aca="false">Rho_moyen*(20000-Alt_rampe-pos_z)/(20000+Alt_rampe+pos_z)</f>
        <v>1.22571007676945</v>
      </c>
      <c r="W541" s="418" t="n">
        <f aca="false">1/2*Rho*Sref*Cx*vit_xz^2</f>
        <v>5.56011784784757</v>
      </c>
      <c r="X541" s="402"/>
      <c r="Y541" s="423" t="str">
        <f aca="false">IF(AND(pos_z&lt;=0,K540&gt;0),"Impact balistique","") &amp; IF(AND(H542&lt;0,vit_z&gt;=0),"Apogée","") &amp; IF(AND(Poussee=0,Q540&gt;0),"Fin de propulsion","") &amp; IF(AND(L542&gt;L_rampe,pos_xz&lt;=L_rampe),"Sortie de rampe","")</f>
        <v/>
      </c>
      <c r="Z541" s="424" t="str">
        <f aca="false">IF(ABS(t-T_para)&lt;pas/2,"Para","")</f>
        <v/>
      </c>
      <c r="AA541" s="425" t="str">
        <f aca="false">IF(ABS(t-T_satellite)&lt;pas/2,"Satellite","")</f>
        <v/>
      </c>
      <c r="AB541" s="413"/>
      <c r="AC541" s="421" t="e">
        <f aca="false">IF(ABS(t-ROUND(t,0))&lt;0.001,t,NA())</f>
        <v>#N/A</v>
      </c>
      <c r="AD541" s="426" t="e">
        <f aca="false">IF(ABS(t-ROUND(t,0))&lt;0.001,pos_x,NA())</f>
        <v>#N/A</v>
      </c>
      <c r="AE541" s="427" t="e">
        <f aca="false">IF(t&lt;T_para, pos_z, NA())</f>
        <v>#N/A</v>
      </c>
      <c r="AF541" s="413"/>
      <c r="AG541" s="419" t="n">
        <f aca="false">IF(AND(L540&lt;L_rampe,Poussee&lt;Poids*SIN(M540)),0,(-W540+Poussee)/m-Poids*SIN(M540)/m)</f>
        <v>5.96292006066759</v>
      </c>
      <c r="AH541" s="418" t="n">
        <f aca="false">IF(AND(L540&lt;L_rampe,Poussee&lt;Poids*SIN(M540)), g*SIN(M540), (-W540+Poussee)/m)</f>
        <v>-3.74588793794156</v>
      </c>
    </row>
    <row r="542" customFormat="false" ht="12" hidden="false" customHeight="false" outlineLevel="0" collapsed="false">
      <c r="A542" s="417" t="n">
        <f aca="false">IF(B541+0.01&lt;=T_ini+ROUNDUP(Temps_fin_propu,0), 0.01, IF(K541&gt;0, 0.1, 0.0001))</f>
        <v>0.0001</v>
      </c>
      <c r="B542" s="418" t="n">
        <f aca="false">B541+pas</f>
        <v>16.5192999999999</v>
      </c>
      <c r="C542" s="402"/>
      <c r="D542" s="419" t="n">
        <f aca="false">IF(AND(L541&lt;L_rampe,Poussee&lt;Poids*SIN(M541)),0,(-W541+Poussee)/m*COS(M541)-U541/m*SIN(M541))</f>
        <v>-0.53664509326498</v>
      </c>
      <c r="E542" s="420" t="n">
        <f aca="false">IF(AND(L541&lt;L_rampe,Poussee&lt;Poids*SIN(M541)),0,(-W541+Poussee)/m*SIN(M541)+U541/m*COS(M541)-Poids/m)</f>
        <v>-6.10268628751132</v>
      </c>
      <c r="F542" s="418" t="n">
        <f aca="false">SQRT(acc_x^2+acc_z^2)</f>
        <v>6.12623602874588</v>
      </c>
      <c r="G542" s="419" t="n">
        <f aca="false">G541+acc_x*pas</f>
        <v>10.2768811274782</v>
      </c>
      <c r="H542" s="420" t="n">
        <f aca="false">H541+acc_z*pas</f>
        <v>-70.996920036199</v>
      </c>
      <c r="I542" s="418" t="n">
        <f aca="false">SQRT(vit_x^2+vit_z^2)</f>
        <v>71.7368590080076</v>
      </c>
      <c r="J542" s="419" t="n">
        <f aca="false">J541+0.5*(vit_x+G541)*pas*(K541&gt;=0)</f>
        <v>211.791153319536</v>
      </c>
      <c r="K542" s="420" t="n">
        <f aca="false">K541+0.5*(vit_z+H541)*pas</f>
        <v>-5.80196520827738</v>
      </c>
      <c r="L542" s="418" t="n">
        <f aca="false">SQRT(pos_x^2+pos_z^2)</f>
        <v>211.870610101301</v>
      </c>
      <c r="M542" s="419" t="n">
        <f aca="false">IF(AND(L541&gt;L_rampe,G542&gt;0),ATAN2(G542,H542),$M$4)</f>
        <v>-1.42704370412433</v>
      </c>
      <c r="N542" s="418" t="n">
        <f aca="false">DEGREES(Beta)</f>
        <v>-81.7635814270399</v>
      </c>
      <c r="O542" s="402"/>
      <c r="P542" s="421" t="n">
        <f aca="false">MATCH(t-pas/2-T_ini,CdP_t)</f>
        <v>23</v>
      </c>
      <c r="Q542" s="418" t="n">
        <f aca="false">(INDEX(CdP,2,i_P+1)-INDEX(CdP,2,i_P+0))/(INDEX(CdP,1,i_P+1)-INDEX(CdP,1,i_P+0))*(t-pas/2-T_ini-INDEX(CdP,1,i_P+0))+INDEX(CdP,2,i_P+0)</f>
        <v>0</v>
      </c>
      <c r="R542" s="419" t="n">
        <f aca="false">Poussee/(g*ISP)</f>
        <v>0</v>
      </c>
      <c r="S542" s="420" t="n">
        <f aca="false">S541-Débit*pas</f>
        <v>1.4843</v>
      </c>
      <c r="T542" s="418" t="n">
        <f aca="false">m*g</f>
        <v>14.560983</v>
      </c>
      <c r="U542" s="422" t="n">
        <f aca="false">IF(pos_xz&lt;L_rampe,Poids*COS(Beta),0)</f>
        <v>0</v>
      </c>
      <c r="V542" s="419" t="n">
        <f aca="false">Rho_moyen*(20000-Alt_rampe-pos_z)/(20000+Alt_rampe+pos_z)</f>
        <v>1.2257109469825</v>
      </c>
      <c r="W542" s="418" t="n">
        <f aca="false">1/2*Rho*Sref*Cx*vit_xz^2</f>
        <v>5.5602142293809</v>
      </c>
      <c r="X542" s="402"/>
      <c r="Y542" s="423" t="str">
        <f aca="false">IF(AND(pos_z&lt;=0,K541&gt;0),"Impact balistique","") &amp; IF(AND(H543&lt;0,vit_z&gt;=0),"Apogée","") &amp; IF(AND(Poussee=0,Q541&gt;0),"Fin de propulsion","") &amp; IF(AND(L543&gt;L_rampe,pos_xz&lt;=L_rampe),"Sortie de rampe","")</f>
        <v/>
      </c>
      <c r="Z542" s="424" t="str">
        <f aca="false">IF(ABS(t-T_para)&lt;pas/2,"Para","")</f>
        <v/>
      </c>
      <c r="AA542" s="425" t="str">
        <f aca="false">IF(ABS(t-T_satellite)&lt;pas/2,"Satellite","")</f>
        <v/>
      </c>
      <c r="AB542" s="413"/>
      <c r="AC542" s="421" t="e">
        <f aca="false">IF(ABS(t-ROUND(t,0))&lt;0.001,t,NA())</f>
        <v>#N/A</v>
      </c>
      <c r="AD542" s="426" t="e">
        <f aca="false">IF(ABS(t-ROUND(t,0))&lt;0.001,pos_x,NA())</f>
        <v>#N/A</v>
      </c>
      <c r="AE542" s="427" t="e">
        <f aca="false">IF(t&lt;T_para, pos_z, NA())</f>
        <v>#N/A</v>
      </c>
      <c r="AF542" s="413"/>
      <c r="AG542" s="419" t="n">
        <f aca="false">IF(AND(L541&lt;L_rampe,Poussee&lt;Poids*SIN(M541)),0,(-W541+Poussee)/m-Poids*SIN(M541)/m)</f>
        <v>5.96285787997793</v>
      </c>
      <c r="AH542" s="418" t="n">
        <f aca="false">IF(AND(L541&lt;L_rampe,Poussee&lt;Poids*SIN(M541)), g*SIN(M541), (-W541+Poussee)/m)</f>
        <v>-3.74595287195821</v>
      </c>
    </row>
    <row r="543" customFormat="false" ht="12" hidden="false" customHeight="false" outlineLevel="0" collapsed="false">
      <c r="A543" s="417" t="n">
        <f aca="false">IF(B542+0.01&lt;=T_ini+ROUNDUP(Temps_fin_propu,0), 0.01, IF(K542&gt;0, 0.1, 0.0001))</f>
        <v>0.0001</v>
      </c>
      <c r="B543" s="418" t="n">
        <f aca="false">B542+pas</f>
        <v>16.5193999999999</v>
      </c>
      <c r="C543" s="402"/>
      <c r="D543" s="419" t="n">
        <f aca="false">IF(AND(L542&lt;L_rampe,Poussee&lt;Poids*SIN(M542)),0,(-W542+Poussee)/m*COS(M542)-U542/m*SIN(M542))</f>
        <v>-0.536647132667629</v>
      </c>
      <c r="E543" s="420" t="n">
        <f aca="false">IF(AND(L542&lt;L_rampe,Poussee&lt;Poids*SIN(M542)),0,(-W542+Poussee)/m*SIN(M542)+U542/m*COS(M542)-Poids/m)</f>
        <v>-6.10262097196131</v>
      </c>
      <c r="F543" s="418" t="n">
        <f aca="false">SQRT(acc_x^2+acc_z^2)</f>
        <v>6.12617114292625</v>
      </c>
      <c r="G543" s="419" t="n">
        <f aca="false">G542+acc_x*pas</f>
        <v>10.2768274627649</v>
      </c>
      <c r="H543" s="420" t="n">
        <f aca="false">H542+acc_z*pas</f>
        <v>-70.9975302982962</v>
      </c>
      <c r="I543" s="418" t="n">
        <f aca="false">SQRT(vit_x^2+vit_z^2)</f>
        <v>71.7374552877152</v>
      </c>
      <c r="J543" s="419" t="n">
        <f aca="false">J542+0.5*(vit_x+G542)*pas*(K542&gt;=0)</f>
        <v>211.791153319536</v>
      </c>
      <c r="K543" s="420" t="n">
        <f aca="false">K542+0.5*(vit_z+H542)*pas</f>
        <v>-5.8090649307941</v>
      </c>
      <c r="L543" s="418" t="n">
        <f aca="false">SQRT(pos_x^2+pos_z^2)</f>
        <v>211.870804642333</v>
      </c>
      <c r="M543" s="419" t="n">
        <f aca="false">IF(AND(L542&gt;L_rampe,G543&gt;0),ATAN2(G543,H543),$M$4)</f>
        <v>-1.42704566315852</v>
      </c>
      <c r="N543" s="418" t="n">
        <f aca="false">DEGREES(Beta)</f>
        <v>-81.7636936714311</v>
      </c>
      <c r="O543" s="402"/>
      <c r="P543" s="421" t="n">
        <f aca="false">MATCH(t-pas/2-T_ini,CdP_t)</f>
        <v>23</v>
      </c>
      <c r="Q543" s="418" t="n">
        <f aca="false">(INDEX(CdP,2,i_P+1)-INDEX(CdP,2,i_P+0))/(INDEX(CdP,1,i_P+1)-INDEX(CdP,1,i_P+0))*(t-pas/2-T_ini-INDEX(CdP,1,i_P+0))+INDEX(CdP,2,i_P+0)</f>
        <v>0</v>
      </c>
      <c r="R543" s="419" t="n">
        <f aca="false">Poussee/(g*ISP)</f>
        <v>0</v>
      </c>
      <c r="S543" s="420" t="n">
        <f aca="false">S542-Débit*pas</f>
        <v>1.4843</v>
      </c>
      <c r="T543" s="418" t="n">
        <f aca="false">m*g</f>
        <v>14.560983</v>
      </c>
      <c r="U543" s="422" t="n">
        <f aca="false">IF(pos_xz&lt;L_rampe,Poids*COS(Beta),0)</f>
        <v>0</v>
      </c>
      <c r="V543" s="419" t="n">
        <f aca="false">Rho_moyen*(20000-Alt_rampe-pos_z)/(20000+Alt_rampe+pos_z)</f>
        <v>1.22571181720364</v>
      </c>
      <c r="W543" s="418" t="n">
        <f aca="false">1/2*Rho*Sref*Cx*vit_xz^2</f>
        <v>5.56031061088663</v>
      </c>
      <c r="X543" s="402"/>
      <c r="Y543" s="423" t="str">
        <f aca="false">IF(AND(pos_z&lt;=0,K542&gt;0),"Impact balistique","") &amp; IF(AND(H544&lt;0,vit_z&gt;=0),"Apogée","") &amp; IF(AND(Poussee=0,Q542&gt;0),"Fin de propulsion","") &amp; IF(AND(L544&gt;L_rampe,pos_xz&lt;=L_rampe),"Sortie de rampe","")</f>
        <v/>
      </c>
      <c r="Z543" s="424" t="str">
        <f aca="false">IF(ABS(t-T_para)&lt;pas/2,"Para","")</f>
        <v/>
      </c>
      <c r="AA543" s="425" t="str">
        <f aca="false">IF(ABS(t-T_satellite)&lt;pas/2,"Satellite","")</f>
        <v/>
      </c>
      <c r="AB543" s="413"/>
      <c r="AC543" s="421" t="e">
        <f aca="false">IF(ABS(t-ROUND(t,0))&lt;0.001,t,NA())</f>
        <v>#N/A</v>
      </c>
      <c r="AD543" s="426" t="e">
        <f aca="false">IF(ABS(t-ROUND(t,0))&lt;0.001,pos_x,NA())</f>
        <v>#N/A</v>
      </c>
      <c r="AE543" s="427" t="e">
        <f aca="false">IF(t&lt;T_para, pos_z, NA())</f>
        <v>#N/A</v>
      </c>
      <c r="AF543" s="413"/>
      <c r="AG543" s="419" t="n">
        <f aca="false">IF(AND(L542&lt;L_rampe,Poussee&lt;Poids*SIN(M542)),0,(-W542+Poussee)/m-Poids*SIN(M542)/m)</f>
        <v>5.96279569920943</v>
      </c>
      <c r="AH543" s="418" t="n">
        <f aca="false">IF(AND(L542&lt;L_rampe,Poussee&lt;Poids*SIN(M542)), g*SIN(M542), (-W542+Poussee)/m)</f>
        <v>-3.74601780595628</v>
      </c>
    </row>
    <row r="544" customFormat="false" ht="12" hidden="false" customHeight="false" outlineLevel="0" collapsed="false">
      <c r="A544" s="417" t="n">
        <f aca="false">IF(B543+0.01&lt;=T_ini+ROUNDUP(Temps_fin_propu,0), 0.01, IF(K543&gt;0, 0.1, 0.0001))</f>
        <v>0.0001</v>
      </c>
      <c r="B544" s="418" t="n">
        <f aca="false">B543+pas</f>
        <v>16.5194999999999</v>
      </c>
      <c r="C544" s="402"/>
      <c r="D544" s="419" t="n">
        <f aca="false">IF(AND(L543&lt;L_rampe,Poussee&lt;Poids*SIN(M543)),0,(-W543+Poussee)/m*COS(M543)-U543/m*SIN(M543))</f>
        <v>-0.536649171972427</v>
      </c>
      <c r="E544" s="420" t="n">
        <f aca="false">IF(AND(L543&lt;L_rampe,Poussee&lt;Poids*SIN(M543)),0,(-W543+Poussee)/m*SIN(M543)+U543/m*COS(M543)-Poids/m)</f>
        <v>-6.10255565643045</v>
      </c>
      <c r="F544" s="418" t="n">
        <f aca="false">SQRT(acc_x^2+acc_z^2)</f>
        <v>6.12610625712695</v>
      </c>
      <c r="G544" s="419" t="n">
        <f aca="false">G543+acc_x*pas</f>
        <v>10.2767737978477</v>
      </c>
      <c r="H544" s="420" t="n">
        <f aca="false">H543+acc_z*pas</f>
        <v>-70.9981405538619</v>
      </c>
      <c r="I544" s="418" t="n">
        <f aca="false">SQRT(vit_x^2+vit_z^2)</f>
        <v>71.7380515612046</v>
      </c>
      <c r="J544" s="419" t="n">
        <f aca="false">J543+0.5*(vit_x+G543)*pas*(K543&gt;=0)</f>
        <v>211.791153319536</v>
      </c>
      <c r="K544" s="420" t="n">
        <f aca="false">K543+0.5*(vit_z+H543)*pas</f>
        <v>-5.81616471433671</v>
      </c>
      <c r="L544" s="418" t="n">
        <f aca="false">SQRT(pos_x^2+pos_z^2)</f>
        <v>211.87099942277</v>
      </c>
      <c r="M544" s="419" t="n">
        <f aca="false">IF(AND(L543&gt;L_rampe,G544&gt;0),ATAN2(G544,H544),$M$4)</f>
        <v>-1.42704762214992</v>
      </c>
      <c r="N544" s="418" t="n">
        <f aca="false">DEGREES(Beta)</f>
        <v>-81.7638059133702</v>
      </c>
      <c r="O544" s="402"/>
      <c r="P544" s="421" t="n">
        <f aca="false">MATCH(t-pas/2-T_ini,CdP_t)</f>
        <v>23</v>
      </c>
      <c r="Q544" s="418" t="n">
        <f aca="false">(INDEX(CdP,2,i_P+1)-INDEX(CdP,2,i_P+0))/(INDEX(CdP,1,i_P+1)-INDEX(CdP,1,i_P+0))*(t-pas/2-T_ini-INDEX(CdP,1,i_P+0))+INDEX(CdP,2,i_P+0)</f>
        <v>0</v>
      </c>
      <c r="R544" s="419" t="n">
        <f aca="false">Poussee/(g*ISP)</f>
        <v>0</v>
      </c>
      <c r="S544" s="420" t="n">
        <f aca="false">S543-Débit*pas</f>
        <v>1.4843</v>
      </c>
      <c r="T544" s="418" t="n">
        <f aca="false">m*g</f>
        <v>14.560983</v>
      </c>
      <c r="U544" s="422" t="n">
        <f aca="false">IF(pos_xz&lt;L_rampe,Poids*COS(Beta),0)</f>
        <v>0</v>
      </c>
      <c r="V544" s="419" t="n">
        <f aca="false">Rho_moyen*(20000-Alt_rampe-pos_z)/(20000+Alt_rampe+pos_z)</f>
        <v>1.22571268743288</v>
      </c>
      <c r="W544" s="418" t="n">
        <f aca="false">1/2*Rho*Sref*Cx*vit_xz^2</f>
        <v>5.56040699236474</v>
      </c>
      <c r="X544" s="402"/>
      <c r="Y544" s="423" t="str">
        <f aca="false">IF(AND(pos_z&lt;=0,K543&gt;0),"Impact balistique","") &amp; IF(AND(H545&lt;0,vit_z&gt;=0),"Apogée","") &amp; IF(AND(Poussee=0,Q543&gt;0),"Fin de propulsion","") &amp; IF(AND(L545&gt;L_rampe,pos_xz&lt;=L_rampe),"Sortie de rampe","")</f>
        <v/>
      </c>
      <c r="Z544" s="424" t="str">
        <f aca="false">IF(ABS(t-T_para)&lt;pas/2,"Para","")</f>
        <v/>
      </c>
      <c r="AA544" s="425" t="str">
        <f aca="false">IF(ABS(t-T_satellite)&lt;pas/2,"Satellite","")</f>
        <v/>
      </c>
      <c r="AB544" s="413"/>
      <c r="AC544" s="421" t="e">
        <f aca="false">IF(ABS(t-ROUND(t,0))&lt;0.001,t,NA())</f>
        <v>#N/A</v>
      </c>
      <c r="AD544" s="426" t="e">
        <f aca="false">IF(ABS(t-ROUND(t,0))&lt;0.001,pos_x,NA())</f>
        <v>#N/A</v>
      </c>
      <c r="AE544" s="427" t="e">
        <f aca="false">IF(t&lt;T_para, pos_z, NA())</f>
        <v>#N/A</v>
      </c>
      <c r="AF544" s="413"/>
      <c r="AG544" s="419" t="n">
        <f aca="false">IF(AND(L543&lt;L_rampe,Poussee&lt;Poids*SIN(M543)),0,(-W543+Poussee)/m-Poids*SIN(M543)/m)</f>
        <v>5.96273351836213</v>
      </c>
      <c r="AH544" s="418" t="n">
        <f aca="false">IF(AND(L543&lt;L_rampe,Poussee&lt;Poids*SIN(M543)), g*SIN(M543), (-W543+Poussee)/m)</f>
        <v>-3.74608273993575</v>
      </c>
    </row>
    <row r="545" customFormat="false" ht="12" hidden="false" customHeight="false" outlineLevel="0" collapsed="false">
      <c r="A545" s="417" t="n">
        <f aca="false">IF(B544+0.01&lt;=T_ini+ROUNDUP(Temps_fin_propu,0), 0.01, IF(K544&gt;0, 0.1, 0.0001))</f>
        <v>0.0001</v>
      </c>
      <c r="B545" s="418" t="n">
        <f aca="false">B544+pas</f>
        <v>16.5195999999999</v>
      </c>
      <c r="C545" s="402"/>
      <c r="D545" s="419" t="n">
        <f aca="false">IF(AND(L544&lt;L_rampe,Poussee&lt;Poids*SIN(M544)),0,(-W544+Poussee)/m*COS(M544)-U544/m*SIN(M544))</f>
        <v>-0.536651211179373</v>
      </c>
      <c r="E545" s="420" t="n">
        <f aca="false">IF(AND(L544&lt;L_rampe,Poussee&lt;Poids*SIN(M544)),0,(-W544+Poussee)/m*SIN(M544)+U544/m*COS(M544)-Poids/m)</f>
        <v>-6.10249034091875</v>
      </c>
      <c r="F545" s="418" t="n">
        <f aca="false">SQRT(acc_x^2+acc_z^2)</f>
        <v>6.12604137134798</v>
      </c>
      <c r="G545" s="419" t="n">
        <f aca="false">G544+acc_x*pas</f>
        <v>10.2767201327266</v>
      </c>
      <c r="H545" s="420" t="n">
        <f aca="false">H544+acc_z*pas</f>
        <v>-70.998750802896</v>
      </c>
      <c r="I545" s="418" t="n">
        <f aca="false">SQRT(vit_x^2+vit_z^2)</f>
        <v>71.7386478284761</v>
      </c>
      <c r="J545" s="419" t="n">
        <f aca="false">J544+0.5*(vit_x+G544)*pas*(K544&gt;=0)</f>
        <v>211.791153319536</v>
      </c>
      <c r="K545" s="420" t="n">
        <f aca="false">K544+0.5*(vit_z+H544)*pas</f>
        <v>-5.82326455890455</v>
      </c>
      <c r="L545" s="418" t="n">
        <f aca="false">SQRT(pos_x^2+pos_z^2)</f>
        <v>211.871194442619</v>
      </c>
      <c r="M545" s="419" t="n">
        <f aca="false">IF(AND(L544&gt;L_rampe,G545&gt;0),ATAN2(G545,H545),$M$4)</f>
        <v>-1.42704958109852</v>
      </c>
      <c r="N545" s="418" t="n">
        <f aca="false">DEGREES(Beta)</f>
        <v>-81.7639181528574</v>
      </c>
      <c r="O545" s="402"/>
      <c r="P545" s="421" t="n">
        <f aca="false">MATCH(t-pas/2-T_ini,CdP_t)</f>
        <v>23</v>
      </c>
      <c r="Q545" s="418" t="n">
        <f aca="false">(INDEX(CdP,2,i_P+1)-INDEX(CdP,2,i_P+0))/(INDEX(CdP,1,i_P+1)-INDEX(CdP,1,i_P+0))*(t-pas/2-T_ini-INDEX(CdP,1,i_P+0))+INDEX(CdP,2,i_P+0)</f>
        <v>0</v>
      </c>
      <c r="R545" s="419" t="n">
        <f aca="false">Poussee/(g*ISP)</f>
        <v>0</v>
      </c>
      <c r="S545" s="420" t="n">
        <f aca="false">S544-Débit*pas</f>
        <v>1.4843</v>
      </c>
      <c r="T545" s="418" t="n">
        <f aca="false">m*g</f>
        <v>14.560983</v>
      </c>
      <c r="U545" s="422" t="n">
        <f aca="false">IF(pos_xz&lt;L_rampe,Poids*COS(Beta),0)</f>
        <v>0</v>
      </c>
      <c r="V545" s="419" t="n">
        <f aca="false">Rho_moyen*(20000-Alt_rampe-pos_z)/(20000+Alt_rampe+pos_z)</f>
        <v>1.22571355767022</v>
      </c>
      <c r="W545" s="418" t="n">
        <f aca="false">1/2*Rho*Sref*Cx*vit_xz^2</f>
        <v>5.5605033738152</v>
      </c>
      <c r="X545" s="402"/>
      <c r="Y545" s="423" t="str">
        <f aca="false">IF(AND(pos_z&lt;=0,K544&gt;0),"Impact balistique","") &amp; IF(AND(H546&lt;0,vit_z&gt;=0),"Apogée","") &amp; IF(AND(Poussee=0,Q544&gt;0),"Fin de propulsion","") &amp; IF(AND(L546&gt;L_rampe,pos_xz&lt;=L_rampe),"Sortie de rampe","")</f>
        <v/>
      </c>
      <c r="Z545" s="424" t="str">
        <f aca="false">IF(ABS(t-T_para)&lt;pas/2,"Para","")</f>
        <v/>
      </c>
      <c r="AA545" s="425" t="str">
        <f aca="false">IF(ABS(t-T_satellite)&lt;pas/2,"Satellite","")</f>
        <v/>
      </c>
      <c r="AB545" s="413"/>
      <c r="AC545" s="421" t="e">
        <f aca="false">IF(ABS(t-ROUND(t,0))&lt;0.001,t,NA())</f>
        <v>#N/A</v>
      </c>
      <c r="AD545" s="426" t="e">
        <f aca="false">IF(ABS(t-ROUND(t,0))&lt;0.001,pos_x,NA())</f>
        <v>#N/A</v>
      </c>
      <c r="AE545" s="427" t="e">
        <f aca="false">IF(t&lt;T_para, pos_z, NA())</f>
        <v>#N/A</v>
      </c>
      <c r="AF545" s="413"/>
      <c r="AG545" s="419" t="n">
        <f aca="false">IF(AND(L544&lt;L_rampe,Poussee&lt;Poids*SIN(M544)),0,(-W544+Poussee)/m-Poids*SIN(M544)/m)</f>
        <v>5.96267133743603</v>
      </c>
      <c r="AH545" s="418" t="n">
        <f aca="false">IF(AND(L544&lt;L_rampe,Poussee&lt;Poids*SIN(M544)), g*SIN(M544), (-W544+Poussee)/m)</f>
        <v>-3.74614767389662</v>
      </c>
    </row>
    <row r="546" customFormat="false" ht="12" hidden="false" customHeight="false" outlineLevel="0" collapsed="false">
      <c r="A546" s="417" t="n">
        <f aca="false">IF(B545+0.01&lt;=T_ini+ROUNDUP(Temps_fin_propu,0), 0.01, IF(K545&gt;0, 0.1, 0.0001))</f>
        <v>0.0001</v>
      </c>
      <c r="B546" s="418" t="n">
        <f aca="false">B545+pas</f>
        <v>16.5196999999999</v>
      </c>
      <c r="C546" s="402"/>
      <c r="D546" s="419" t="n">
        <f aca="false">IF(AND(L545&lt;L_rampe,Poussee&lt;Poids*SIN(M545)),0,(-W545+Poussee)/m*COS(M545)-U545/m*SIN(M545))</f>
        <v>-0.536653250288471</v>
      </c>
      <c r="E546" s="420" t="n">
        <f aca="false">IF(AND(L545&lt;L_rampe,Poussee&lt;Poids*SIN(M545)),0,(-W545+Poussee)/m*SIN(M545)+U545/m*COS(M545)-Poids/m)</f>
        <v>-6.10242502542625</v>
      </c>
      <c r="F546" s="418" t="n">
        <f aca="false">SQRT(acc_x^2+acc_z^2)</f>
        <v>6.12597648558936</v>
      </c>
      <c r="G546" s="419" t="n">
        <f aca="false">G545+acc_x*pas</f>
        <v>10.2766664674015</v>
      </c>
      <c r="H546" s="420" t="n">
        <f aca="false">H545+acc_z*pas</f>
        <v>-70.9993610453985</v>
      </c>
      <c r="I546" s="418" t="n">
        <f aca="false">SQRT(vit_x^2+vit_z^2)</f>
        <v>71.7392440895293</v>
      </c>
      <c r="J546" s="419" t="n">
        <f aca="false">J545+0.5*(vit_x+G545)*pas*(K545&gt;=0)</f>
        <v>211.791153319536</v>
      </c>
      <c r="K546" s="420" t="n">
        <f aca="false">K545+0.5*(vit_z+H545)*pas</f>
        <v>-5.83036446449696</v>
      </c>
      <c r="L546" s="418" t="n">
        <f aca="false">SQRT(pos_x^2+pos_z^2)</f>
        <v>211.871389701885</v>
      </c>
      <c r="M546" s="419" t="n">
        <f aca="false">IF(AND(L545&gt;L_rampe,G546&gt;0),ATAN2(G546,H546),$M$4)</f>
        <v>-1.42705154000433</v>
      </c>
      <c r="N546" s="418" t="n">
        <f aca="false">DEGREES(Beta)</f>
        <v>-81.7640303898927</v>
      </c>
      <c r="O546" s="402"/>
      <c r="P546" s="421" t="n">
        <f aca="false">MATCH(t-pas/2-T_ini,CdP_t)</f>
        <v>23</v>
      </c>
      <c r="Q546" s="418" t="n">
        <f aca="false">(INDEX(CdP,2,i_P+1)-INDEX(CdP,2,i_P+0))/(INDEX(CdP,1,i_P+1)-INDEX(CdP,1,i_P+0))*(t-pas/2-T_ini-INDEX(CdP,1,i_P+0))+INDEX(CdP,2,i_P+0)</f>
        <v>0</v>
      </c>
      <c r="R546" s="419" t="n">
        <f aca="false">Poussee/(g*ISP)</f>
        <v>0</v>
      </c>
      <c r="S546" s="420" t="n">
        <f aca="false">S545-Débit*pas</f>
        <v>1.4843</v>
      </c>
      <c r="T546" s="418" t="n">
        <f aca="false">m*g</f>
        <v>14.560983</v>
      </c>
      <c r="U546" s="422" t="n">
        <f aca="false">IF(pos_xz&lt;L_rampe,Poids*COS(Beta),0)</f>
        <v>0</v>
      </c>
      <c r="V546" s="419" t="n">
        <f aca="false">Rho_moyen*(20000-Alt_rampe-pos_z)/(20000+Alt_rampe+pos_z)</f>
        <v>1.22571442791566</v>
      </c>
      <c r="W546" s="418" t="n">
        <f aca="false">1/2*Rho*Sref*Cx*vit_xz^2</f>
        <v>5.56059975523798</v>
      </c>
      <c r="X546" s="402"/>
      <c r="Y546" s="423" t="str">
        <f aca="false">IF(AND(pos_z&lt;=0,K545&gt;0),"Impact balistique","") &amp; IF(AND(H547&lt;0,vit_z&gt;=0),"Apogée","") &amp; IF(AND(Poussee=0,Q545&gt;0),"Fin de propulsion","") &amp; IF(AND(L547&gt;L_rampe,pos_xz&lt;=L_rampe),"Sortie de rampe","")</f>
        <v/>
      </c>
      <c r="Z546" s="424" t="str">
        <f aca="false">IF(ABS(t-T_para)&lt;pas/2,"Para","")</f>
        <v/>
      </c>
      <c r="AA546" s="425" t="str">
        <f aca="false">IF(ABS(t-T_satellite)&lt;pas/2,"Satellite","")</f>
        <v/>
      </c>
      <c r="AB546" s="413"/>
      <c r="AC546" s="421" t="e">
        <f aca="false">IF(ABS(t-ROUND(t,0))&lt;0.001,t,NA())</f>
        <v>#N/A</v>
      </c>
      <c r="AD546" s="426" t="e">
        <f aca="false">IF(ABS(t-ROUND(t,0))&lt;0.001,pos_x,NA())</f>
        <v>#N/A</v>
      </c>
      <c r="AE546" s="427" t="e">
        <f aca="false">IF(t&lt;T_para, pos_z, NA())</f>
        <v>#N/A</v>
      </c>
      <c r="AF546" s="413"/>
      <c r="AG546" s="419" t="n">
        <f aca="false">IF(AND(L545&lt;L_rampe,Poussee&lt;Poids*SIN(M545)),0,(-W545+Poussee)/m-Poids*SIN(M545)/m)</f>
        <v>5.96260915643116</v>
      </c>
      <c r="AH546" s="418" t="n">
        <f aca="false">IF(AND(L545&lt;L_rampe,Poussee&lt;Poids*SIN(M545)), g*SIN(M545), (-W545+Poussee)/m)</f>
        <v>-3.74621260783885</v>
      </c>
    </row>
    <row r="547" customFormat="false" ht="12" hidden="false" customHeight="false" outlineLevel="0" collapsed="false">
      <c r="A547" s="417" t="n">
        <f aca="false">IF(B546+0.01&lt;=T_ini+ROUNDUP(Temps_fin_propu,0), 0.01, IF(K546&gt;0, 0.1, 0.0001))</f>
        <v>0.0001</v>
      </c>
      <c r="B547" s="418" t="n">
        <f aca="false">B546+pas</f>
        <v>16.5197999999999</v>
      </c>
      <c r="C547" s="402"/>
      <c r="D547" s="419" t="n">
        <f aca="false">IF(AND(L546&lt;L_rampe,Poussee&lt;Poids*SIN(M546)),0,(-W546+Poussee)/m*COS(M546)-U546/m*SIN(M546))</f>
        <v>-0.536655289299719</v>
      </c>
      <c r="E547" s="420" t="n">
        <f aca="false">IF(AND(L546&lt;L_rampe,Poussee&lt;Poids*SIN(M546)),0,(-W546+Poussee)/m*SIN(M546)+U546/m*COS(M546)-Poids/m)</f>
        <v>-6.10235970995294</v>
      </c>
      <c r="F547" s="418" t="n">
        <f aca="false">SQRT(acc_x^2+acc_z^2)</f>
        <v>6.12591159985111</v>
      </c>
      <c r="G547" s="419" t="n">
        <f aca="false">G546+acc_x*pas</f>
        <v>10.2766128018726</v>
      </c>
      <c r="H547" s="420" t="n">
        <f aca="false">H546+acc_z*pas</f>
        <v>-70.9999712813695</v>
      </c>
      <c r="I547" s="418" t="n">
        <f aca="false">SQRT(vit_x^2+vit_z^2)</f>
        <v>71.7398403443645</v>
      </c>
      <c r="J547" s="419" t="n">
        <f aca="false">J546+0.5*(vit_x+G546)*pas*(K546&gt;=0)</f>
        <v>211.791153319536</v>
      </c>
      <c r="K547" s="420" t="n">
        <f aca="false">K546+0.5*(vit_z+H546)*pas</f>
        <v>-5.8374644311133</v>
      </c>
      <c r="L547" s="418" t="n">
        <f aca="false">SQRT(pos_x^2+pos_z^2)</f>
        <v>211.871585200573</v>
      </c>
      <c r="M547" s="419" t="n">
        <f aca="false">IF(AND(L546&gt;L_rampe,G547&gt;0),ATAN2(G547,H547),$M$4)</f>
        <v>-1.42705349886735</v>
      </c>
      <c r="N547" s="418" t="n">
        <f aca="false">DEGREES(Beta)</f>
        <v>-81.7641426244762</v>
      </c>
      <c r="O547" s="402"/>
      <c r="P547" s="421" t="n">
        <f aca="false">MATCH(t-pas/2-T_ini,CdP_t)</f>
        <v>23</v>
      </c>
      <c r="Q547" s="418" t="n">
        <f aca="false">(INDEX(CdP,2,i_P+1)-INDEX(CdP,2,i_P+0))/(INDEX(CdP,1,i_P+1)-INDEX(CdP,1,i_P+0))*(t-pas/2-T_ini-INDEX(CdP,1,i_P+0))+INDEX(CdP,2,i_P+0)</f>
        <v>0</v>
      </c>
      <c r="R547" s="419" t="n">
        <f aca="false">Poussee/(g*ISP)</f>
        <v>0</v>
      </c>
      <c r="S547" s="420" t="n">
        <f aca="false">S546-Débit*pas</f>
        <v>1.4843</v>
      </c>
      <c r="T547" s="418" t="n">
        <f aca="false">m*g</f>
        <v>14.560983</v>
      </c>
      <c r="U547" s="422" t="n">
        <f aca="false">IF(pos_xz&lt;L_rampe,Poids*COS(Beta),0)</f>
        <v>0</v>
      </c>
      <c r="V547" s="419" t="n">
        <f aca="false">Rho_moyen*(20000-Alt_rampe-pos_z)/(20000+Alt_rampe+pos_z)</f>
        <v>1.22571529816919</v>
      </c>
      <c r="W547" s="418" t="n">
        <f aca="false">1/2*Rho*Sref*Cx*vit_xz^2</f>
        <v>5.56069613663305</v>
      </c>
      <c r="X547" s="402"/>
      <c r="Y547" s="423" t="str">
        <f aca="false">IF(AND(pos_z&lt;=0,K546&gt;0),"Impact balistique","") &amp; IF(AND(H548&lt;0,vit_z&gt;=0),"Apogée","") &amp; IF(AND(Poussee=0,Q546&gt;0),"Fin de propulsion","") &amp; IF(AND(L548&gt;L_rampe,pos_xz&lt;=L_rampe),"Sortie de rampe","")</f>
        <v/>
      </c>
      <c r="Z547" s="424" t="str">
        <f aca="false">IF(ABS(t-T_para)&lt;pas/2,"Para","")</f>
        <v/>
      </c>
      <c r="AA547" s="425" t="str">
        <f aca="false">IF(ABS(t-T_satellite)&lt;pas/2,"Satellite","")</f>
        <v/>
      </c>
      <c r="AB547" s="413"/>
      <c r="AC547" s="421" t="e">
        <f aca="false">IF(ABS(t-ROUND(t,0))&lt;0.001,t,NA())</f>
        <v>#N/A</v>
      </c>
      <c r="AD547" s="426" t="e">
        <f aca="false">IF(ABS(t-ROUND(t,0))&lt;0.001,pos_x,NA())</f>
        <v>#N/A</v>
      </c>
      <c r="AE547" s="427" t="e">
        <f aca="false">IF(t&lt;T_para, pos_z, NA())</f>
        <v>#N/A</v>
      </c>
      <c r="AF547" s="413"/>
      <c r="AG547" s="419" t="n">
        <f aca="false">IF(AND(L546&lt;L_rampe,Poussee&lt;Poids*SIN(M546)),0,(-W546+Poussee)/m-Poids*SIN(M546)/m)</f>
        <v>5.96254697534754</v>
      </c>
      <c r="AH547" s="418" t="n">
        <f aca="false">IF(AND(L546&lt;L_rampe,Poussee&lt;Poids*SIN(M546)), g*SIN(M546), (-W546+Poussee)/m)</f>
        <v>-3.74627754176244</v>
      </c>
    </row>
    <row r="548" customFormat="false" ht="12" hidden="false" customHeight="false" outlineLevel="0" collapsed="false">
      <c r="A548" s="417" t="n">
        <f aca="false">IF(B547+0.01&lt;=T_ini+ROUNDUP(Temps_fin_propu,0), 0.01, IF(K547&gt;0, 0.1, 0.0001))</f>
        <v>0.0001</v>
      </c>
      <c r="B548" s="418" t="n">
        <f aca="false">B547+pas</f>
        <v>16.5198999999999</v>
      </c>
      <c r="C548" s="402"/>
      <c r="D548" s="419" t="n">
        <f aca="false">IF(AND(L547&lt;L_rampe,Poussee&lt;Poids*SIN(M547)),0,(-W547+Poussee)/m*COS(M547)-U547/m*SIN(M547))</f>
        <v>-0.536657328213118</v>
      </c>
      <c r="E548" s="420" t="n">
        <f aca="false">IF(AND(L547&lt;L_rampe,Poussee&lt;Poids*SIN(M547)),0,(-W547+Poussee)/m*SIN(M547)+U547/m*COS(M547)-Poids/m)</f>
        <v>-6.10229439449886</v>
      </c>
      <c r="F548" s="418" t="n">
        <f aca="false">SQRT(acc_x^2+acc_z^2)</f>
        <v>6.12584671413324</v>
      </c>
      <c r="G548" s="419" t="n">
        <f aca="false">G547+acc_x*pas</f>
        <v>10.2765591361398</v>
      </c>
      <c r="H548" s="420" t="n">
        <f aca="false">H547+acc_z*pas</f>
        <v>-71.000581510809</v>
      </c>
      <c r="I548" s="418" t="n">
        <f aca="false">SQRT(vit_x^2+vit_z^2)</f>
        <v>71.7404365929816</v>
      </c>
      <c r="J548" s="419" t="n">
        <f aca="false">J547+0.5*(vit_x+G547)*pas*(K547&gt;=0)</f>
        <v>211.791153319536</v>
      </c>
      <c r="K548" s="420" t="n">
        <f aca="false">K547+0.5*(vit_z+H547)*pas</f>
        <v>-5.84456445875291</v>
      </c>
      <c r="L548" s="418" t="n">
        <f aca="false">SQRT(pos_x^2+pos_z^2)</f>
        <v>211.871780938689</v>
      </c>
      <c r="M548" s="419" t="n">
        <f aca="false">IF(AND(L547&gt;L_rampe,G548&gt;0),ATAN2(G548,H548),$M$4)</f>
        <v>-1.42705545768757</v>
      </c>
      <c r="N548" s="418" t="n">
        <f aca="false">DEGREES(Beta)</f>
        <v>-81.764254856608</v>
      </c>
      <c r="O548" s="402"/>
      <c r="P548" s="421" t="n">
        <f aca="false">MATCH(t-pas/2-T_ini,CdP_t)</f>
        <v>23</v>
      </c>
      <c r="Q548" s="418" t="n">
        <f aca="false">(INDEX(CdP,2,i_P+1)-INDEX(CdP,2,i_P+0))/(INDEX(CdP,1,i_P+1)-INDEX(CdP,1,i_P+0))*(t-pas/2-T_ini-INDEX(CdP,1,i_P+0))+INDEX(CdP,2,i_P+0)</f>
        <v>0</v>
      </c>
      <c r="R548" s="419" t="n">
        <f aca="false">Poussee/(g*ISP)</f>
        <v>0</v>
      </c>
      <c r="S548" s="420" t="n">
        <f aca="false">S547-Débit*pas</f>
        <v>1.4843</v>
      </c>
      <c r="T548" s="418" t="n">
        <f aca="false">m*g</f>
        <v>14.560983</v>
      </c>
      <c r="U548" s="422" t="n">
        <f aca="false">IF(pos_xz&lt;L_rampe,Poids*COS(Beta),0)</f>
        <v>0</v>
      </c>
      <c r="V548" s="419" t="n">
        <f aca="false">Rho_moyen*(20000-Alt_rampe-pos_z)/(20000+Alt_rampe+pos_z)</f>
        <v>1.22571616843083</v>
      </c>
      <c r="W548" s="418" t="n">
        <f aca="false">1/2*Rho*Sref*Cx*vit_xz^2</f>
        <v>5.56079251800041</v>
      </c>
      <c r="X548" s="402"/>
      <c r="Y548" s="423" t="str">
        <f aca="false">IF(AND(pos_z&lt;=0,K547&gt;0),"Impact balistique","") &amp; IF(AND(H549&lt;0,vit_z&gt;=0),"Apogée","") &amp; IF(AND(Poussee=0,Q547&gt;0),"Fin de propulsion","") &amp; IF(AND(L549&gt;L_rampe,pos_xz&lt;=L_rampe),"Sortie de rampe","")</f>
        <v/>
      </c>
      <c r="Z548" s="424" t="str">
        <f aca="false">IF(ABS(t-T_para)&lt;pas/2,"Para","")</f>
        <v/>
      </c>
      <c r="AA548" s="425" t="str">
        <f aca="false">IF(ABS(t-T_satellite)&lt;pas/2,"Satellite","")</f>
        <v/>
      </c>
      <c r="AB548" s="413"/>
      <c r="AC548" s="421" t="e">
        <f aca="false">IF(ABS(t-ROUND(t,0))&lt;0.001,t,NA())</f>
        <v>#N/A</v>
      </c>
      <c r="AD548" s="426" t="e">
        <f aca="false">IF(ABS(t-ROUND(t,0))&lt;0.001,pos_x,NA())</f>
        <v>#N/A</v>
      </c>
      <c r="AE548" s="427" t="e">
        <f aca="false">IF(t&lt;T_para, pos_z, NA())</f>
        <v>#N/A</v>
      </c>
      <c r="AF548" s="413"/>
      <c r="AG548" s="419" t="n">
        <f aca="false">IF(AND(L547&lt;L_rampe,Poussee&lt;Poids*SIN(M547)),0,(-W547+Poussee)/m-Poids*SIN(M547)/m)</f>
        <v>5.9624847941852</v>
      </c>
      <c r="AH548" s="418" t="n">
        <f aca="false">IF(AND(L547&lt;L_rampe,Poussee&lt;Poids*SIN(M547)), g*SIN(M547), (-W547+Poussee)/m)</f>
        <v>-3.74634247566736</v>
      </c>
    </row>
    <row r="549" customFormat="false" ht="12" hidden="false" customHeight="false" outlineLevel="0" collapsed="false">
      <c r="A549" s="417" t="n">
        <f aca="false">IF(B548+0.01&lt;=T_ini+ROUNDUP(Temps_fin_propu,0), 0.01, IF(K548&gt;0, 0.1, 0.0001))</f>
        <v>0.0001</v>
      </c>
      <c r="B549" s="418" t="n">
        <f aca="false">B548+pas</f>
        <v>16.5199999999999</v>
      </c>
      <c r="C549" s="402"/>
      <c r="D549" s="419" t="n">
        <f aca="false">IF(AND(L548&lt;L_rampe,Poussee&lt;Poids*SIN(M548)),0,(-W548+Poussee)/m*COS(M548)-U548/m*SIN(M548))</f>
        <v>-0.53665936702867</v>
      </c>
      <c r="E549" s="420" t="n">
        <f aca="false">IF(AND(L548&lt;L_rampe,Poussee&lt;Poids*SIN(M548)),0,(-W548+Poussee)/m*SIN(M548)+U548/m*COS(M548)-Poids/m)</f>
        <v>-6.10222907906401</v>
      </c>
      <c r="F549" s="418" t="n">
        <f aca="false">SQRT(acc_x^2+acc_z^2)</f>
        <v>6.12578182843578</v>
      </c>
      <c r="G549" s="419" t="n">
        <f aca="false">G548+acc_x*pas</f>
        <v>10.2765054702031</v>
      </c>
      <c r="H549" s="420" t="n">
        <f aca="false">H548+acc_z*pas</f>
        <v>-71.0011917337169</v>
      </c>
      <c r="I549" s="418" t="n">
        <f aca="false">SQRT(vit_x^2+vit_z^2)</f>
        <v>71.7410328353805</v>
      </c>
      <c r="J549" s="419" t="n">
        <f aca="false">J548+0.5*(vit_x+G548)*pas*(K548&gt;=0)</f>
        <v>211.791153319536</v>
      </c>
      <c r="K549" s="420" t="n">
        <f aca="false">K548+0.5*(vit_z+H548)*pas</f>
        <v>-5.85166454741514</v>
      </c>
      <c r="L549" s="418" t="n">
        <f aca="false">SQRT(pos_x^2+pos_z^2)</f>
        <v>211.871976916238</v>
      </c>
      <c r="M549" s="419" t="n">
        <f aca="false">IF(AND(L548&gt;L_rampe,G549&gt;0),ATAN2(G549,H549),$M$4)</f>
        <v>-1.42705741646501</v>
      </c>
      <c r="N549" s="418" t="n">
        <f aca="false">DEGREES(Beta)</f>
        <v>-81.7643670862882</v>
      </c>
      <c r="O549" s="402"/>
      <c r="P549" s="421" t="n">
        <f aca="false">MATCH(t-pas/2-T_ini,CdP_t)</f>
        <v>23</v>
      </c>
      <c r="Q549" s="418" t="n">
        <f aca="false">(INDEX(CdP,2,i_P+1)-INDEX(CdP,2,i_P+0))/(INDEX(CdP,1,i_P+1)-INDEX(CdP,1,i_P+0))*(t-pas/2-T_ini-INDEX(CdP,1,i_P+0))+INDEX(CdP,2,i_P+0)</f>
        <v>0</v>
      </c>
      <c r="R549" s="419" t="n">
        <f aca="false">Poussee/(g*ISP)</f>
        <v>0</v>
      </c>
      <c r="S549" s="420" t="n">
        <f aca="false">S548-Débit*pas</f>
        <v>1.4843</v>
      </c>
      <c r="T549" s="418" t="n">
        <f aca="false">m*g</f>
        <v>14.560983</v>
      </c>
      <c r="U549" s="422" t="n">
        <f aca="false">IF(pos_xz&lt;L_rampe,Poids*COS(Beta),0)</f>
        <v>0</v>
      </c>
      <c r="V549" s="419" t="n">
        <f aca="false">Rho_moyen*(20000-Alt_rampe-pos_z)/(20000+Alt_rampe+pos_z)</f>
        <v>1.22571703870056</v>
      </c>
      <c r="W549" s="418" t="n">
        <f aca="false">1/2*Rho*Sref*Cx*vit_xz^2</f>
        <v>5.56088889934002</v>
      </c>
      <c r="X549" s="402"/>
      <c r="Y549" s="423" t="str">
        <f aca="false">IF(AND(pos_z&lt;=0,K548&gt;0),"Impact balistique","") &amp; IF(AND(H550&lt;0,vit_z&gt;=0),"Apogée","") &amp; IF(AND(Poussee=0,Q548&gt;0),"Fin de propulsion","") &amp; IF(AND(L550&gt;L_rampe,pos_xz&lt;=L_rampe),"Sortie de rampe","")</f>
        <v/>
      </c>
      <c r="Z549" s="424" t="str">
        <f aca="false">IF(ABS(t-T_para)&lt;pas/2,"Para","")</f>
        <v/>
      </c>
      <c r="AA549" s="425" t="str">
        <f aca="false">IF(ABS(t-T_satellite)&lt;pas/2,"Satellite","")</f>
        <v/>
      </c>
      <c r="AB549" s="413"/>
      <c r="AC549" s="421" t="e">
        <f aca="false">IF(ABS(t-ROUND(t,0))&lt;0.001,t,NA())</f>
        <v>#N/A</v>
      </c>
      <c r="AD549" s="426" t="e">
        <f aca="false">IF(ABS(t-ROUND(t,0))&lt;0.001,pos_x,NA())</f>
        <v>#N/A</v>
      </c>
      <c r="AE549" s="427" t="e">
        <f aca="false">IF(t&lt;T_para, pos_z, NA())</f>
        <v>#N/A</v>
      </c>
      <c r="AF549" s="413"/>
      <c r="AG549" s="419" t="n">
        <f aca="false">IF(AND(L548&lt;L_rampe,Poussee&lt;Poids*SIN(M548)),0,(-W548+Poussee)/m-Poids*SIN(M548)/m)</f>
        <v>5.96242261294415</v>
      </c>
      <c r="AH549" s="418" t="n">
        <f aca="false">IF(AND(L548&lt;L_rampe,Poussee&lt;Poids*SIN(M548)), g*SIN(M548), (-W548+Poussee)/m)</f>
        <v>-3.7464074095536</v>
      </c>
    </row>
    <row r="550" customFormat="false" ht="12" hidden="false" customHeight="false" outlineLevel="0" collapsed="false">
      <c r="A550" s="417" t="n">
        <f aca="false">IF(B549+0.01&lt;=T_ini+ROUNDUP(Temps_fin_propu,0), 0.01, IF(K549&gt;0, 0.1, 0.0001))</f>
        <v>0.0001</v>
      </c>
      <c r="B550" s="418" t="n">
        <f aca="false">B549+pas</f>
        <v>16.5200999999999</v>
      </c>
      <c r="C550" s="402"/>
      <c r="D550" s="419" t="n">
        <f aca="false">IF(AND(L549&lt;L_rampe,Poussee&lt;Poids*SIN(M549)),0,(-W549+Poussee)/m*COS(M549)-U549/m*SIN(M549))</f>
        <v>-0.536661405746375</v>
      </c>
      <c r="E550" s="420" t="n">
        <f aca="false">IF(AND(L549&lt;L_rampe,Poussee&lt;Poids*SIN(M549)),0,(-W549+Poussee)/m*SIN(M549)+U549/m*COS(M549)-Poids/m)</f>
        <v>-6.10216376364841</v>
      </c>
      <c r="F550" s="418" t="n">
        <f aca="false">SQRT(acc_x^2+acc_z^2)</f>
        <v>6.12571694275873</v>
      </c>
      <c r="G550" s="419" t="n">
        <f aca="false">G549+acc_x*pas</f>
        <v>10.2764518040625</v>
      </c>
      <c r="H550" s="420" t="n">
        <f aca="false">H549+acc_z*pas</f>
        <v>-71.0018019500932</v>
      </c>
      <c r="I550" s="418" t="n">
        <f aca="false">SQRT(vit_x^2+vit_z^2)</f>
        <v>71.7416290715613</v>
      </c>
      <c r="J550" s="419" t="n">
        <f aca="false">J549+0.5*(vit_x+G549)*pas*(K549&gt;=0)</f>
        <v>211.791153319536</v>
      </c>
      <c r="K550" s="420" t="n">
        <f aca="false">K549+0.5*(vit_z+H549)*pas</f>
        <v>-5.85876469709933</v>
      </c>
      <c r="L550" s="418" t="n">
        <f aca="false">SQRT(pos_x^2+pos_z^2)</f>
        <v>211.872173133225</v>
      </c>
      <c r="M550" s="419" t="n">
        <f aca="false">IF(AND(L549&gt;L_rampe,G550&gt;0),ATAN2(G550,H550),$M$4)</f>
        <v>-1.42705937519966</v>
      </c>
      <c r="N550" s="418" t="n">
        <f aca="false">DEGREES(Beta)</f>
        <v>-81.7644793135168</v>
      </c>
      <c r="O550" s="402"/>
      <c r="P550" s="421" t="n">
        <f aca="false">MATCH(t-pas/2-T_ini,CdP_t)</f>
        <v>23</v>
      </c>
      <c r="Q550" s="418" t="n">
        <f aca="false">(INDEX(CdP,2,i_P+1)-INDEX(CdP,2,i_P+0))/(INDEX(CdP,1,i_P+1)-INDEX(CdP,1,i_P+0))*(t-pas/2-T_ini-INDEX(CdP,1,i_P+0))+INDEX(CdP,2,i_P+0)</f>
        <v>0</v>
      </c>
      <c r="R550" s="419" t="n">
        <f aca="false">Poussee/(g*ISP)</f>
        <v>0</v>
      </c>
      <c r="S550" s="420" t="n">
        <f aca="false">S549-Débit*pas</f>
        <v>1.4843</v>
      </c>
      <c r="T550" s="418" t="n">
        <f aca="false">m*g</f>
        <v>14.560983</v>
      </c>
      <c r="U550" s="422" t="n">
        <f aca="false">IF(pos_xz&lt;L_rampe,Poids*COS(Beta),0)</f>
        <v>0</v>
      </c>
      <c r="V550" s="419" t="n">
        <f aca="false">Rho_moyen*(20000-Alt_rampe-pos_z)/(20000+Alt_rampe+pos_z)</f>
        <v>1.22571790897838</v>
      </c>
      <c r="W550" s="418" t="n">
        <f aca="false">1/2*Rho*Sref*Cx*vit_xz^2</f>
        <v>5.56098528065185</v>
      </c>
      <c r="X550" s="402"/>
      <c r="Y550" s="423" t="str">
        <f aca="false">IF(AND(pos_z&lt;=0,K549&gt;0),"Impact balistique","") &amp; IF(AND(H551&lt;0,vit_z&gt;=0),"Apogée","") &amp; IF(AND(Poussee=0,Q549&gt;0),"Fin de propulsion","") &amp; IF(AND(L551&gt;L_rampe,pos_xz&lt;=L_rampe),"Sortie de rampe","")</f>
        <v/>
      </c>
      <c r="Z550" s="424" t="str">
        <f aca="false">IF(ABS(t-T_para)&lt;pas/2,"Para","")</f>
        <v/>
      </c>
      <c r="AA550" s="425" t="str">
        <f aca="false">IF(ABS(t-T_satellite)&lt;pas/2,"Satellite","")</f>
        <v/>
      </c>
      <c r="AB550" s="413"/>
      <c r="AC550" s="421" t="e">
        <f aca="false">IF(ABS(t-ROUND(t,0))&lt;0.001,t,NA())</f>
        <v>#N/A</v>
      </c>
      <c r="AD550" s="426" t="e">
        <f aca="false">IF(ABS(t-ROUND(t,0))&lt;0.001,pos_x,NA())</f>
        <v>#N/A</v>
      </c>
      <c r="AE550" s="427" t="e">
        <f aca="false">IF(t&lt;T_para, pos_z, NA())</f>
        <v>#N/A</v>
      </c>
      <c r="AF550" s="413"/>
      <c r="AG550" s="419" t="n">
        <f aca="false">IF(AND(L549&lt;L_rampe,Poussee&lt;Poids*SIN(M549)),0,(-W549+Poussee)/m-Poids*SIN(M549)/m)</f>
        <v>5.96236043162442</v>
      </c>
      <c r="AH550" s="418" t="n">
        <f aca="false">IF(AND(L549&lt;L_rampe,Poussee&lt;Poids*SIN(M549)), g*SIN(M549), (-W549+Poussee)/m)</f>
        <v>-3.74647234342116</v>
      </c>
    </row>
    <row r="551" customFormat="false" ht="12" hidden="false" customHeight="false" outlineLevel="0" collapsed="false">
      <c r="A551" s="417" t="n">
        <f aca="false">IF(B550+0.01&lt;=T_ini+ROUNDUP(Temps_fin_propu,0), 0.01, IF(K550&gt;0, 0.1, 0.0001))</f>
        <v>0.0001</v>
      </c>
      <c r="B551" s="418" t="n">
        <f aca="false">B550+pas</f>
        <v>16.5201999999999</v>
      </c>
      <c r="C551" s="402"/>
      <c r="D551" s="419" t="n">
        <f aca="false">IF(AND(L550&lt;L_rampe,Poussee&lt;Poids*SIN(M550)),0,(-W550+Poussee)/m*COS(M550)-U550/m*SIN(M550))</f>
        <v>-0.536663444366233</v>
      </c>
      <c r="E551" s="420" t="n">
        <f aca="false">IF(AND(L550&lt;L_rampe,Poussee&lt;Poids*SIN(M550)),0,(-W550+Poussee)/m*SIN(M550)+U550/m*COS(M550)-Poids/m)</f>
        <v>-6.10209844825208</v>
      </c>
      <c r="F551" s="418" t="n">
        <f aca="false">SQRT(acc_x^2+acc_z^2)</f>
        <v>6.12565205710212</v>
      </c>
      <c r="G551" s="419" t="n">
        <f aca="false">G550+acc_x*pas</f>
        <v>10.2763981377181</v>
      </c>
      <c r="H551" s="420" t="n">
        <f aca="false">H550+acc_z*pas</f>
        <v>-71.0024121599381</v>
      </c>
      <c r="I551" s="418" t="n">
        <f aca="false">SQRT(vit_x^2+vit_z^2)</f>
        <v>71.7422253015239</v>
      </c>
      <c r="J551" s="419" t="n">
        <f aca="false">J550+0.5*(vit_x+G550)*pas*(K550&gt;=0)</f>
        <v>211.791153319536</v>
      </c>
      <c r="K551" s="420" t="n">
        <f aca="false">K550+0.5*(vit_z+H550)*pas</f>
        <v>-5.86586490780483</v>
      </c>
      <c r="L551" s="418" t="n">
        <f aca="false">SQRT(pos_x^2+pos_z^2)</f>
        <v>211.872369589656</v>
      </c>
      <c r="M551" s="419" t="n">
        <f aca="false">IF(AND(L550&gt;L_rampe,G551&gt;0),ATAN2(G551,H551),$M$4)</f>
        <v>-1.42706133389153</v>
      </c>
      <c r="N551" s="418" t="n">
        <f aca="false">DEGREES(Beta)</f>
        <v>-81.764591538294</v>
      </c>
      <c r="O551" s="402"/>
      <c r="P551" s="421" t="n">
        <f aca="false">MATCH(t-pas/2-T_ini,CdP_t)</f>
        <v>23</v>
      </c>
      <c r="Q551" s="418" t="n">
        <f aca="false">(INDEX(CdP,2,i_P+1)-INDEX(CdP,2,i_P+0))/(INDEX(CdP,1,i_P+1)-INDEX(CdP,1,i_P+0))*(t-pas/2-T_ini-INDEX(CdP,1,i_P+0))+INDEX(CdP,2,i_P+0)</f>
        <v>0</v>
      </c>
      <c r="R551" s="419" t="n">
        <f aca="false">Poussee/(g*ISP)</f>
        <v>0</v>
      </c>
      <c r="S551" s="420" t="n">
        <f aca="false">S550-Débit*pas</f>
        <v>1.4843</v>
      </c>
      <c r="T551" s="418" t="n">
        <f aca="false">m*g</f>
        <v>14.560983</v>
      </c>
      <c r="U551" s="422" t="n">
        <f aca="false">IF(pos_xz&lt;L_rampe,Poids*COS(Beta),0)</f>
        <v>0</v>
      </c>
      <c r="V551" s="419" t="n">
        <f aca="false">Rho_moyen*(20000-Alt_rampe-pos_z)/(20000+Alt_rampe+pos_z)</f>
        <v>1.22571877926431</v>
      </c>
      <c r="W551" s="418" t="n">
        <f aca="false">1/2*Rho*Sref*Cx*vit_xz^2</f>
        <v>5.56108166193589</v>
      </c>
      <c r="X551" s="402"/>
      <c r="Y551" s="423" t="str">
        <f aca="false">IF(AND(pos_z&lt;=0,K550&gt;0),"Impact balistique","") &amp; IF(AND(H552&lt;0,vit_z&gt;=0),"Apogée","") &amp; IF(AND(Poussee=0,Q550&gt;0),"Fin de propulsion","") &amp; IF(AND(L552&gt;L_rampe,pos_xz&lt;=L_rampe),"Sortie de rampe","")</f>
        <v/>
      </c>
      <c r="Z551" s="424" t="str">
        <f aca="false">IF(ABS(t-T_para)&lt;pas/2,"Para","")</f>
        <v/>
      </c>
      <c r="AA551" s="425" t="str">
        <f aca="false">IF(ABS(t-T_satellite)&lt;pas/2,"Satellite","")</f>
        <v/>
      </c>
      <c r="AB551" s="413"/>
      <c r="AC551" s="421" t="e">
        <f aca="false">IF(ABS(t-ROUND(t,0))&lt;0.001,t,NA())</f>
        <v>#N/A</v>
      </c>
      <c r="AD551" s="426" t="e">
        <f aca="false">IF(ABS(t-ROUND(t,0))&lt;0.001,pos_x,NA())</f>
        <v>#N/A</v>
      </c>
      <c r="AE551" s="427" t="e">
        <f aca="false">IF(t&lt;T_para, pos_z, NA())</f>
        <v>#N/A</v>
      </c>
      <c r="AF551" s="413"/>
      <c r="AG551" s="419" t="n">
        <f aca="false">IF(AND(L550&lt;L_rampe,Poussee&lt;Poids*SIN(M550)),0,(-W550+Poussee)/m-Poids*SIN(M550)/m)</f>
        <v>5.96229825022602</v>
      </c>
      <c r="AH551" s="418" t="n">
        <f aca="false">IF(AND(L550&lt;L_rampe,Poussee&lt;Poids*SIN(M550)), g*SIN(M550), (-W550+Poussee)/m)</f>
        <v>-3.74653727727</v>
      </c>
    </row>
    <row r="552" customFormat="false" ht="12" hidden="false" customHeight="false" outlineLevel="0" collapsed="false">
      <c r="A552" s="417" t="n">
        <f aca="false">IF(B551+0.01&lt;=T_ini+ROUNDUP(Temps_fin_propu,0), 0.01, IF(K551&gt;0, 0.1, 0.0001))</f>
        <v>0.0001</v>
      </c>
      <c r="B552" s="418" t="n">
        <f aca="false">B551+pas</f>
        <v>16.5202999999999</v>
      </c>
      <c r="C552" s="402"/>
      <c r="D552" s="419" t="n">
        <f aca="false">IF(AND(L551&lt;L_rampe,Poussee&lt;Poids*SIN(M551)),0,(-W551+Poussee)/m*COS(M551)-U551/m*SIN(M551))</f>
        <v>-0.536665482888245</v>
      </c>
      <c r="E552" s="420" t="n">
        <f aca="false">IF(AND(L551&lt;L_rampe,Poussee&lt;Poids*SIN(M551)),0,(-W551+Poussee)/m*SIN(M551)+U551/m*COS(M551)-Poids/m)</f>
        <v>-6.10203313287503</v>
      </c>
      <c r="F552" s="418" t="n">
        <f aca="false">SQRT(acc_x^2+acc_z^2)</f>
        <v>6.12558717146596</v>
      </c>
      <c r="G552" s="419" t="n">
        <f aca="false">G551+acc_x*pas</f>
        <v>10.2763444711698</v>
      </c>
      <c r="H552" s="420" t="n">
        <f aca="false">H551+acc_z*pas</f>
        <v>-71.0030223632514</v>
      </c>
      <c r="I552" s="418" t="n">
        <f aca="false">SQRT(vit_x^2+vit_z^2)</f>
        <v>71.7428215252684</v>
      </c>
      <c r="J552" s="419" t="n">
        <f aca="false">J551+0.5*(vit_x+G551)*pas*(K551&gt;=0)</f>
        <v>211.791153319536</v>
      </c>
      <c r="K552" s="420" t="n">
        <f aca="false">K551+0.5*(vit_z+H551)*pas</f>
        <v>-5.87296517953099</v>
      </c>
      <c r="L552" s="418" t="n">
        <f aca="false">SQRT(pos_x^2+pos_z^2)</f>
        <v>211.872566285537</v>
      </c>
      <c r="M552" s="419" t="n">
        <f aca="false">IF(AND(L551&gt;L_rampe,G552&gt;0),ATAN2(G552,H552),$M$4)</f>
        <v>-1.42706329254061</v>
      </c>
      <c r="N552" s="418" t="n">
        <f aca="false">DEGREES(Beta)</f>
        <v>-81.7647037606199</v>
      </c>
      <c r="O552" s="402"/>
      <c r="P552" s="421" t="n">
        <f aca="false">MATCH(t-pas/2-T_ini,CdP_t)</f>
        <v>23</v>
      </c>
      <c r="Q552" s="418" t="n">
        <f aca="false">(INDEX(CdP,2,i_P+1)-INDEX(CdP,2,i_P+0))/(INDEX(CdP,1,i_P+1)-INDEX(CdP,1,i_P+0))*(t-pas/2-T_ini-INDEX(CdP,1,i_P+0))+INDEX(CdP,2,i_P+0)</f>
        <v>0</v>
      </c>
      <c r="R552" s="419" t="n">
        <f aca="false">Poussee/(g*ISP)</f>
        <v>0</v>
      </c>
      <c r="S552" s="420" t="n">
        <f aca="false">S551-Débit*pas</f>
        <v>1.4843</v>
      </c>
      <c r="T552" s="418" t="n">
        <f aca="false">m*g</f>
        <v>14.560983</v>
      </c>
      <c r="U552" s="422" t="n">
        <f aca="false">IF(pos_xz&lt;L_rampe,Poids*COS(Beta),0)</f>
        <v>0</v>
      </c>
      <c r="V552" s="419" t="n">
        <f aca="false">Rho_moyen*(20000-Alt_rampe-pos_z)/(20000+Alt_rampe+pos_z)</f>
        <v>1.22571964955833</v>
      </c>
      <c r="W552" s="418" t="n">
        <f aca="false">1/2*Rho*Sref*Cx*vit_xz^2</f>
        <v>5.5611780431921</v>
      </c>
      <c r="X552" s="402"/>
      <c r="Y552" s="423" t="str">
        <f aca="false">IF(AND(pos_z&lt;=0,K551&gt;0),"Impact balistique","") &amp; IF(AND(H553&lt;0,vit_z&gt;=0),"Apogée","") &amp; IF(AND(Poussee=0,Q551&gt;0),"Fin de propulsion","") &amp; IF(AND(L553&gt;L_rampe,pos_xz&lt;=L_rampe),"Sortie de rampe","")</f>
        <v/>
      </c>
      <c r="Z552" s="424" t="str">
        <f aca="false">IF(ABS(t-T_para)&lt;pas/2,"Para","")</f>
        <v/>
      </c>
      <c r="AA552" s="425" t="str">
        <f aca="false">IF(ABS(t-T_satellite)&lt;pas/2,"Satellite","")</f>
        <v/>
      </c>
      <c r="AB552" s="413"/>
      <c r="AC552" s="421" t="e">
        <f aca="false">IF(ABS(t-ROUND(t,0))&lt;0.001,t,NA())</f>
        <v>#N/A</v>
      </c>
      <c r="AD552" s="426" t="e">
        <f aca="false">IF(ABS(t-ROUND(t,0))&lt;0.001,pos_x,NA())</f>
        <v>#N/A</v>
      </c>
      <c r="AE552" s="427" t="e">
        <f aca="false">IF(t&lt;T_para, pos_z, NA())</f>
        <v>#N/A</v>
      </c>
      <c r="AF552" s="413"/>
      <c r="AG552" s="419" t="n">
        <f aca="false">IF(AND(L551&lt;L_rampe,Poussee&lt;Poids*SIN(M551)),0,(-W551+Poussee)/m-Poids*SIN(M551)/m)</f>
        <v>5.96223606874897</v>
      </c>
      <c r="AH552" s="418" t="n">
        <f aca="false">IF(AND(L551&lt;L_rampe,Poussee&lt;Poids*SIN(M551)), g*SIN(M551), (-W551+Poussee)/m)</f>
        <v>-3.74660221110011</v>
      </c>
    </row>
    <row r="553" customFormat="false" ht="12" hidden="false" customHeight="false" outlineLevel="0" collapsed="false">
      <c r="A553" s="417" t="n">
        <f aca="false">IF(B552+0.01&lt;=T_ini+ROUNDUP(Temps_fin_propu,0), 0.01, IF(K552&gt;0, 0.1, 0.0001))</f>
        <v>0.0001</v>
      </c>
      <c r="B553" s="418" t="n">
        <f aca="false">B552+pas</f>
        <v>16.5203999999999</v>
      </c>
      <c r="C553" s="402"/>
      <c r="D553" s="419" t="n">
        <f aca="false">IF(AND(L552&lt;L_rampe,Poussee&lt;Poids*SIN(M552)),0,(-W552+Poussee)/m*COS(M552)-U552/m*SIN(M552))</f>
        <v>-0.536667521312413</v>
      </c>
      <c r="E553" s="420" t="n">
        <f aca="false">IF(AND(L552&lt;L_rampe,Poussee&lt;Poids*SIN(M552)),0,(-W552+Poussee)/m*SIN(M552)+U552/m*COS(M552)-Poids/m)</f>
        <v>-6.10196781751728</v>
      </c>
      <c r="F553" s="418" t="n">
        <f aca="false">SQRT(acc_x^2+acc_z^2)</f>
        <v>6.12552228585027</v>
      </c>
      <c r="G553" s="419" t="n">
        <f aca="false">G552+acc_x*pas</f>
        <v>10.2762908044177</v>
      </c>
      <c r="H553" s="420" t="n">
        <f aca="false">H552+acc_z*pas</f>
        <v>-71.0036325600331</v>
      </c>
      <c r="I553" s="418" t="n">
        <f aca="false">SQRT(vit_x^2+vit_z^2)</f>
        <v>71.7434177427947</v>
      </c>
      <c r="J553" s="419" t="n">
        <f aca="false">J552+0.5*(vit_x+G552)*pas*(K552&gt;=0)</f>
        <v>211.791153319536</v>
      </c>
      <c r="K553" s="420" t="n">
        <f aca="false">K552+0.5*(vit_z+H552)*pas</f>
        <v>-5.88006551227715</v>
      </c>
      <c r="L553" s="418" t="n">
        <f aca="false">SQRT(pos_x^2+pos_z^2)</f>
        <v>211.872763220873</v>
      </c>
      <c r="M553" s="419" t="n">
        <f aca="false">IF(AND(L552&gt;L_rampe,G553&gt;0),ATAN2(G553,H553),$M$4)</f>
        <v>-1.4270652511469</v>
      </c>
      <c r="N553" s="418" t="n">
        <f aca="false">DEGREES(Beta)</f>
        <v>-81.7648159804944</v>
      </c>
      <c r="O553" s="402"/>
      <c r="P553" s="421" t="n">
        <f aca="false">MATCH(t-pas/2-T_ini,CdP_t)</f>
        <v>23</v>
      </c>
      <c r="Q553" s="418" t="n">
        <f aca="false">(INDEX(CdP,2,i_P+1)-INDEX(CdP,2,i_P+0))/(INDEX(CdP,1,i_P+1)-INDEX(CdP,1,i_P+0))*(t-pas/2-T_ini-INDEX(CdP,1,i_P+0))+INDEX(CdP,2,i_P+0)</f>
        <v>0</v>
      </c>
      <c r="R553" s="419" t="n">
        <f aca="false">Poussee/(g*ISP)</f>
        <v>0</v>
      </c>
      <c r="S553" s="420" t="n">
        <f aca="false">S552-Débit*pas</f>
        <v>1.4843</v>
      </c>
      <c r="T553" s="418" t="n">
        <f aca="false">m*g</f>
        <v>14.560983</v>
      </c>
      <c r="U553" s="422" t="n">
        <f aca="false">IF(pos_xz&lt;L_rampe,Poids*COS(Beta),0)</f>
        <v>0</v>
      </c>
      <c r="V553" s="419" t="n">
        <f aca="false">Rho_moyen*(20000-Alt_rampe-pos_z)/(20000+Alt_rampe+pos_z)</f>
        <v>1.22572051986045</v>
      </c>
      <c r="W553" s="418" t="n">
        <f aca="false">1/2*Rho*Sref*Cx*vit_xz^2</f>
        <v>5.56127442442048</v>
      </c>
      <c r="X553" s="402"/>
      <c r="Y553" s="423" t="str">
        <f aca="false">IF(AND(pos_z&lt;=0,K552&gt;0),"Impact balistique","") &amp; IF(AND(H554&lt;0,vit_z&gt;=0),"Apogée","") &amp; IF(AND(Poussee=0,Q552&gt;0),"Fin de propulsion","") &amp; IF(AND(L554&gt;L_rampe,pos_xz&lt;=L_rampe),"Sortie de rampe","")</f>
        <v/>
      </c>
      <c r="Z553" s="424" t="str">
        <f aca="false">IF(ABS(t-T_para)&lt;pas/2,"Para","")</f>
        <v/>
      </c>
      <c r="AA553" s="425" t="str">
        <f aca="false">IF(ABS(t-T_satellite)&lt;pas/2,"Satellite","")</f>
        <v/>
      </c>
      <c r="AB553" s="413"/>
      <c r="AC553" s="421" t="e">
        <f aca="false">IF(ABS(t-ROUND(t,0))&lt;0.001,t,NA())</f>
        <v>#N/A</v>
      </c>
      <c r="AD553" s="426" t="e">
        <f aca="false">IF(ABS(t-ROUND(t,0))&lt;0.001,pos_x,NA())</f>
        <v>#N/A</v>
      </c>
      <c r="AE553" s="427" t="e">
        <f aca="false">IF(t&lt;T_para, pos_z, NA())</f>
        <v>#N/A</v>
      </c>
      <c r="AF553" s="413"/>
      <c r="AG553" s="419" t="n">
        <f aca="false">IF(AND(L552&lt;L_rampe,Poussee&lt;Poids*SIN(M552)),0,(-W552+Poussee)/m-Poids*SIN(M552)/m)</f>
        <v>5.9621738871933</v>
      </c>
      <c r="AH553" s="418" t="n">
        <f aca="false">IF(AND(L552&lt;L_rampe,Poussee&lt;Poids*SIN(M552)), g*SIN(M552), (-W552+Poussee)/m)</f>
        <v>-3.74666714491148</v>
      </c>
    </row>
    <row r="554" customFormat="false" ht="12" hidden="false" customHeight="false" outlineLevel="0" collapsed="false">
      <c r="A554" s="417" t="n">
        <f aca="false">IF(B553+0.01&lt;=T_ini+ROUNDUP(Temps_fin_propu,0), 0.01, IF(K553&gt;0, 0.1, 0.0001))</f>
        <v>0.0001</v>
      </c>
      <c r="B554" s="418" t="n">
        <f aca="false">B553+pas</f>
        <v>16.5204999999999</v>
      </c>
      <c r="C554" s="402"/>
      <c r="D554" s="419" t="n">
        <f aca="false">IF(AND(L553&lt;L_rampe,Poussee&lt;Poids*SIN(M553)),0,(-W553+Poussee)/m*COS(M553)-U553/m*SIN(M553))</f>
        <v>-0.536669559638736</v>
      </c>
      <c r="E554" s="420" t="n">
        <f aca="false">IF(AND(L553&lt;L_rampe,Poussee&lt;Poids*SIN(M553)),0,(-W553+Poussee)/m*SIN(M553)+U553/m*COS(M553)-Poids/m)</f>
        <v>-6.10190250217885</v>
      </c>
      <c r="F554" s="418" t="n">
        <f aca="false">SQRT(acc_x^2+acc_z^2)</f>
        <v>6.12545740025505</v>
      </c>
      <c r="G554" s="419" t="n">
        <f aca="false">G553+acc_x*pas</f>
        <v>10.2762371374617</v>
      </c>
      <c r="H554" s="420" t="n">
        <f aca="false">H553+acc_z*pas</f>
        <v>-71.0042427502833</v>
      </c>
      <c r="I554" s="418" t="n">
        <f aca="false">SQRT(vit_x^2+vit_z^2)</f>
        <v>71.7440139541029</v>
      </c>
      <c r="J554" s="419" t="n">
        <f aca="false">J553+0.5*(vit_x+G553)*pas*(K553&gt;=0)</f>
        <v>211.791153319536</v>
      </c>
      <c r="K554" s="420" t="n">
        <f aca="false">K553+0.5*(vit_z+H553)*pas</f>
        <v>-5.88716590604267</v>
      </c>
      <c r="L554" s="418" t="n">
        <f aca="false">SQRT(pos_x^2+pos_z^2)</f>
        <v>211.872960395669</v>
      </c>
      <c r="M554" s="419" t="n">
        <f aca="false">IF(AND(L553&gt;L_rampe,G554&gt;0),ATAN2(G554,H554),$M$4)</f>
        <v>-1.42706720971042</v>
      </c>
      <c r="N554" s="418" t="n">
        <f aca="false">DEGREES(Beta)</f>
        <v>-81.7649281979177</v>
      </c>
      <c r="O554" s="402"/>
      <c r="P554" s="421" t="n">
        <f aca="false">MATCH(t-pas/2-T_ini,CdP_t)</f>
        <v>23</v>
      </c>
      <c r="Q554" s="418" t="n">
        <f aca="false">(INDEX(CdP,2,i_P+1)-INDEX(CdP,2,i_P+0))/(INDEX(CdP,1,i_P+1)-INDEX(CdP,1,i_P+0))*(t-pas/2-T_ini-INDEX(CdP,1,i_P+0))+INDEX(CdP,2,i_P+0)</f>
        <v>0</v>
      </c>
      <c r="R554" s="419" t="n">
        <f aca="false">Poussee/(g*ISP)</f>
        <v>0</v>
      </c>
      <c r="S554" s="420" t="n">
        <f aca="false">S553-Débit*pas</f>
        <v>1.4843</v>
      </c>
      <c r="T554" s="418" t="n">
        <f aca="false">m*g</f>
        <v>14.560983</v>
      </c>
      <c r="U554" s="422" t="n">
        <f aca="false">IF(pos_xz&lt;L_rampe,Poids*COS(Beta),0)</f>
        <v>0</v>
      </c>
      <c r="V554" s="419" t="n">
        <f aca="false">Rho_moyen*(20000-Alt_rampe-pos_z)/(20000+Alt_rampe+pos_z)</f>
        <v>1.22572139017067</v>
      </c>
      <c r="W554" s="418" t="n">
        <f aca="false">1/2*Rho*Sref*Cx*vit_xz^2</f>
        <v>5.56137080562098</v>
      </c>
      <c r="X554" s="402"/>
      <c r="Y554" s="423" t="str">
        <f aca="false">IF(AND(pos_z&lt;=0,K553&gt;0),"Impact balistique","") &amp; IF(AND(H555&lt;0,vit_z&gt;=0),"Apogée","") &amp; IF(AND(Poussee=0,Q553&gt;0),"Fin de propulsion","") &amp; IF(AND(L555&gt;L_rampe,pos_xz&lt;=L_rampe),"Sortie de rampe","")</f>
        <v/>
      </c>
      <c r="Z554" s="424" t="str">
        <f aca="false">IF(ABS(t-T_para)&lt;pas/2,"Para","")</f>
        <v/>
      </c>
      <c r="AA554" s="425" t="str">
        <f aca="false">IF(ABS(t-T_satellite)&lt;pas/2,"Satellite","")</f>
        <v/>
      </c>
      <c r="AB554" s="413"/>
      <c r="AC554" s="421" t="e">
        <f aca="false">IF(ABS(t-ROUND(t,0))&lt;0.001,t,NA())</f>
        <v>#N/A</v>
      </c>
      <c r="AD554" s="426" t="e">
        <f aca="false">IF(ABS(t-ROUND(t,0))&lt;0.001,pos_x,NA())</f>
        <v>#N/A</v>
      </c>
      <c r="AE554" s="427" t="e">
        <f aca="false">IF(t&lt;T_para, pos_z, NA())</f>
        <v>#N/A</v>
      </c>
      <c r="AF554" s="413"/>
      <c r="AG554" s="419" t="n">
        <f aca="false">IF(AND(L553&lt;L_rampe,Poussee&lt;Poids*SIN(M553)),0,(-W553+Poussee)/m-Poids*SIN(M553)/m)</f>
        <v>5.96211170555903</v>
      </c>
      <c r="AH554" s="418" t="n">
        <f aca="false">IF(AND(L553&lt;L_rampe,Poussee&lt;Poids*SIN(M553)), g*SIN(M553), (-W553+Poussee)/m)</f>
        <v>-3.74673207870409</v>
      </c>
    </row>
    <row r="555" customFormat="false" ht="12" hidden="false" customHeight="false" outlineLevel="0" collapsed="false">
      <c r="A555" s="417" t="n">
        <f aca="false">IF(B554+0.01&lt;=T_ini+ROUNDUP(Temps_fin_propu,0), 0.01, IF(K554&gt;0, 0.1, 0.0001))</f>
        <v>0.0001</v>
      </c>
      <c r="B555" s="418" t="n">
        <f aca="false">B554+pas</f>
        <v>16.5205999999999</v>
      </c>
      <c r="C555" s="402"/>
      <c r="D555" s="419" t="n">
        <f aca="false">IF(AND(L554&lt;L_rampe,Poussee&lt;Poids*SIN(M554)),0,(-W554+Poussee)/m*COS(M554)-U554/m*SIN(M554))</f>
        <v>-0.536671597867216</v>
      </c>
      <c r="E555" s="420" t="n">
        <f aca="false">IF(AND(L554&lt;L_rampe,Poussee&lt;Poids*SIN(M554)),0,(-W554+Poussee)/m*SIN(M554)+U554/m*COS(M554)-Poids/m)</f>
        <v>-6.10183718685976</v>
      </c>
      <c r="F555" s="418" t="n">
        <f aca="false">SQRT(acc_x^2+acc_z^2)</f>
        <v>6.12539251468034</v>
      </c>
      <c r="G555" s="419" t="n">
        <f aca="false">G554+acc_x*pas</f>
        <v>10.2761834703019</v>
      </c>
      <c r="H555" s="420" t="n">
        <f aca="false">H554+acc_z*pas</f>
        <v>-71.004852934002</v>
      </c>
      <c r="I555" s="418" t="n">
        <f aca="false">SQRT(vit_x^2+vit_z^2)</f>
        <v>71.7446101591929</v>
      </c>
      <c r="J555" s="419" t="n">
        <f aca="false">J554+0.5*(vit_x+G554)*pas*(K554&gt;=0)</f>
        <v>211.791153319536</v>
      </c>
      <c r="K555" s="420" t="n">
        <f aca="false">K554+0.5*(vit_z+H554)*pas</f>
        <v>-5.89426636082688</v>
      </c>
      <c r="L555" s="418" t="n">
        <f aca="false">SQRT(pos_x^2+pos_z^2)</f>
        <v>211.87315780993</v>
      </c>
      <c r="M555" s="419" t="n">
        <f aca="false">IF(AND(L554&gt;L_rampe,G555&gt;0),ATAN2(G555,H555),$M$4)</f>
        <v>-1.42706916823115</v>
      </c>
      <c r="N555" s="418" t="n">
        <f aca="false">DEGREES(Beta)</f>
        <v>-81.76504041289</v>
      </c>
      <c r="O555" s="402"/>
      <c r="P555" s="421" t="n">
        <f aca="false">MATCH(t-pas/2-T_ini,CdP_t)</f>
        <v>23</v>
      </c>
      <c r="Q555" s="418" t="n">
        <f aca="false">(INDEX(CdP,2,i_P+1)-INDEX(CdP,2,i_P+0))/(INDEX(CdP,1,i_P+1)-INDEX(CdP,1,i_P+0))*(t-pas/2-T_ini-INDEX(CdP,1,i_P+0))+INDEX(CdP,2,i_P+0)</f>
        <v>0</v>
      </c>
      <c r="R555" s="419" t="n">
        <f aca="false">Poussee/(g*ISP)</f>
        <v>0</v>
      </c>
      <c r="S555" s="420" t="n">
        <f aca="false">S554-Débit*pas</f>
        <v>1.4843</v>
      </c>
      <c r="T555" s="418" t="n">
        <f aca="false">m*g</f>
        <v>14.560983</v>
      </c>
      <c r="U555" s="422" t="n">
        <f aca="false">IF(pos_xz&lt;L_rampe,Poids*COS(Beta),0)</f>
        <v>0</v>
      </c>
      <c r="V555" s="419" t="n">
        <f aca="false">Rho_moyen*(20000-Alt_rampe-pos_z)/(20000+Alt_rampe+pos_z)</f>
        <v>1.22572226048899</v>
      </c>
      <c r="W555" s="418" t="n">
        <f aca="false">1/2*Rho*Sref*Cx*vit_xz^2</f>
        <v>5.5614671867936</v>
      </c>
      <c r="X555" s="402"/>
      <c r="Y555" s="423" t="str">
        <f aca="false">IF(AND(pos_z&lt;=0,K554&gt;0),"Impact balistique","") &amp; IF(AND(H556&lt;0,vit_z&gt;=0),"Apogée","") &amp; IF(AND(Poussee=0,Q554&gt;0),"Fin de propulsion","") &amp; IF(AND(L556&gt;L_rampe,pos_xz&lt;=L_rampe),"Sortie de rampe","")</f>
        <v/>
      </c>
      <c r="Z555" s="424" t="str">
        <f aca="false">IF(ABS(t-T_para)&lt;pas/2,"Para","")</f>
        <v/>
      </c>
      <c r="AA555" s="425" t="str">
        <f aca="false">IF(ABS(t-T_satellite)&lt;pas/2,"Satellite","")</f>
        <v/>
      </c>
      <c r="AB555" s="413"/>
      <c r="AC555" s="421" t="e">
        <f aca="false">IF(ABS(t-ROUND(t,0))&lt;0.001,t,NA())</f>
        <v>#N/A</v>
      </c>
      <c r="AD555" s="426" t="e">
        <f aca="false">IF(ABS(t-ROUND(t,0))&lt;0.001,pos_x,NA())</f>
        <v>#N/A</v>
      </c>
      <c r="AE555" s="427" t="e">
        <f aca="false">IF(t&lt;T_para, pos_z, NA())</f>
        <v>#N/A</v>
      </c>
      <c r="AF555" s="413"/>
      <c r="AG555" s="419" t="n">
        <f aca="false">IF(AND(L554&lt;L_rampe,Poussee&lt;Poids*SIN(M554)),0,(-W554+Poussee)/m-Poids*SIN(M554)/m)</f>
        <v>5.96204952384617</v>
      </c>
      <c r="AH555" s="418" t="n">
        <f aca="false">IF(AND(L554&lt;L_rampe,Poussee&lt;Poids*SIN(M554)), g*SIN(M554), (-W554+Poussee)/m)</f>
        <v>-3.74679701247793</v>
      </c>
    </row>
    <row r="556" customFormat="false" ht="12" hidden="false" customHeight="false" outlineLevel="0" collapsed="false">
      <c r="A556" s="417" t="n">
        <f aca="false">IF(B555+0.01&lt;=T_ini+ROUNDUP(Temps_fin_propu,0), 0.01, IF(K555&gt;0, 0.1, 0.0001))</f>
        <v>0.0001</v>
      </c>
      <c r="B556" s="418" t="n">
        <f aca="false">B555+pas</f>
        <v>16.5206999999999</v>
      </c>
      <c r="C556" s="402"/>
      <c r="D556" s="419" t="n">
        <f aca="false">IF(AND(L555&lt;L_rampe,Poussee&lt;Poids*SIN(M555)),0,(-W555+Poussee)/m*COS(M555)-U555/m*SIN(M555))</f>
        <v>-0.536673635997853</v>
      </c>
      <c r="E556" s="420" t="n">
        <f aca="false">IF(AND(L555&lt;L_rampe,Poussee&lt;Poids*SIN(M555)),0,(-W555+Poussee)/m*SIN(M555)+U555/m*COS(M555)-Poids/m)</f>
        <v>-6.10177187156</v>
      </c>
      <c r="F556" s="418" t="n">
        <f aca="false">SQRT(acc_x^2+acc_z^2)</f>
        <v>6.12532762912614</v>
      </c>
      <c r="G556" s="419" t="n">
        <f aca="false">G555+acc_x*pas</f>
        <v>10.2761298029383</v>
      </c>
      <c r="H556" s="420" t="n">
        <f aca="false">H555+acc_z*pas</f>
        <v>-71.0054631111892</v>
      </c>
      <c r="I556" s="418" t="n">
        <f aca="false">SQRT(vit_x^2+vit_z^2)</f>
        <v>71.7452063580647</v>
      </c>
      <c r="J556" s="419" t="n">
        <f aca="false">J555+0.5*(vit_x+G555)*pas*(K555&gt;=0)</f>
        <v>211.791153319536</v>
      </c>
      <c r="K556" s="420" t="n">
        <f aca="false">K555+0.5*(vit_z+H555)*pas</f>
        <v>-5.90136687662914</v>
      </c>
      <c r="L556" s="418" t="n">
        <f aca="false">SQRT(pos_x^2+pos_z^2)</f>
        <v>211.873355463663</v>
      </c>
      <c r="M556" s="419" t="n">
        <f aca="false">IF(AND(L555&gt;L_rampe,G556&gt;0),ATAN2(G556,H556),$M$4)</f>
        <v>-1.42707112670911</v>
      </c>
      <c r="N556" s="418" t="n">
        <f aca="false">DEGREES(Beta)</f>
        <v>-81.7651526254111</v>
      </c>
      <c r="O556" s="402"/>
      <c r="P556" s="421" t="n">
        <f aca="false">MATCH(t-pas/2-T_ini,CdP_t)</f>
        <v>23</v>
      </c>
      <c r="Q556" s="418" t="n">
        <f aca="false">(INDEX(CdP,2,i_P+1)-INDEX(CdP,2,i_P+0))/(INDEX(CdP,1,i_P+1)-INDEX(CdP,1,i_P+0))*(t-pas/2-T_ini-INDEX(CdP,1,i_P+0))+INDEX(CdP,2,i_P+0)</f>
        <v>0</v>
      </c>
      <c r="R556" s="419" t="n">
        <f aca="false">Poussee/(g*ISP)</f>
        <v>0</v>
      </c>
      <c r="S556" s="420" t="n">
        <f aca="false">S555-Débit*pas</f>
        <v>1.4843</v>
      </c>
      <c r="T556" s="418" t="n">
        <f aca="false">m*g</f>
        <v>14.560983</v>
      </c>
      <c r="U556" s="422" t="n">
        <f aca="false">IF(pos_xz&lt;L_rampe,Poids*COS(Beta),0)</f>
        <v>0</v>
      </c>
      <c r="V556" s="419" t="n">
        <f aca="false">Rho_moyen*(20000-Alt_rampe-pos_z)/(20000+Alt_rampe+pos_z)</f>
        <v>1.2257231308154</v>
      </c>
      <c r="W556" s="418" t="n">
        <f aca="false">1/2*Rho*Sref*Cx*vit_xz^2</f>
        <v>5.56156356793829</v>
      </c>
      <c r="X556" s="402"/>
      <c r="Y556" s="423" t="str">
        <f aca="false">IF(AND(pos_z&lt;=0,K555&gt;0),"Impact balistique","") &amp; IF(AND(H557&lt;0,vit_z&gt;=0),"Apogée","") &amp; IF(AND(Poussee=0,Q555&gt;0),"Fin de propulsion","") &amp; IF(AND(L557&gt;L_rampe,pos_xz&lt;=L_rampe),"Sortie de rampe","")</f>
        <v/>
      </c>
      <c r="Z556" s="424" t="str">
        <f aca="false">IF(ABS(t-T_para)&lt;pas/2,"Para","")</f>
        <v/>
      </c>
      <c r="AA556" s="425" t="str">
        <f aca="false">IF(ABS(t-T_satellite)&lt;pas/2,"Satellite","")</f>
        <v/>
      </c>
      <c r="AB556" s="413"/>
      <c r="AC556" s="421" t="e">
        <f aca="false">IF(ABS(t-ROUND(t,0))&lt;0.001,t,NA())</f>
        <v>#N/A</v>
      </c>
      <c r="AD556" s="426" t="e">
        <f aca="false">IF(ABS(t-ROUND(t,0))&lt;0.001,pos_x,NA())</f>
        <v>#N/A</v>
      </c>
      <c r="AE556" s="427" t="e">
        <f aca="false">IF(t&lt;T_para, pos_z, NA())</f>
        <v>#N/A</v>
      </c>
      <c r="AF556" s="413"/>
      <c r="AG556" s="419" t="n">
        <f aca="false">IF(AND(L555&lt;L_rampe,Poussee&lt;Poids*SIN(M555)),0,(-W555+Poussee)/m-Poids*SIN(M555)/m)</f>
        <v>5.96198734205475</v>
      </c>
      <c r="AH556" s="418" t="n">
        <f aca="false">IF(AND(L555&lt;L_rampe,Poussee&lt;Poids*SIN(M555)), g*SIN(M555), (-W555+Poussee)/m)</f>
        <v>-3.74686194623297</v>
      </c>
    </row>
    <row r="557" customFormat="false" ht="12" hidden="false" customHeight="false" outlineLevel="0" collapsed="false">
      <c r="A557" s="417" t="n">
        <f aca="false">IF(B556+0.01&lt;=T_ini+ROUNDUP(Temps_fin_propu,0), 0.01, IF(K556&gt;0, 0.1, 0.0001))</f>
        <v>0.0001</v>
      </c>
      <c r="B557" s="418" t="n">
        <f aca="false">B556+pas</f>
        <v>16.5207999999999</v>
      </c>
      <c r="C557" s="402"/>
      <c r="D557" s="419" t="n">
        <f aca="false">IF(AND(L556&lt;L_rampe,Poussee&lt;Poids*SIN(M556)),0,(-W556+Poussee)/m*COS(M556)-U556/m*SIN(M556))</f>
        <v>-0.536675674030647</v>
      </c>
      <c r="E557" s="420" t="n">
        <f aca="false">IF(AND(L556&lt;L_rampe,Poussee&lt;Poids*SIN(M556)),0,(-W556+Poussee)/m*SIN(M556)+U556/m*COS(M556)-Poids/m)</f>
        <v>-6.10170655627962</v>
      </c>
      <c r="F557" s="418" t="n">
        <f aca="false">SQRT(acc_x^2+acc_z^2)</f>
        <v>6.12526274359247</v>
      </c>
      <c r="G557" s="419" t="n">
        <f aca="false">G556+acc_x*pas</f>
        <v>10.2760761353709</v>
      </c>
      <c r="H557" s="420" t="n">
        <f aca="false">H556+acc_z*pas</f>
        <v>-71.0060732818448</v>
      </c>
      <c r="I557" s="418" t="n">
        <f aca="false">SQRT(vit_x^2+vit_z^2)</f>
        <v>71.7458025507183</v>
      </c>
      <c r="J557" s="419" t="n">
        <f aca="false">J556+0.5*(vit_x+G556)*pas*(K556&gt;=0)</f>
        <v>211.791153319536</v>
      </c>
      <c r="K557" s="420" t="n">
        <f aca="false">K556+0.5*(vit_z+H556)*pas</f>
        <v>-5.90846745344879</v>
      </c>
      <c r="L557" s="418" t="n">
        <f aca="false">SQRT(pos_x^2+pos_z^2)</f>
        <v>211.873553356873</v>
      </c>
      <c r="M557" s="419" t="n">
        <f aca="false">IF(AND(L556&gt;L_rampe,G557&gt;0),ATAN2(G557,H557),$M$4)</f>
        <v>-1.42707308514429</v>
      </c>
      <c r="N557" s="418" t="n">
        <f aca="false">DEGREES(Beta)</f>
        <v>-81.7652648354814</v>
      </c>
      <c r="O557" s="402"/>
      <c r="P557" s="421" t="n">
        <f aca="false">MATCH(t-pas/2-T_ini,CdP_t)</f>
        <v>23</v>
      </c>
      <c r="Q557" s="418" t="n">
        <f aca="false">(INDEX(CdP,2,i_P+1)-INDEX(CdP,2,i_P+0))/(INDEX(CdP,1,i_P+1)-INDEX(CdP,1,i_P+0))*(t-pas/2-T_ini-INDEX(CdP,1,i_P+0))+INDEX(CdP,2,i_P+0)</f>
        <v>0</v>
      </c>
      <c r="R557" s="419" t="n">
        <f aca="false">Poussee/(g*ISP)</f>
        <v>0</v>
      </c>
      <c r="S557" s="420" t="n">
        <f aca="false">S556-Débit*pas</f>
        <v>1.4843</v>
      </c>
      <c r="T557" s="418" t="n">
        <f aca="false">m*g</f>
        <v>14.560983</v>
      </c>
      <c r="U557" s="422" t="n">
        <f aca="false">IF(pos_xz&lt;L_rampe,Poids*COS(Beta),0)</f>
        <v>0</v>
      </c>
      <c r="V557" s="419" t="n">
        <f aca="false">Rho_moyen*(20000-Alt_rampe-pos_z)/(20000+Alt_rampe+pos_z)</f>
        <v>1.22572400114991</v>
      </c>
      <c r="W557" s="418" t="n">
        <f aca="false">1/2*Rho*Sref*Cx*vit_xz^2</f>
        <v>5.56165994905505</v>
      </c>
      <c r="X557" s="402"/>
      <c r="Y557" s="423" t="str">
        <f aca="false">IF(AND(pos_z&lt;=0,K556&gt;0),"Impact balistique","") &amp; IF(AND(H558&lt;0,vit_z&gt;=0),"Apogée","") &amp; IF(AND(Poussee=0,Q556&gt;0),"Fin de propulsion","") &amp; IF(AND(L558&gt;L_rampe,pos_xz&lt;=L_rampe),"Sortie de rampe","")</f>
        <v/>
      </c>
      <c r="Z557" s="424" t="str">
        <f aca="false">IF(ABS(t-T_para)&lt;pas/2,"Para","")</f>
        <v/>
      </c>
      <c r="AA557" s="425" t="str">
        <f aca="false">IF(ABS(t-T_satellite)&lt;pas/2,"Satellite","")</f>
        <v/>
      </c>
      <c r="AB557" s="413"/>
      <c r="AC557" s="421" t="e">
        <f aca="false">IF(ABS(t-ROUND(t,0))&lt;0.001,t,NA())</f>
        <v>#N/A</v>
      </c>
      <c r="AD557" s="426" t="e">
        <f aca="false">IF(ABS(t-ROUND(t,0))&lt;0.001,pos_x,NA())</f>
        <v>#N/A</v>
      </c>
      <c r="AE557" s="427" t="e">
        <f aca="false">IF(t&lt;T_para, pos_z, NA())</f>
        <v>#N/A</v>
      </c>
      <c r="AF557" s="413"/>
      <c r="AG557" s="419" t="n">
        <f aca="false">IF(AND(L556&lt;L_rampe,Poussee&lt;Poids*SIN(M556)),0,(-W556+Poussee)/m-Poids*SIN(M556)/m)</f>
        <v>5.96192516018479</v>
      </c>
      <c r="AH557" s="418" t="n">
        <f aca="false">IF(AND(L556&lt;L_rampe,Poussee&lt;Poids*SIN(M556)), g*SIN(M556), (-W556+Poussee)/m)</f>
        <v>-3.74692687996921</v>
      </c>
    </row>
    <row r="558" customFormat="false" ht="12" hidden="false" customHeight="false" outlineLevel="0" collapsed="false">
      <c r="A558" s="417" t="n">
        <f aca="false">IF(B557+0.01&lt;=T_ini+ROUNDUP(Temps_fin_propu,0), 0.01, IF(K557&gt;0, 0.1, 0.0001))</f>
        <v>0.0001</v>
      </c>
      <c r="B558" s="418" t="n">
        <f aca="false">B557+pas</f>
        <v>16.5208999999999</v>
      </c>
      <c r="C558" s="402"/>
      <c r="D558" s="419" t="n">
        <f aca="false">IF(AND(L557&lt;L_rampe,Poussee&lt;Poids*SIN(M557)),0,(-W557+Poussee)/m*COS(M557)-U557/m*SIN(M557))</f>
        <v>-0.5366777119656</v>
      </c>
      <c r="E558" s="420" t="n">
        <f aca="false">IF(AND(L557&lt;L_rampe,Poussee&lt;Poids*SIN(M557)),0,(-W557+Poussee)/m*SIN(M557)+U557/m*COS(M557)-Poids/m)</f>
        <v>-6.10164124101862</v>
      </c>
      <c r="F558" s="418" t="n">
        <f aca="false">SQRT(acc_x^2+acc_z^2)</f>
        <v>6.12519785807935</v>
      </c>
      <c r="G558" s="419" t="n">
        <f aca="false">G557+acc_x*pas</f>
        <v>10.2760224675997</v>
      </c>
      <c r="H558" s="420" t="n">
        <f aca="false">H557+acc_z*pas</f>
        <v>-71.0066834459689</v>
      </c>
      <c r="I558" s="418" t="n">
        <f aca="false">SQRT(vit_x^2+vit_z^2)</f>
        <v>71.7463987371537</v>
      </c>
      <c r="J558" s="419" t="n">
        <f aca="false">J557+0.5*(vit_x+G557)*pas*(K557&gt;=0)</f>
        <v>211.791153319536</v>
      </c>
      <c r="K558" s="420" t="n">
        <f aca="false">K557+0.5*(vit_z+H557)*pas</f>
        <v>-5.91556809128518</v>
      </c>
      <c r="L558" s="418" t="n">
        <f aca="false">SQRT(pos_x^2+pos_z^2)</f>
        <v>211.873751489565</v>
      </c>
      <c r="M558" s="419" t="n">
        <f aca="false">IF(AND(L557&gt;L_rampe,G558&gt;0),ATAN2(G558,H558),$M$4)</f>
        <v>-1.42707504353669</v>
      </c>
      <c r="N558" s="418" t="n">
        <f aca="false">DEGREES(Beta)</f>
        <v>-81.7653770431007</v>
      </c>
      <c r="O558" s="402"/>
      <c r="P558" s="421" t="n">
        <f aca="false">MATCH(t-pas/2-T_ini,CdP_t)</f>
        <v>23</v>
      </c>
      <c r="Q558" s="418" t="n">
        <f aca="false">(INDEX(CdP,2,i_P+1)-INDEX(CdP,2,i_P+0))/(INDEX(CdP,1,i_P+1)-INDEX(CdP,1,i_P+0))*(t-pas/2-T_ini-INDEX(CdP,1,i_P+0))+INDEX(CdP,2,i_P+0)</f>
        <v>0</v>
      </c>
      <c r="R558" s="419" t="n">
        <f aca="false">Poussee/(g*ISP)</f>
        <v>0</v>
      </c>
      <c r="S558" s="420" t="n">
        <f aca="false">S557-Débit*pas</f>
        <v>1.4843</v>
      </c>
      <c r="T558" s="418" t="n">
        <f aca="false">m*g</f>
        <v>14.560983</v>
      </c>
      <c r="U558" s="422" t="n">
        <f aca="false">IF(pos_xz&lt;L_rampe,Poids*COS(Beta),0)</f>
        <v>0</v>
      </c>
      <c r="V558" s="419" t="n">
        <f aca="false">Rho_moyen*(20000-Alt_rampe-pos_z)/(20000+Alt_rampe+pos_z)</f>
        <v>1.22572487149252</v>
      </c>
      <c r="W558" s="418" t="n">
        <f aca="false">1/2*Rho*Sref*Cx*vit_xz^2</f>
        <v>5.56175633014383</v>
      </c>
      <c r="X558" s="402"/>
      <c r="Y558" s="423" t="str">
        <f aca="false">IF(AND(pos_z&lt;=0,K557&gt;0),"Impact balistique","") &amp; IF(AND(H559&lt;0,vit_z&gt;=0),"Apogée","") &amp; IF(AND(Poussee=0,Q557&gt;0),"Fin de propulsion","") &amp; IF(AND(L559&gt;L_rampe,pos_xz&lt;=L_rampe),"Sortie de rampe","")</f>
        <v/>
      </c>
      <c r="Z558" s="424" t="str">
        <f aca="false">IF(ABS(t-T_para)&lt;pas/2,"Para","")</f>
        <v/>
      </c>
      <c r="AA558" s="425" t="str">
        <f aca="false">IF(ABS(t-T_satellite)&lt;pas/2,"Satellite","")</f>
        <v/>
      </c>
      <c r="AB558" s="413"/>
      <c r="AC558" s="421" t="e">
        <f aca="false">IF(ABS(t-ROUND(t,0))&lt;0.001,t,NA())</f>
        <v>#N/A</v>
      </c>
      <c r="AD558" s="426" t="e">
        <f aca="false">IF(ABS(t-ROUND(t,0))&lt;0.001,pos_x,NA())</f>
        <v>#N/A</v>
      </c>
      <c r="AE558" s="427" t="e">
        <f aca="false">IF(t&lt;T_para, pos_z, NA())</f>
        <v>#N/A</v>
      </c>
      <c r="AF558" s="413"/>
      <c r="AG558" s="419" t="n">
        <f aca="false">IF(AND(L557&lt;L_rampe,Poussee&lt;Poids*SIN(M557)),0,(-W557+Poussee)/m-Poids*SIN(M557)/m)</f>
        <v>5.96186297823631</v>
      </c>
      <c r="AH558" s="418" t="n">
        <f aca="false">IF(AND(L557&lt;L_rampe,Poussee&lt;Poids*SIN(M557)), g*SIN(M557), (-W557+Poussee)/m)</f>
        <v>-3.74699181368662</v>
      </c>
    </row>
    <row r="559" customFormat="false" ht="12" hidden="false" customHeight="false" outlineLevel="0" collapsed="false">
      <c r="A559" s="417" t="n">
        <f aca="false">IF(B558+0.01&lt;=T_ini+ROUNDUP(Temps_fin_propu,0), 0.01, IF(K558&gt;0, 0.1, 0.0001))</f>
        <v>0.0001</v>
      </c>
      <c r="B559" s="418" t="n">
        <f aca="false">B558+pas</f>
        <v>16.5209999999999</v>
      </c>
      <c r="C559" s="402"/>
      <c r="D559" s="419" t="n">
        <f aca="false">IF(AND(L558&lt;L_rampe,Poussee&lt;Poids*SIN(M558)),0,(-W558+Poussee)/m*COS(M558)-U558/m*SIN(M558))</f>
        <v>-0.536679749802713</v>
      </c>
      <c r="E559" s="420" t="n">
        <f aca="false">IF(AND(L558&lt;L_rampe,Poussee&lt;Poids*SIN(M558)),0,(-W558+Poussee)/m*SIN(M558)+U558/m*COS(M558)-Poids/m)</f>
        <v>-6.10157592577702</v>
      </c>
      <c r="F559" s="418" t="n">
        <f aca="false">SQRT(acc_x^2+acc_z^2)</f>
        <v>6.1251329725868</v>
      </c>
      <c r="G559" s="419" t="n">
        <f aca="false">G558+acc_x*pas</f>
        <v>10.2759687996247</v>
      </c>
      <c r="H559" s="420" t="n">
        <f aca="false">H558+acc_z*pas</f>
        <v>-71.0072936035615</v>
      </c>
      <c r="I559" s="418" t="n">
        <f aca="false">SQRT(vit_x^2+vit_z^2)</f>
        <v>71.7469949173709</v>
      </c>
      <c r="J559" s="419" t="n">
        <f aca="false">J558+0.5*(vit_x+G558)*pas*(K558&gt;=0)</f>
        <v>211.791153319536</v>
      </c>
      <c r="K559" s="420" t="n">
        <f aca="false">K558+0.5*(vit_z+H558)*pas</f>
        <v>-5.92266879013766</v>
      </c>
      <c r="L559" s="418" t="n">
        <f aca="false">SQRT(pos_x^2+pos_z^2)</f>
        <v>211.873949861744</v>
      </c>
      <c r="M559" s="419" t="n">
        <f aca="false">IF(AND(L558&gt;L_rampe,G559&gt;0),ATAN2(G559,H559),$M$4)</f>
        <v>-1.42707700188632</v>
      </c>
      <c r="N559" s="418" t="n">
        <f aca="false">DEGREES(Beta)</f>
        <v>-81.7654892482693</v>
      </c>
      <c r="O559" s="402"/>
      <c r="P559" s="421" t="n">
        <f aca="false">MATCH(t-pas/2-T_ini,CdP_t)</f>
        <v>23</v>
      </c>
      <c r="Q559" s="418" t="n">
        <f aca="false">(INDEX(CdP,2,i_P+1)-INDEX(CdP,2,i_P+0))/(INDEX(CdP,1,i_P+1)-INDEX(CdP,1,i_P+0))*(t-pas/2-T_ini-INDEX(CdP,1,i_P+0))+INDEX(CdP,2,i_P+0)</f>
        <v>0</v>
      </c>
      <c r="R559" s="419" t="n">
        <f aca="false">Poussee/(g*ISP)</f>
        <v>0</v>
      </c>
      <c r="S559" s="420" t="n">
        <f aca="false">S558-Débit*pas</f>
        <v>1.4843</v>
      </c>
      <c r="T559" s="418" t="n">
        <f aca="false">m*g</f>
        <v>14.560983</v>
      </c>
      <c r="U559" s="422" t="n">
        <f aca="false">IF(pos_xz&lt;L_rampe,Poids*COS(Beta),0)</f>
        <v>0</v>
      </c>
      <c r="V559" s="419" t="n">
        <f aca="false">Rho_moyen*(20000-Alt_rampe-pos_z)/(20000+Alt_rampe+pos_z)</f>
        <v>1.22572574184322</v>
      </c>
      <c r="W559" s="418" t="n">
        <f aca="false">1/2*Rho*Sref*Cx*vit_xz^2</f>
        <v>5.56185271120463</v>
      </c>
      <c r="X559" s="402"/>
      <c r="Y559" s="423" t="str">
        <f aca="false">IF(AND(pos_z&lt;=0,K558&gt;0),"Impact balistique","") &amp; IF(AND(H560&lt;0,vit_z&gt;=0),"Apogée","") &amp; IF(AND(Poussee=0,Q558&gt;0),"Fin de propulsion","") &amp; IF(AND(L560&gt;L_rampe,pos_xz&lt;=L_rampe),"Sortie de rampe","")</f>
        <v/>
      </c>
      <c r="Z559" s="424" t="str">
        <f aca="false">IF(ABS(t-T_para)&lt;pas/2,"Para","")</f>
        <v/>
      </c>
      <c r="AA559" s="425" t="str">
        <f aca="false">IF(ABS(t-T_satellite)&lt;pas/2,"Satellite","")</f>
        <v/>
      </c>
      <c r="AB559" s="413"/>
      <c r="AC559" s="421" t="e">
        <f aca="false">IF(ABS(t-ROUND(t,0))&lt;0.001,t,NA())</f>
        <v>#N/A</v>
      </c>
      <c r="AD559" s="426" t="e">
        <f aca="false">IF(ABS(t-ROUND(t,0))&lt;0.001,pos_x,NA())</f>
        <v>#N/A</v>
      </c>
      <c r="AE559" s="427" t="e">
        <f aca="false">IF(t&lt;T_para, pos_z, NA())</f>
        <v>#N/A</v>
      </c>
      <c r="AF559" s="413"/>
      <c r="AG559" s="419" t="n">
        <f aca="false">IF(AND(L558&lt;L_rampe,Poussee&lt;Poids*SIN(M558)),0,(-W558+Poussee)/m-Poids*SIN(M558)/m)</f>
        <v>5.96180079620933</v>
      </c>
      <c r="AH559" s="418" t="n">
        <f aca="false">IF(AND(L558&lt;L_rampe,Poussee&lt;Poids*SIN(M558)), g*SIN(M558), (-W558+Poussee)/m)</f>
        <v>-3.74705674738519</v>
      </c>
    </row>
    <row r="560" customFormat="false" ht="12" hidden="false" customHeight="false" outlineLevel="0" collapsed="false">
      <c r="A560" s="417" t="n">
        <f aca="false">IF(B559+0.01&lt;=T_ini+ROUNDUP(Temps_fin_propu,0), 0.01, IF(K559&gt;0, 0.1, 0.0001))</f>
        <v>0.0001</v>
      </c>
      <c r="B560" s="418" t="n">
        <f aca="false">B559+pas</f>
        <v>16.5210999999999</v>
      </c>
      <c r="C560" s="402"/>
      <c r="D560" s="419" t="n">
        <f aca="false">IF(AND(L559&lt;L_rampe,Poussee&lt;Poids*SIN(M559)),0,(-W559+Poussee)/m*COS(M559)-U559/m*SIN(M559))</f>
        <v>-0.536681787541985</v>
      </c>
      <c r="E560" s="420" t="n">
        <f aca="false">IF(AND(L559&lt;L_rampe,Poussee&lt;Poids*SIN(M559)),0,(-W559+Poussee)/m*SIN(M559)+U559/m*COS(M559)-Poids/m)</f>
        <v>-6.10151061055483</v>
      </c>
      <c r="F560" s="418" t="n">
        <f aca="false">SQRT(acc_x^2+acc_z^2)</f>
        <v>6.12506808711482</v>
      </c>
      <c r="G560" s="419" t="n">
        <f aca="false">G559+acc_x*pas</f>
        <v>10.275915131446</v>
      </c>
      <c r="H560" s="420" t="n">
        <f aca="false">H559+acc_z*pas</f>
        <v>-71.0079037546225</v>
      </c>
      <c r="I560" s="418" t="n">
        <f aca="false">SQRT(vit_x^2+vit_z^2)</f>
        <v>71.7475910913699</v>
      </c>
      <c r="J560" s="419" t="n">
        <f aca="false">J559+0.5*(vit_x+G559)*pas*(K559&gt;=0)</f>
        <v>211.791153319536</v>
      </c>
      <c r="K560" s="420" t="n">
        <f aca="false">K559+0.5*(vit_z+H559)*pas</f>
        <v>-5.92976955000557</v>
      </c>
      <c r="L560" s="418" t="n">
        <f aca="false">SQRT(pos_x^2+pos_z^2)</f>
        <v>211.874148473417</v>
      </c>
      <c r="M560" s="419" t="n">
        <f aca="false">IF(AND(L559&gt;L_rampe,G560&gt;0),ATAN2(G560,H560),$M$4)</f>
        <v>-1.42707896019318</v>
      </c>
      <c r="N560" s="418" t="n">
        <f aca="false">DEGREES(Beta)</f>
        <v>-81.7656014509871</v>
      </c>
      <c r="O560" s="402"/>
      <c r="P560" s="421" t="n">
        <f aca="false">MATCH(t-pas/2-T_ini,CdP_t)</f>
        <v>23</v>
      </c>
      <c r="Q560" s="418" t="n">
        <f aca="false">(INDEX(CdP,2,i_P+1)-INDEX(CdP,2,i_P+0))/(INDEX(CdP,1,i_P+1)-INDEX(CdP,1,i_P+0))*(t-pas/2-T_ini-INDEX(CdP,1,i_P+0))+INDEX(CdP,2,i_P+0)</f>
        <v>0</v>
      </c>
      <c r="R560" s="419" t="n">
        <f aca="false">Poussee/(g*ISP)</f>
        <v>0</v>
      </c>
      <c r="S560" s="420" t="n">
        <f aca="false">S559-Débit*pas</f>
        <v>1.4843</v>
      </c>
      <c r="T560" s="418" t="n">
        <f aca="false">m*g</f>
        <v>14.560983</v>
      </c>
      <c r="U560" s="422" t="n">
        <f aca="false">IF(pos_xz&lt;L_rampe,Poids*COS(Beta),0)</f>
        <v>0</v>
      </c>
      <c r="V560" s="419" t="n">
        <f aca="false">Rho_moyen*(20000-Alt_rampe-pos_z)/(20000+Alt_rampe+pos_z)</f>
        <v>1.22572661220202</v>
      </c>
      <c r="W560" s="418" t="n">
        <f aca="false">1/2*Rho*Sref*Cx*vit_xz^2</f>
        <v>5.56194909223742</v>
      </c>
      <c r="X560" s="402"/>
      <c r="Y560" s="423" t="str">
        <f aca="false">IF(AND(pos_z&lt;=0,K559&gt;0),"Impact balistique","") &amp; IF(AND(H561&lt;0,vit_z&gt;=0),"Apogée","") &amp; IF(AND(Poussee=0,Q559&gt;0),"Fin de propulsion","") &amp; IF(AND(L561&gt;L_rampe,pos_xz&lt;=L_rampe),"Sortie de rampe","")</f>
        <v/>
      </c>
      <c r="Z560" s="424" t="str">
        <f aca="false">IF(ABS(t-T_para)&lt;pas/2,"Para","")</f>
        <v/>
      </c>
      <c r="AA560" s="425" t="str">
        <f aca="false">IF(ABS(t-T_satellite)&lt;pas/2,"Satellite","")</f>
        <v/>
      </c>
      <c r="AB560" s="413"/>
      <c r="AC560" s="421" t="e">
        <f aca="false">IF(ABS(t-ROUND(t,0))&lt;0.001,t,NA())</f>
        <v>#N/A</v>
      </c>
      <c r="AD560" s="426" t="e">
        <f aca="false">IF(ABS(t-ROUND(t,0))&lt;0.001,pos_x,NA())</f>
        <v>#N/A</v>
      </c>
      <c r="AE560" s="427" t="e">
        <f aca="false">IF(t&lt;T_para, pos_z, NA())</f>
        <v>#N/A</v>
      </c>
      <c r="AF560" s="413"/>
      <c r="AG560" s="419" t="n">
        <f aca="false">IF(AND(L559&lt;L_rampe,Poussee&lt;Poids*SIN(M559)),0,(-W559+Poussee)/m-Poids*SIN(M559)/m)</f>
        <v>5.96173861410387</v>
      </c>
      <c r="AH560" s="418" t="n">
        <f aca="false">IF(AND(L559&lt;L_rampe,Poussee&lt;Poids*SIN(M559)), g*SIN(M559), (-W559+Poussee)/m)</f>
        <v>-3.74712168106491</v>
      </c>
    </row>
    <row r="561" customFormat="false" ht="12" hidden="false" customHeight="false" outlineLevel="0" collapsed="false">
      <c r="A561" s="417" t="n">
        <f aca="false">IF(B560+0.01&lt;=T_ini+ROUNDUP(Temps_fin_propu,0), 0.01, IF(K560&gt;0, 0.1, 0.0001))</f>
        <v>0.0001</v>
      </c>
      <c r="B561" s="418" t="n">
        <f aca="false">B560+pas</f>
        <v>16.5211999999999</v>
      </c>
      <c r="C561" s="402"/>
      <c r="D561" s="419" t="n">
        <f aca="false">IF(AND(L560&lt;L_rampe,Poussee&lt;Poids*SIN(M560)),0,(-W560+Poussee)/m*COS(M560)-U560/m*SIN(M560))</f>
        <v>-0.536683825183418</v>
      </c>
      <c r="E561" s="420" t="n">
        <f aca="false">IF(AND(L560&lt;L_rampe,Poussee&lt;Poids*SIN(M560)),0,(-W560+Poussee)/m*SIN(M560)+U560/m*COS(M560)-Poids/m)</f>
        <v>-6.10144529535207</v>
      </c>
      <c r="F561" s="418" t="n">
        <f aca="false">SQRT(acc_x^2+acc_z^2)</f>
        <v>6.12500320166344</v>
      </c>
      <c r="G561" s="419" t="n">
        <f aca="false">G560+acc_x*pas</f>
        <v>10.2758614630635</v>
      </c>
      <c r="H561" s="420" t="n">
        <f aca="false">H560+acc_z*pas</f>
        <v>-71.0085138991521</v>
      </c>
      <c r="I561" s="418" t="n">
        <f aca="false">SQRT(vit_x^2+vit_z^2)</f>
        <v>71.7481872591506</v>
      </c>
      <c r="J561" s="419" t="n">
        <f aca="false">J560+0.5*(vit_x+G560)*pas*(K560&gt;=0)</f>
        <v>211.791153319536</v>
      </c>
      <c r="K561" s="420" t="n">
        <f aca="false">K560+0.5*(vit_z+H560)*pas</f>
        <v>-5.93687037088826</v>
      </c>
      <c r="L561" s="418" t="n">
        <f aca="false">SQRT(pos_x^2+pos_z^2)</f>
        <v>211.874347324588</v>
      </c>
      <c r="M561" s="419" t="n">
        <f aca="false">IF(AND(L560&gt;L_rampe,G561&gt;0),ATAN2(G561,H561),$M$4)</f>
        <v>-1.42708091845726</v>
      </c>
      <c r="N561" s="418" t="n">
        <f aca="false">DEGREES(Beta)</f>
        <v>-81.7657136512543</v>
      </c>
      <c r="O561" s="402"/>
      <c r="P561" s="421" t="n">
        <f aca="false">MATCH(t-pas/2-T_ini,CdP_t)</f>
        <v>23</v>
      </c>
      <c r="Q561" s="418" t="n">
        <f aca="false">(INDEX(CdP,2,i_P+1)-INDEX(CdP,2,i_P+0))/(INDEX(CdP,1,i_P+1)-INDEX(CdP,1,i_P+0))*(t-pas/2-T_ini-INDEX(CdP,1,i_P+0))+INDEX(CdP,2,i_P+0)</f>
        <v>0</v>
      </c>
      <c r="R561" s="419" t="n">
        <f aca="false">Poussee/(g*ISP)</f>
        <v>0</v>
      </c>
      <c r="S561" s="420" t="n">
        <f aca="false">S560-Débit*pas</f>
        <v>1.4843</v>
      </c>
      <c r="T561" s="418" t="n">
        <f aca="false">m*g</f>
        <v>14.560983</v>
      </c>
      <c r="U561" s="422" t="n">
        <f aca="false">IF(pos_xz&lt;L_rampe,Poids*COS(Beta),0)</f>
        <v>0</v>
      </c>
      <c r="V561" s="419" t="n">
        <f aca="false">Rho_moyen*(20000-Alt_rampe-pos_z)/(20000+Alt_rampe+pos_z)</f>
        <v>1.22572748256892</v>
      </c>
      <c r="W561" s="418" t="n">
        <f aca="false">1/2*Rho*Sref*Cx*vit_xz^2</f>
        <v>5.56204547324216</v>
      </c>
      <c r="X561" s="402"/>
      <c r="Y561" s="423" t="str">
        <f aca="false">IF(AND(pos_z&lt;=0,K560&gt;0),"Impact balistique","") &amp; IF(AND(H562&lt;0,vit_z&gt;=0),"Apogée","") &amp; IF(AND(Poussee=0,Q560&gt;0),"Fin de propulsion","") &amp; IF(AND(L562&gt;L_rampe,pos_xz&lt;=L_rampe),"Sortie de rampe","")</f>
        <v/>
      </c>
      <c r="Z561" s="424" t="str">
        <f aca="false">IF(ABS(t-T_para)&lt;pas/2,"Para","")</f>
        <v/>
      </c>
      <c r="AA561" s="425" t="str">
        <f aca="false">IF(ABS(t-T_satellite)&lt;pas/2,"Satellite","")</f>
        <v/>
      </c>
      <c r="AB561" s="413"/>
      <c r="AC561" s="421" t="e">
        <f aca="false">IF(ABS(t-ROUND(t,0))&lt;0.001,t,NA())</f>
        <v>#N/A</v>
      </c>
      <c r="AD561" s="426" t="e">
        <f aca="false">IF(ABS(t-ROUND(t,0))&lt;0.001,pos_x,NA())</f>
        <v>#N/A</v>
      </c>
      <c r="AE561" s="427" t="e">
        <f aca="false">IF(t&lt;T_para, pos_z, NA())</f>
        <v>#N/A</v>
      </c>
      <c r="AF561" s="413"/>
      <c r="AG561" s="419" t="n">
        <f aca="false">IF(AND(L560&lt;L_rampe,Poussee&lt;Poids*SIN(M560)),0,(-W560+Poussee)/m-Poids*SIN(M560)/m)</f>
        <v>5.96167643191996</v>
      </c>
      <c r="AH561" s="418" t="n">
        <f aca="false">IF(AND(L560&lt;L_rampe,Poussee&lt;Poids*SIN(M560)), g*SIN(M560), (-W560+Poussee)/m)</f>
        <v>-3.74718661472575</v>
      </c>
    </row>
    <row r="562" customFormat="false" ht="12" hidden="false" customHeight="false" outlineLevel="0" collapsed="false">
      <c r="A562" s="417" t="n">
        <f aca="false">IF(B561+0.01&lt;=T_ini+ROUNDUP(Temps_fin_propu,0), 0.01, IF(K561&gt;0, 0.1, 0.0001))</f>
        <v>0.0001</v>
      </c>
      <c r="B562" s="418" t="n">
        <f aca="false">B561+pas</f>
        <v>16.5212999999999</v>
      </c>
      <c r="C562" s="402"/>
      <c r="D562" s="419" t="n">
        <f aca="false">IF(AND(L561&lt;L_rampe,Poussee&lt;Poids*SIN(M561)),0,(-W561+Poussee)/m*COS(M561)-U561/m*SIN(M561))</f>
        <v>-0.536685862727012</v>
      </c>
      <c r="E562" s="420" t="n">
        <f aca="false">IF(AND(L561&lt;L_rampe,Poussee&lt;Poids*SIN(M561)),0,(-W561+Poussee)/m*SIN(M561)+U561/m*COS(M561)-Poids/m)</f>
        <v>-6.10137998016876</v>
      </c>
      <c r="F562" s="418" t="n">
        <f aca="false">SQRT(acc_x^2+acc_z^2)</f>
        <v>6.12493831623268</v>
      </c>
      <c r="G562" s="419" t="n">
        <f aca="false">G561+acc_x*pas</f>
        <v>10.2758077944772</v>
      </c>
      <c r="H562" s="420" t="n">
        <f aca="false">H561+acc_z*pas</f>
        <v>-71.0091240371501</v>
      </c>
      <c r="I562" s="418" t="n">
        <f aca="false">SQRT(vit_x^2+vit_z^2)</f>
        <v>71.7487834207132</v>
      </c>
      <c r="J562" s="419" t="n">
        <f aca="false">J561+0.5*(vit_x+G561)*pas*(K561&gt;=0)</f>
        <v>211.791153319536</v>
      </c>
      <c r="K562" s="420" t="n">
        <f aca="false">K561+0.5*(vit_z+H561)*pas</f>
        <v>-5.94397125278507</v>
      </c>
      <c r="L562" s="418" t="n">
        <f aca="false">SQRT(pos_x^2+pos_z^2)</f>
        <v>211.874546415262</v>
      </c>
      <c r="M562" s="419" t="n">
        <f aca="false">IF(AND(L561&gt;L_rampe,G562&gt;0),ATAN2(G562,H562),$M$4)</f>
        <v>-1.42708287667858</v>
      </c>
      <c r="N562" s="418" t="n">
        <f aca="false">DEGREES(Beta)</f>
        <v>-81.765825849071</v>
      </c>
      <c r="O562" s="402"/>
      <c r="P562" s="421" t="n">
        <f aca="false">MATCH(t-pas/2-T_ini,CdP_t)</f>
        <v>23</v>
      </c>
      <c r="Q562" s="418" t="n">
        <f aca="false">(INDEX(CdP,2,i_P+1)-INDEX(CdP,2,i_P+0))/(INDEX(CdP,1,i_P+1)-INDEX(CdP,1,i_P+0))*(t-pas/2-T_ini-INDEX(CdP,1,i_P+0))+INDEX(CdP,2,i_P+0)</f>
        <v>0</v>
      </c>
      <c r="R562" s="419" t="n">
        <f aca="false">Poussee/(g*ISP)</f>
        <v>0</v>
      </c>
      <c r="S562" s="420" t="n">
        <f aca="false">S561-Débit*pas</f>
        <v>1.4843</v>
      </c>
      <c r="T562" s="418" t="n">
        <f aca="false">m*g</f>
        <v>14.560983</v>
      </c>
      <c r="U562" s="422" t="n">
        <f aca="false">IF(pos_xz&lt;L_rampe,Poids*COS(Beta),0)</f>
        <v>0</v>
      </c>
      <c r="V562" s="419" t="n">
        <f aca="false">Rho_moyen*(20000-Alt_rampe-pos_z)/(20000+Alt_rampe+pos_z)</f>
        <v>1.22572835294391</v>
      </c>
      <c r="W562" s="418" t="n">
        <f aca="false">1/2*Rho*Sref*Cx*vit_xz^2</f>
        <v>5.56214185421885</v>
      </c>
      <c r="X562" s="402"/>
      <c r="Y562" s="423" t="str">
        <f aca="false">IF(AND(pos_z&lt;=0,K561&gt;0),"Impact balistique","") &amp; IF(AND(H563&lt;0,vit_z&gt;=0),"Apogée","") &amp; IF(AND(Poussee=0,Q561&gt;0),"Fin de propulsion","") &amp; IF(AND(L563&gt;L_rampe,pos_xz&lt;=L_rampe),"Sortie de rampe","")</f>
        <v/>
      </c>
      <c r="Z562" s="424" t="str">
        <f aca="false">IF(ABS(t-T_para)&lt;pas/2,"Para","")</f>
        <v/>
      </c>
      <c r="AA562" s="425" t="str">
        <f aca="false">IF(ABS(t-T_satellite)&lt;pas/2,"Satellite","")</f>
        <v/>
      </c>
      <c r="AB562" s="413"/>
      <c r="AC562" s="421" t="e">
        <f aca="false">IF(ABS(t-ROUND(t,0))&lt;0.001,t,NA())</f>
        <v>#N/A</v>
      </c>
      <c r="AD562" s="426" t="e">
        <f aca="false">IF(ABS(t-ROUND(t,0))&lt;0.001,pos_x,NA())</f>
        <v>#N/A</v>
      </c>
      <c r="AE562" s="427" t="e">
        <f aca="false">IF(t&lt;T_para, pos_z, NA())</f>
        <v>#N/A</v>
      </c>
      <c r="AF562" s="413"/>
      <c r="AG562" s="419" t="n">
        <f aca="false">IF(AND(L561&lt;L_rampe,Poussee&lt;Poids*SIN(M561)),0,(-W561+Poussee)/m-Poids*SIN(M561)/m)</f>
        <v>5.9616142496576</v>
      </c>
      <c r="AH562" s="418" t="n">
        <f aca="false">IF(AND(L561&lt;L_rampe,Poussee&lt;Poids*SIN(M561)), g*SIN(M561), (-W561+Poussee)/m)</f>
        <v>-3.7472515483677</v>
      </c>
    </row>
    <row r="563" customFormat="false" ht="12" hidden="false" customHeight="false" outlineLevel="0" collapsed="false">
      <c r="A563" s="417" t="n">
        <f aca="false">IF(B562+0.01&lt;=T_ini+ROUNDUP(Temps_fin_propu,0), 0.01, IF(K562&gt;0, 0.1, 0.0001))</f>
        <v>0.0001</v>
      </c>
      <c r="B563" s="418" t="n">
        <f aca="false">B562+pas</f>
        <v>16.5213999999999</v>
      </c>
      <c r="C563" s="402"/>
      <c r="D563" s="419" t="n">
        <f aca="false">IF(AND(L562&lt;L_rampe,Poussee&lt;Poids*SIN(M562)),0,(-W562+Poussee)/m*COS(M562)-U562/m*SIN(M562))</f>
        <v>-0.536687900172768</v>
      </c>
      <c r="E563" s="420" t="n">
        <f aca="false">IF(AND(L562&lt;L_rampe,Poussee&lt;Poids*SIN(M562)),0,(-W562+Poussee)/m*SIN(M562)+U562/m*COS(M562)-Poids/m)</f>
        <v>-6.10131466500491</v>
      </c>
      <c r="F563" s="418" t="n">
        <f aca="false">SQRT(acc_x^2+acc_z^2)</f>
        <v>6.12487343082254</v>
      </c>
      <c r="G563" s="419" t="n">
        <f aca="false">G562+acc_x*pas</f>
        <v>10.2757541256872</v>
      </c>
      <c r="H563" s="420" t="n">
        <f aca="false">H562+acc_z*pas</f>
        <v>-71.0097341686166</v>
      </c>
      <c r="I563" s="418" t="n">
        <f aca="false">SQRT(vit_x^2+vit_z^2)</f>
        <v>71.7493795760574</v>
      </c>
      <c r="J563" s="419" t="n">
        <f aca="false">J562+0.5*(vit_x+G562)*pas*(K562&gt;=0)</f>
        <v>211.791153319536</v>
      </c>
      <c r="K563" s="420" t="n">
        <f aca="false">K562+0.5*(vit_z+H562)*pas</f>
        <v>-5.95107219569536</v>
      </c>
      <c r="L563" s="418" t="n">
        <f aca="false">SQRT(pos_x^2+pos_z^2)</f>
        <v>211.874745745447</v>
      </c>
      <c r="M563" s="419" t="n">
        <f aca="false">IF(AND(L562&gt;L_rampe,G563&gt;0),ATAN2(G563,H563),$M$4)</f>
        <v>-1.42708483485712</v>
      </c>
      <c r="N563" s="418" t="n">
        <f aca="false">DEGREES(Beta)</f>
        <v>-81.7659380444373</v>
      </c>
      <c r="O563" s="402"/>
      <c r="P563" s="421" t="n">
        <f aca="false">MATCH(t-pas/2-T_ini,CdP_t)</f>
        <v>23</v>
      </c>
      <c r="Q563" s="418" t="n">
        <f aca="false">(INDEX(CdP,2,i_P+1)-INDEX(CdP,2,i_P+0))/(INDEX(CdP,1,i_P+1)-INDEX(CdP,1,i_P+0))*(t-pas/2-T_ini-INDEX(CdP,1,i_P+0))+INDEX(CdP,2,i_P+0)</f>
        <v>0</v>
      </c>
      <c r="R563" s="419" t="n">
        <f aca="false">Poussee/(g*ISP)</f>
        <v>0</v>
      </c>
      <c r="S563" s="420" t="n">
        <f aca="false">S562-Débit*pas</f>
        <v>1.4843</v>
      </c>
      <c r="T563" s="418" t="n">
        <f aca="false">m*g</f>
        <v>14.560983</v>
      </c>
      <c r="U563" s="422" t="n">
        <f aca="false">IF(pos_xz&lt;L_rampe,Poids*COS(Beta),0)</f>
        <v>0</v>
      </c>
      <c r="V563" s="419" t="n">
        <f aca="false">Rho_moyen*(20000-Alt_rampe-pos_z)/(20000+Alt_rampe+pos_z)</f>
        <v>1.22572922332701</v>
      </c>
      <c r="W563" s="418" t="n">
        <f aca="false">1/2*Rho*Sref*Cx*vit_xz^2</f>
        <v>5.56223823516745</v>
      </c>
      <c r="X563" s="402"/>
      <c r="Y563" s="423" t="str">
        <f aca="false">IF(AND(pos_z&lt;=0,K562&gt;0),"Impact balistique","") &amp; IF(AND(H564&lt;0,vit_z&gt;=0),"Apogée","") &amp; IF(AND(Poussee=0,Q562&gt;0),"Fin de propulsion","") &amp; IF(AND(L564&gt;L_rampe,pos_xz&lt;=L_rampe),"Sortie de rampe","")</f>
        <v/>
      </c>
      <c r="Z563" s="424" t="str">
        <f aca="false">IF(ABS(t-T_para)&lt;pas/2,"Para","")</f>
        <v/>
      </c>
      <c r="AA563" s="425" t="str">
        <f aca="false">IF(ABS(t-T_satellite)&lt;pas/2,"Satellite","")</f>
        <v/>
      </c>
      <c r="AB563" s="413"/>
      <c r="AC563" s="421" t="e">
        <f aca="false">IF(ABS(t-ROUND(t,0))&lt;0.001,t,NA())</f>
        <v>#N/A</v>
      </c>
      <c r="AD563" s="426" t="e">
        <f aca="false">IF(ABS(t-ROUND(t,0))&lt;0.001,pos_x,NA())</f>
        <v>#N/A</v>
      </c>
      <c r="AE563" s="427" t="e">
        <f aca="false">IF(t&lt;T_para, pos_z, NA())</f>
        <v>#N/A</v>
      </c>
      <c r="AF563" s="413"/>
      <c r="AG563" s="419" t="n">
        <f aca="false">IF(AND(L562&lt;L_rampe,Poussee&lt;Poids*SIN(M562)),0,(-W562+Poussee)/m-Poids*SIN(M562)/m)</f>
        <v>5.96155206731683</v>
      </c>
      <c r="AH563" s="418" t="n">
        <f aca="false">IF(AND(L562&lt;L_rampe,Poussee&lt;Poids*SIN(M562)), g*SIN(M562), (-W562+Poussee)/m)</f>
        <v>-3.74731648199074</v>
      </c>
    </row>
    <row r="564" customFormat="false" ht="12" hidden="false" customHeight="false" outlineLevel="0" collapsed="false">
      <c r="A564" s="417" t="n">
        <f aca="false">IF(B563+0.01&lt;=T_ini+ROUNDUP(Temps_fin_propu,0), 0.01, IF(K563&gt;0, 0.1, 0.0001))</f>
        <v>0.0001</v>
      </c>
      <c r="B564" s="418" t="n">
        <f aca="false">B563+pas</f>
        <v>16.5214999999999</v>
      </c>
      <c r="C564" s="402"/>
      <c r="D564" s="419" t="n">
        <f aca="false">IF(AND(L563&lt;L_rampe,Poussee&lt;Poids*SIN(M563)),0,(-W563+Poussee)/m*COS(M563)-U563/m*SIN(M563))</f>
        <v>-0.536689937520687</v>
      </c>
      <c r="E564" s="420" t="n">
        <f aca="false">IF(AND(L563&lt;L_rampe,Poussee&lt;Poids*SIN(M563)),0,(-W563+Poussee)/m*SIN(M563)+U563/m*COS(M563)-Poids/m)</f>
        <v>-6.10124934986055</v>
      </c>
      <c r="F564" s="418" t="n">
        <f aca="false">SQRT(acc_x^2+acc_z^2)</f>
        <v>6.12480854543305</v>
      </c>
      <c r="G564" s="419" t="n">
        <f aca="false">G563+acc_x*pas</f>
        <v>10.2757004566934</v>
      </c>
      <c r="H564" s="420" t="n">
        <f aca="false">H563+acc_z*pas</f>
        <v>-71.0103442935516</v>
      </c>
      <c r="I564" s="418" t="n">
        <f aca="false">SQRT(vit_x^2+vit_z^2)</f>
        <v>71.7499757251835</v>
      </c>
      <c r="J564" s="419" t="n">
        <f aca="false">J563+0.5*(vit_x+G563)*pas*(K563&gt;=0)</f>
        <v>211.791153319536</v>
      </c>
      <c r="K564" s="420" t="n">
        <f aca="false">K563+0.5*(vit_z+H563)*pas</f>
        <v>-5.95817319961847</v>
      </c>
      <c r="L564" s="418" t="n">
        <f aca="false">SQRT(pos_x^2+pos_z^2)</f>
        <v>211.874945315146</v>
      </c>
      <c r="M564" s="419" t="n">
        <f aca="false">IF(AND(L563&gt;L_rampe,G564&gt;0),ATAN2(G564,H564),$M$4)</f>
        <v>-1.4270867929929</v>
      </c>
      <c r="N564" s="418" t="n">
        <f aca="false">DEGREES(Beta)</f>
        <v>-81.7660502373531</v>
      </c>
      <c r="O564" s="402"/>
      <c r="P564" s="421" t="n">
        <f aca="false">MATCH(t-pas/2-T_ini,CdP_t)</f>
        <v>23</v>
      </c>
      <c r="Q564" s="418" t="n">
        <f aca="false">(INDEX(CdP,2,i_P+1)-INDEX(CdP,2,i_P+0))/(INDEX(CdP,1,i_P+1)-INDEX(CdP,1,i_P+0))*(t-pas/2-T_ini-INDEX(CdP,1,i_P+0))+INDEX(CdP,2,i_P+0)</f>
        <v>0</v>
      </c>
      <c r="R564" s="419" t="n">
        <f aca="false">Poussee/(g*ISP)</f>
        <v>0</v>
      </c>
      <c r="S564" s="420" t="n">
        <f aca="false">S563-Débit*pas</f>
        <v>1.4843</v>
      </c>
      <c r="T564" s="418" t="n">
        <f aca="false">m*g</f>
        <v>14.560983</v>
      </c>
      <c r="U564" s="422" t="n">
        <f aca="false">IF(pos_xz&lt;L_rampe,Poids*COS(Beta),0)</f>
        <v>0</v>
      </c>
      <c r="V564" s="419" t="n">
        <f aca="false">Rho_moyen*(20000-Alt_rampe-pos_z)/(20000+Alt_rampe+pos_z)</f>
        <v>1.22573009371819</v>
      </c>
      <c r="W564" s="418" t="n">
        <f aca="false">1/2*Rho*Sref*Cx*vit_xz^2</f>
        <v>5.56233461608794</v>
      </c>
      <c r="X564" s="402"/>
      <c r="Y564" s="423" t="str">
        <f aca="false">IF(AND(pos_z&lt;=0,K563&gt;0),"Impact balistique","") &amp; IF(AND(H565&lt;0,vit_z&gt;=0),"Apogée","") &amp; IF(AND(Poussee=0,Q563&gt;0),"Fin de propulsion","") &amp; IF(AND(L565&gt;L_rampe,pos_xz&lt;=L_rampe),"Sortie de rampe","")</f>
        <v/>
      </c>
      <c r="Z564" s="424" t="str">
        <f aca="false">IF(ABS(t-T_para)&lt;pas/2,"Para","")</f>
        <v/>
      </c>
      <c r="AA564" s="425" t="str">
        <f aca="false">IF(ABS(t-T_satellite)&lt;pas/2,"Satellite","")</f>
        <v/>
      </c>
      <c r="AB564" s="413"/>
      <c r="AC564" s="421" t="e">
        <f aca="false">IF(ABS(t-ROUND(t,0))&lt;0.001,t,NA())</f>
        <v>#N/A</v>
      </c>
      <c r="AD564" s="426" t="e">
        <f aca="false">IF(ABS(t-ROUND(t,0))&lt;0.001,pos_x,NA())</f>
        <v>#N/A</v>
      </c>
      <c r="AE564" s="427" t="e">
        <f aca="false">IF(t&lt;T_para, pos_z, NA())</f>
        <v>#N/A</v>
      </c>
      <c r="AF564" s="413"/>
      <c r="AG564" s="419" t="n">
        <f aca="false">IF(AND(L563&lt;L_rampe,Poussee&lt;Poids*SIN(M563)),0,(-W563+Poussee)/m-Poids*SIN(M563)/m)</f>
        <v>5.96148988489766</v>
      </c>
      <c r="AH564" s="418" t="n">
        <f aca="false">IF(AND(L563&lt;L_rampe,Poussee&lt;Poids*SIN(M563)), g*SIN(M563), (-W563+Poussee)/m)</f>
        <v>-3.74738141559486</v>
      </c>
    </row>
    <row r="565" customFormat="false" ht="12" hidden="false" customHeight="false" outlineLevel="0" collapsed="false">
      <c r="A565" s="417" t="n">
        <f aca="false">IF(B564+0.01&lt;=T_ini+ROUNDUP(Temps_fin_propu,0), 0.01, IF(K564&gt;0, 0.1, 0.0001))</f>
        <v>0.0001</v>
      </c>
      <c r="B565" s="418" t="n">
        <f aca="false">B564+pas</f>
        <v>16.5215999999999</v>
      </c>
      <c r="C565" s="402"/>
      <c r="D565" s="419" t="n">
        <f aca="false">IF(AND(L564&lt;L_rampe,Poussee&lt;Poids*SIN(M564)),0,(-W564+Poussee)/m*COS(M564)-U564/m*SIN(M564))</f>
        <v>-0.536691974770769</v>
      </c>
      <c r="E565" s="420" t="n">
        <f aca="false">IF(AND(L564&lt;L_rampe,Poussee&lt;Poids*SIN(M564)),0,(-W564+Poussee)/m*SIN(M564)+U564/m*COS(M564)-Poids/m)</f>
        <v>-6.10118403473568</v>
      </c>
      <c r="F565" s="418" t="n">
        <f aca="false">SQRT(acc_x^2+acc_z^2)</f>
        <v>6.12474366006422</v>
      </c>
      <c r="G565" s="419" t="n">
        <f aca="false">G564+acc_x*pas</f>
        <v>10.2756467874959</v>
      </c>
      <c r="H565" s="420" t="n">
        <f aca="false">H564+acc_z*pas</f>
        <v>-71.010954411955</v>
      </c>
      <c r="I565" s="418" t="n">
        <f aca="false">SQRT(vit_x^2+vit_z^2)</f>
        <v>71.7505718680913</v>
      </c>
      <c r="J565" s="419" t="n">
        <f aca="false">J564+0.5*(vit_x+G564)*pas*(K564&gt;=0)</f>
        <v>211.791153319536</v>
      </c>
      <c r="K565" s="420" t="n">
        <f aca="false">K564+0.5*(vit_z+H564)*pas</f>
        <v>-5.96527426455375</v>
      </c>
      <c r="L565" s="418" t="n">
        <f aca="false">SQRT(pos_x^2+pos_z^2)</f>
        <v>211.875145124365</v>
      </c>
      <c r="M565" s="419" t="n">
        <f aca="false">IF(AND(L564&gt;L_rampe,G565&gt;0),ATAN2(G565,H565),$M$4)</f>
        <v>-1.42708875108592</v>
      </c>
      <c r="N565" s="418" t="n">
        <f aca="false">DEGREES(Beta)</f>
        <v>-81.7661624278187</v>
      </c>
      <c r="O565" s="402"/>
      <c r="P565" s="421" t="n">
        <f aca="false">MATCH(t-pas/2-T_ini,CdP_t)</f>
        <v>23</v>
      </c>
      <c r="Q565" s="418" t="n">
        <f aca="false">(INDEX(CdP,2,i_P+1)-INDEX(CdP,2,i_P+0))/(INDEX(CdP,1,i_P+1)-INDEX(CdP,1,i_P+0))*(t-pas/2-T_ini-INDEX(CdP,1,i_P+0))+INDEX(CdP,2,i_P+0)</f>
        <v>0</v>
      </c>
      <c r="R565" s="419" t="n">
        <f aca="false">Poussee/(g*ISP)</f>
        <v>0</v>
      </c>
      <c r="S565" s="420" t="n">
        <f aca="false">S564-Débit*pas</f>
        <v>1.4843</v>
      </c>
      <c r="T565" s="418" t="n">
        <f aca="false">m*g</f>
        <v>14.560983</v>
      </c>
      <c r="U565" s="422" t="n">
        <f aca="false">IF(pos_xz&lt;L_rampe,Poids*COS(Beta),0)</f>
        <v>0</v>
      </c>
      <c r="V565" s="419" t="n">
        <f aca="false">Rho_moyen*(20000-Alt_rampe-pos_z)/(20000+Alt_rampe+pos_z)</f>
        <v>1.22573096411748</v>
      </c>
      <c r="W565" s="418" t="n">
        <f aca="false">1/2*Rho*Sref*Cx*vit_xz^2</f>
        <v>5.5624309969803</v>
      </c>
      <c r="X565" s="402"/>
      <c r="Y565" s="423" t="str">
        <f aca="false">IF(AND(pos_z&lt;=0,K564&gt;0),"Impact balistique","") &amp; IF(AND(H566&lt;0,vit_z&gt;=0),"Apogée","") &amp; IF(AND(Poussee=0,Q564&gt;0),"Fin de propulsion","") &amp; IF(AND(L566&gt;L_rampe,pos_xz&lt;=L_rampe),"Sortie de rampe","")</f>
        <v/>
      </c>
      <c r="Z565" s="424" t="str">
        <f aca="false">IF(ABS(t-T_para)&lt;pas/2,"Para","")</f>
        <v/>
      </c>
      <c r="AA565" s="425" t="str">
        <f aca="false">IF(ABS(t-T_satellite)&lt;pas/2,"Satellite","")</f>
        <v/>
      </c>
      <c r="AB565" s="413"/>
      <c r="AC565" s="421" t="e">
        <f aca="false">IF(ABS(t-ROUND(t,0))&lt;0.001,t,NA())</f>
        <v>#N/A</v>
      </c>
      <c r="AD565" s="426" t="e">
        <f aca="false">IF(ABS(t-ROUND(t,0))&lt;0.001,pos_x,NA())</f>
        <v>#N/A</v>
      </c>
      <c r="AE565" s="427" t="e">
        <f aca="false">IF(t&lt;T_para, pos_z, NA())</f>
        <v>#N/A</v>
      </c>
      <c r="AF565" s="413"/>
      <c r="AG565" s="419" t="n">
        <f aca="false">IF(AND(L564&lt;L_rampe,Poussee&lt;Poids*SIN(M564)),0,(-W564+Poussee)/m-Poids*SIN(M564)/m)</f>
        <v>5.96142770240012</v>
      </c>
      <c r="AH565" s="418" t="n">
        <f aca="false">IF(AND(L564&lt;L_rampe,Poussee&lt;Poids*SIN(M564)), g*SIN(M564), (-W564+Poussee)/m)</f>
        <v>-3.74744634918005</v>
      </c>
    </row>
    <row r="566" customFormat="false" ht="12" hidden="false" customHeight="false" outlineLevel="0" collapsed="false">
      <c r="A566" s="417" t="n">
        <f aca="false">IF(B565+0.01&lt;=T_ini+ROUNDUP(Temps_fin_propu,0), 0.01, IF(K565&gt;0, 0.1, 0.0001))</f>
        <v>0.0001</v>
      </c>
      <c r="B566" s="418" t="n">
        <f aca="false">B565+pas</f>
        <v>16.5216999999999</v>
      </c>
      <c r="C566" s="402"/>
      <c r="D566" s="419" t="n">
        <f aca="false">IF(AND(L565&lt;L_rampe,Poussee&lt;Poids*SIN(M565)),0,(-W565+Poussee)/m*COS(M565)-U565/m*SIN(M565))</f>
        <v>-0.536694011923016</v>
      </c>
      <c r="E566" s="420" t="n">
        <f aca="false">IF(AND(L565&lt;L_rampe,Poussee&lt;Poids*SIN(M565)),0,(-W565+Poussee)/m*SIN(M565)+U565/m*COS(M565)-Poids/m)</f>
        <v>-6.10111871963032</v>
      </c>
      <c r="F566" s="418" t="n">
        <f aca="false">SQRT(acc_x^2+acc_z^2)</f>
        <v>6.12467877471607</v>
      </c>
      <c r="G566" s="419" t="n">
        <f aca="false">G565+acc_x*pas</f>
        <v>10.2755931180947</v>
      </c>
      <c r="H566" s="420" t="n">
        <f aca="false">H565+acc_z*pas</f>
        <v>-71.011564523827</v>
      </c>
      <c r="I566" s="418" t="n">
        <f aca="false">SQRT(vit_x^2+vit_z^2)</f>
        <v>71.7511680047808</v>
      </c>
      <c r="J566" s="419" t="n">
        <f aca="false">J565+0.5*(vit_x+G565)*pas*(K565&gt;=0)</f>
        <v>211.791153319536</v>
      </c>
      <c r="K566" s="420" t="n">
        <f aca="false">K565+0.5*(vit_z+H565)*pas</f>
        <v>-5.97237539050054</v>
      </c>
      <c r="L566" s="418" t="n">
        <f aca="false">SQRT(pos_x^2+pos_z^2)</f>
        <v>211.87534517311</v>
      </c>
      <c r="M566" s="419" t="n">
        <f aca="false">IF(AND(L565&gt;L_rampe,G566&gt;0),ATAN2(G566,H566),$M$4)</f>
        <v>-1.42709070913617</v>
      </c>
      <c r="N566" s="418" t="n">
        <f aca="false">DEGREES(Beta)</f>
        <v>-81.7662746158341</v>
      </c>
      <c r="O566" s="402"/>
      <c r="P566" s="421" t="n">
        <f aca="false">MATCH(t-pas/2-T_ini,CdP_t)</f>
        <v>23</v>
      </c>
      <c r="Q566" s="418" t="n">
        <f aca="false">(INDEX(CdP,2,i_P+1)-INDEX(CdP,2,i_P+0))/(INDEX(CdP,1,i_P+1)-INDEX(CdP,1,i_P+0))*(t-pas/2-T_ini-INDEX(CdP,1,i_P+0))+INDEX(CdP,2,i_P+0)</f>
        <v>0</v>
      </c>
      <c r="R566" s="419" t="n">
        <f aca="false">Poussee/(g*ISP)</f>
        <v>0</v>
      </c>
      <c r="S566" s="420" t="n">
        <f aca="false">S565-Débit*pas</f>
        <v>1.4843</v>
      </c>
      <c r="T566" s="418" t="n">
        <f aca="false">m*g</f>
        <v>14.560983</v>
      </c>
      <c r="U566" s="422" t="n">
        <f aca="false">IF(pos_xz&lt;L_rampe,Poids*COS(Beta),0)</f>
        <v>0</v>
      </c>
      <c r="V566" s="419" t="n">
        <f aca="false">Rho_moyen*(20000-Alt_rampe-pos_z)/(20000+Alt_rampe+pos_z)</f>
        <v>1.22573183452486</v>
      </c>
      <c r="W566" s="418" t="n">
        <f aca="false">1/2*Rho*Sref*Cx*vit_xz^2</f>
        <v>5.5625273778445</v>
      </c>
      <c r="X566" s="402"/>
      <c r="Y566" s="423" t="str">
        <f aca="false">IF(AND(pos_z&lt;=0,K565&gt;0),"Impact balistique","") &amp; IF(AND(H567&lt;0,vit_z&gt;=0),"Apogée","") &amp; IF(AND(Poussee=0,Q565&gt;0),"Fin de propulsion","") &amp; IF(AND(L567&gt;L_rampe,pos_xz&lt;=L_rampe),"Sortie de rampe","")</f>
        <v/>
      </c>
      <c r="Z566" s="424" t="str">
        <f aca="false">IF(ABS(t-T_para)&lt;pas/2,"Para","")</f>
        <v/>
      </c>
      <c r="AA566" s="425" t="str">
        <f aca="false">IF(ABS(t-T_satellite)&lt;pas/2,"Satellite","")</f>
        <v/>
      </c>
      <c r="AB566" s="413"/>
      <c r="AC566" s="421" t="e">
        <f aca="false">IF(ABS(t-ROUND(t,0))&lt;0.001,t,NA())</f>
        <v>#N/A</v>
      </c>
      <c r="AD566" s="426" t="e">
        <f aca="false">IF(ABS(t-ROUND(t,0))&lt;0.001,pos_x,NA())</f>
        <v>#N/A</v>
      </c>
      <c r="AE566" s="427" t="e">
        <f aca="false">IF(t&lt;T_para, pos_z, NA())</f>
        <v>#N/A</v>
      </c>
      <c r="AF566" s="413"/>
      <c r="AG566" s="419" t="n">
        <f aca="false">IF(AND(L565&lt;L_rampe,Poussee&lt;Poids*SIN(M565)),0,(-W565+Poussee)/m-Poids*SIN(M565)/m)</f>
        <v>5.96136551982422</v>
      </c>
      <c r="AH566" s="418" t="n">
        <f aca="false">IF(AND(L565&lt;L_rampe,Poussee&lt;Poids*SIN(M565)), g*SIN(M565), (-W565+Poussee)/m)</f>
        <v>-3.74751128274628</v>
      </c>
    </row>
    <row r="567" customFormat="false" ht="12" hidden="false" customHeight="false" outlineLevel="0" collapsed="false">
      <c r="A567" s="417" t="n">
        <f aca="false">IF(B566+0.01&lt;=T_ini+ROUNDUP(Temps_fin_propu,0), 0.01, IF(K566&gt;0, 0.1, 0.0001))</f>
        <v>0.0001</v>
      </c>
      <c r="B567" s="418" t="n">
        <f aca="false">B566+pas</f>
        <v>16.5217999999999</v>
      </c>
      <c r="C567" s="402"/>
      <c r="D567" s="419" t="n">
        <f aca="false">IF(AND(L566&lt;L_rampe,Poussee&lt;Poids*SIN(M566)),0,(-W566+Poussee)/m*COS(M566)-U566/m*SIN(M566))</f>
        <v>-0.536696048977427</v>
      </c>
      <c r="E567" s="420" t="n">
        <f aca="false">IF(AND(L566&lt;L_rampe,Poussee&lt;Poids*SIN(M566)),0,(-W566+Poussee)/m*SIN(M566)+U566/m*COS(M566)-Poids/m)</f>
        <v>-6.10105340454449</v>
      </c>
      <c r="F567" s="418" t="n">
        <f aca="false">SQRT(acc_x^2+acc_z^2)</f>
        <v>6.12461388938861</v>
      </c>
      <c r="G567" s="419" t="n">
        <f aca="false">G566+acc_x*pas</f>
        <v>10.2755394484898</v>
      </c>
      <c r="H567" s="420" t="n">
        <f aca="false">H566+acc_z*pas</f>
        <v>-71.0121746291675</v>
      </c>
      <c r="I567" s="418" t="n">
        <f aca="false">SQRT(vit_x^2+vit_z^2)</f>
        <v>71.7517641352521</v>
      </c>
      <c r="J567" s="419" t="n">
        <f aca="false">J566+0.5*(vit_x+G566)*pas*(K566&gt;=0)</f>
        <v>211.791153319536</v>
      </c>
      <c r="K567" s="420" t="n">
        <f aca="false">K566+0.5*(vit_z+H566)*pas</f>
        <v>-5.97947657745819</v>
      </c>
      <c r="L567" s="418" t="n">
        <f aca="false">SQRT(pos_x^2+pos_z^2)</f>
        <v>211.875545461385</v>
      </c>
      <c r="M567" s="419" t="n">
        <f aca="false">IF(AND(L566&gt;L_rampe,G567&gt;0),ATAN2(G567,H567),$M$4)</f>
        <v>-1.42709266714365</v>
      </c>
      <c r="N567" s="418" t="n">
        <f aca="false">DEGREES(Beta)</f>
        <v>-81.7663868013993</v>
      </c>
      <c r="O567" s="402"/>
      <c r="P567" s="421" t="n">
        <f aca="false">MATCH(t-pas/2-T_ini,CdP_t)</f>
        <v>23</v>
      </c>
      <c r="Q567" s="418" t="n">
        <f aca="false">(INDEX(CdP,2,i_P+1)-INDEX(CdP,2,i_P+0))/(INDEX(CdP,1,i_P+1)-INDEX(CdP,1,i_P+0))*(t-pas/2-T_ini-INDEX(CdP,1,i_P+0))+INDEX(CdP,2,i_P+0)</f>
        <v>0</v>
      </c>
      <c r="R567" s="419" t="n">
        <f aca="false">Poussee/(g*ISP)</f>
        <v>0</v>
      </c>
      <c r="S567" s="420" t="n">
        <f aca="false">S566-Débit*pas</f>
        <v>1.4843</v>
      </c>
      <c r="T567" s="418" t="n">
        <f aca="false">m*g</f>
        <v>14.560983</v>
      </c>
      <c r="U567" s="422" t="n">
        <f aca="false">IF(pos_xz&lt;L_rampe,Poids*COS(Beta),0)</f>
        <v>0</v>
      </c>
      <c r="V567" s="419" t="n">
        <f aca="false">Rho_moyen*(20000-Alt_rampe-pos_z)/(20000+Alt_rampe+pos_z)</f>
        <v>1.22573270494034</v>
      </c>
      <c r="W567" s="418" t="n">
        <f aca="false">1/2*Rho*Sref*Cx*vit_xz^2</f>
        <v>5.56262375868051</v>
      </c>
      <c r="X567" s="402"/>
      <c r="Y567" s="423" t="str">
        <f aca="false">IF(AND(pos_z&lt;=0,K566&gt;0),"Impact balistique","") &amp; IF(AND(H568&lt;0,vit_z&gt;=0),"Apogée","") &amp; IF(AND(Poussee=0,Q566&gt;0),"Fin de propulsion","") &amp; IF(AND(L568&gt;L_rampe,pos_xz&lt;=L_rampe),"Sortie de rampe","")</f>
        <v/>
      </c>
      <c r="Z567" s="424" t="str">
        <f aca="false">IF(ABS(t-T_para)&lt;pas/2,"Para","")</f>
        <v/>
      </c>
      <c r="AA567" s="425" t="str">
        <f aca="false">IF(ABS(t-T_satellite)&lt;pas/2,"Satellite","")</f>
        <v/>
      </c>
      <c r="AB567" s="413"/>
      <c r="AC567" s="421" t="e">
        <f aca="false">IF(ABS(t-ROUND(t,0))&lt;0.001,t,NA())</f>
        <v>#N/A</v>
      </c>
      <c r="AD567" s="426" t="e">
        <f aca="false">IF(ABS(t-ROUND(t,0))&lt;0.001,pos_x,NA())</f>
        <v>#N/A</v>
      </c>
      <c r="AE567" s="427" t="e">
        <f aca="false">IF(t&lt;T_para, pos_z, NA())</f>
        <v>#N/A</v>
      </c>
      <c r="AF567" s="413"/>
      <c r="AG567" s="419" t="n">
        <f aca="false">IF(AND(L566&lt;L_rampe,Poussee&lt;Poids*SIN(M566)),0,(-W566+Poussee)/m-Poids*SIN(M566)/m)</f>
        <v>5.96130333716999</v>
      </c>
      <c r="AH567" s="418" t="n">
        <f aca="false">IF(AND(L566&lt;L_rampe,Poussee&lt;Poids*SIN(M566)), g*SIN(M566), (-W566+Poussee)/m)</f>
        <v>-3.74757621629354</v>
      </c>
    </row>
    <row r="568" customFormat="false" ht="12" hidden="false" customHeight="false" outlineLevel="0" collapsed="false">
      <c r="A568" s="417" t="n">
        <f aca="false">IF(B567+0.01&lt;=T_ini+ROUNDUP(Temps_fin_propu,0), 0.01, IF(K567&gt;0, 0.1, 0.0001))</f>
        <v>0.0001</v>
      </c>
      <c r="B568" s="418" t="n">
        <f aca="false">B567+pas</f>
        <v>16.5218999999999</v>
      </c>
      <c r="C568" s="402"/>
      <c r="D568" s="419" t="n">
        <f aca="false">IF(AND(L567&lt;L_rampe,Poussee&lt;Poids*SIN(M567)),0,(-W567+Poussee)/m*COS(M567)-U567/m*SIN(M567))</f>
        <v>-0.536698085934004</v>
      </c>
      <c r="E568" s="420" t="n">
        <f aca="false">IF(AND(L567&lt;L_rampe,Poussee&lt;Poids*SIN(M567)),0,(-W567+Poussee)/m*SIN(M567)+U567/m*COS(M567)-Poids/m)</f>
        <v>-6.1009880894782</v>
      </c>
      <c r="F568" s="418" t="n">
        <f aca="false">SQRT(acc_x^2+acc_z^2)</f>
        <v>6.12454900408186</v>
      </c>
      <c r="G568" s="419" t="n">
        <f aca="false">G567+acc_x*pas</f>
        <v>10.2754857786813</v>
      </c>
      <c r="H568" s="420" t="n">
        <f aca="false">H567+acc_z*pas</f>
        <v>-71.0127847279764</v>
      </c>
      <c r="I568" s="418" t="n">
        <f aca="false">SQRT(vit_x^2+vit_z^2)</f>
        <v>71.752360259505</v>
      </c>
      <c r="J568" s="419" t="n">
        <f aca="false">J567+0.5*(vit_x+G567)*pas*(K567&gt;=0)</f>
        <v>211.791153319536</v>
      </c>
      <c r="K568" s="420" t="n">
        <f aca="false">K567+0.5*(vit_z+H567)*pas</f>
        <v>-5.98657782542604</v>
      </c>
      <c r="L568" s="418" t="n">
        <f aca="false">SQRT(pos_x^2+pos_z^2)</f>
        <v>211.875745989198</v>
      </c>
      <c r="M568" s="419" t="n">
        <f aca="false">IF(AND(L567&gt;L_rampe,G568&gt;0),ATAN2(G568,H568),$M$4)</f>
        <v>-1.42709462510838</v>
      </c>
      <c r="N568" s="418" t="n">
        <f aca="false">DEGREES(Beta)</f>
        <v>-81.7664989845145</v>
      </c>
      <c r="O568" s="402"/>
      <c r="P568" s="421" t="n">
        <f aca="false">MATCH(t-pas/2-T_ini,CdP_t)</f>
        <v>23</v>
      </c>
      <c r="Q568" s="418" t="n">
        <f aca="false">(INDEX(CdP,2,i_P+1)-INDEX(CdP,2,i_P+0))/(INDEX(CdP,1,i_P+1)-INDEX(CdP,1,i_P+0))*(t-pas/2-T_ini-INDEX(CdP,1,i_P+0))+INDEX(CdP,2,i_P+0)</f>
        <v>0</v>
      </c>
      <c r="R568" s="419" t="n">
        <f aca="false">Poussee/(g*ISP)</f>
        <v>0</v>
      </c>
      <c r="S568" s="420" t="n">
        <f aca="false">S567-Débit*pas</f>
        <v>1.4843</v>
      </c>
      <c r="T568" s="418" t="n">
        <f aca="false">m*g</f>
        <v>14.560983</v>
      </c>
      <c r="U568" s="422" t="n">
        <f aca="false">IF(pos_xz&lt;L_rampe,Poids*COS(Beta),0)</f>
        <v>0</v>
      </c>
      <c r="V568" s="419" t="n">
        <f aca="false">Rho_moyen*(20000-Alt_rampe-pos_z)/(20000+Alt_rampe+pos_z)</f>
        <v>1.22573357536392</v>
      </c>
      <c r="W568" s="418" t="n">
        <f aca="false">1/2*Rho*Sref*Cx*vit_xz^2</f>
        <v>5.56272013948832</v>
      </c>
      <c r="X568" s="402"/>
      <c r="Y568" s="423" t="str">
        <f aca="false">IF(AND(pos_z&lt;=0,K567&gt;0),"Impact balistique","") &amp; IF(AND(H569&lt;0,vit_z&gt;=0),"Apogée","") &amp; IF(AND(Poussee=0,Q567&gt;0),"Fin de propulsion","") &amp; IF(AND(L569&gt;L_rampe,pos_xz&lt;=L_rampe),"Sortie de rampe","")</f>
        <v/>
      </c>
      <c r="Z568" s="424" t="str">
        <f aca="false">IF(ABS(t-T_para)&lt;pas/2,"Para","")</f>
        <v/>
      </c>
      <c r="AA568" s="425" t="str">
        <f aca="false">IF(ABS(t-T_satellite)&lt;pas/2,"Satellite","")</f>
        <v/>
      </c>
      <c r="AB568" s="413"/>
      <c r="AC568" s="421" t="e">
        <f aca="false">IF(ABS(t-ROUND(t,0))&lt;0.001,t,NA())</f>
        <v>#N/A</v>
      </c>
      <c r="AD568" s="426" t="e">
        <f aca="false">IF(ABS(t-ROUND(t,0))&lt;0.001,pos_x,NA())</f>
        <v>#N/A</v>
      </c>
      <c r="AE568" s="427" t="e">
        <f aca="false">IF(t&lt;T_para, pos_z, NA())</f>
        <v>#N/A</v>
      </c>
      <c r="AF568" s="413"/>
      <c r="AG568" s="419" t="n">
        <f aca="false">IF(AND(L567&lt;L_rampe,Poussee&lt;Poids*SIN(M567)),0,(-W567+Poussee)/m-Poids*SIN(M567)/m)</f>
        <v>5.96124115443744</v>
      </c>
      <c r="AH568" s="418" t="n">
        <f aca="false">IF(AND(L567&lt;L_rampe,Poussee&lt;Poids*SIN(M567)), g*SIN(M567), (-W567+Poussee)/m)</f>
        <v>-3.74764114982182</v>
      </c>
    </row>
    <row r="569" customFormat="false" ht="12" hidden="false" customHeight="false" outlineLevel="0" collapsed="false">
      <c r="A569" s="417" t="n">
        <f aca="false">IF(B568+0.01&lt;=T_ini+ROUNDUP(Temps_fin_propu,0), 0.01, IF(K568&gt;0, 0.1, 0.0001))</f>
        <v>0.0001</v>
      </c>
      <c r="B569" s="418" t="n">
        <f aca="false">B568+pas</f>
        <v>16.5219999999999</v>
      </c>
      <c r="C569" s="402"/>
      <c r="D569" s="419" t="n">
        <f aca="false">IF(AND(L568&lt;L_rampe,Poussee&lt;Poids*SIN(M568)),0,(-W568+Poussee)/m*COS(M568)-U568/m*SIN(M568))</f>
        <v>-0.536700122792747</v>
      </c>
      <c r="E569" s="420" t="n">
        <f aca="false">IF(AND(L568&lt;L_rampe,Poussee&lt;Poids*SIN(M568)),0,(-W568+Poussee)/m*SIN(M568)+U568/m*COS(M568)-Poids/m)</f>
        <v>-6.10092277443148</v>
      </c>
      <c r="F569" s="418" t="n">
        <f aca="false">SQRT(acc_x^2+acc_z^2)</f>
        <v>6.12448411879584</v>
      </c>
      <c r="G569" s="419" t="n">
        <f aca="false">G568+acc_x*pas</f>
        <v>10.275432108669</v>
      </c>
      <c r="H569" s="420" t="n">
        <f aca="false">H568+acc_z*pas</f>
        <v>-71.0133948202538</v>
      </c>
      <c r="I569" s="418" t="n">
        <f aca="false">SQRT(vit_x^2+vit_z^2)</f>
        <v>71.7529563775397</v>
      </c>
      <c r="J569" s="419" t="n">
        <f aca="false">J568+0.5*(vit_x+G568)*pas*(K568&gt;=0)</f>
        <v>211.791153319536</v>
      </c>
      <c r="K569" s="420" t="n">
        <f aca="false">K568+0.5*(vit_z+H568)*pas</f>
        <v>-5.99367913440345</v>
      </c>
      <c r="L569" s="418" t="n">
        <f aca="false">SQRT(pos_x^2+pos_z^2)</f>
        <v>211.875946756552</v>
      </c>
      <c r="M569" s="419" t="n">
        <f aca="false">IF(AND(L568&gt;L_rampe,G569&gt;0),ATAN2(G569,H569),$M$4)</f>
        <v>-1.42709658303034</v>
      </c>
      <c r="N569" s="418" t="n">
        <f aca="false">DEGREES(Beta)</f>
        <v>-81.7666111651798</v>
      </c>
      <c r="O569" s="402"/>
      <c r="P569" s="421" t="n">
        <f aca="false">MATCH(t-pas/2-T_ini,CdP_t)</f>
        <v>23</v>
      </c>
      <c r="Q569" s="418" t="n">
        <f aca="false">(INDEX(CdP,2,i_P+1)-INDEX(CdP,2,i_P+0))/(INDEX(CdP,1,i_P+1)-INDEX(CdP,1,i_P+0))*(t-pas/2-T_ini-INDEX(CdP,1,i_P+0))+INDEX(CdP,2,i_P+0)</f>
        <v>0</v>
      </c>
      <c r="R569" s="419" t="n">
        <f aca="false">Poussee/(g*ISP)</f>
        <v>0</v>
      </c>
      <c r="S569" s="420" t="n">
        <f aca="false">S568-Débit*pas</f>
        <v>1.4843</v>
      </c>
      <c r="T569" s="418" t="n">
        <f aca="false">m*g</f>
        <v>14.560983</v>
      </c>
      <c r="U569" s="422" t="n">
        <f aca="false">IF(pos_xz&lt;L_rampe,Poids*COS(Beta),0)</f>
        <v>0</v>
      </c>
      <c r="V569" s="419" t="n">
        <f aca="false">Rho_moyen*(20000-Alt_rampe-pos_z)/(20000+Alt_rampe+pos_z)</f>
        <v>1.22573444579559</v>
      </c>
      <c r="W569" s="418" t="n">
        <f aca="false">1/2*Rho*Sref*Cx*vit_xz^2</f>
        <v>5.5628165202679</v>
      </c>
      <c r="X569" s="402"/>
      <c r="Y569" s="423" t="str">
        <f aca="false">IF(AND(pos_z&lt;=0,K568&gt;0),"Impact balistique","") &amp; IF(AND(H570&lt;0,vit_z&gt;=0),"Apogée","") &amp; IF(AND(Poussee=0,Q568&gt;0),"Fin de propulsion","") &amp; IF(AND(L570&gt;L_rampe,pos_xz&lt;=L_rampe),"Sortie de rampe","")</f>
        <v/>
      </c>
      <c r="Z569" s="424" t="str">
        <f aca="false">IF(ABS(t-T_para)&lt;pas/2,"Para","")</f>
        <v/>
      </c>
      <c r="AA569" s="425" t="str">
        <f aca="false">IF(ABS(t-T_satellite)&lt;pas/2,"Satellite","")</f>
        <v/>
      </c>
      <c r="AB569" s="413"/>
      <c r="AC569" s="421" t="e">
        <f aca="false">IF(ABS(t-ROUND(t,0))&lt;0.001,t,NA())</f>
        <v>#N/A</v>
      </c>
      <c r="AD569" s="426" t="e">
        <f aca="false">IF(ABS(t-ROUND(t,0))&lt;0.001,pos_x,NA())</f>
        <v>#N/A</v>
      </c>
      <c r="AE569" s="427" t="e">
        <f aca="false">IF(t&lt;T_para, pos_z, NA())</f>
        <v>#N/A</v>
      </c>
      <c r="AF569" s="413"/>
      <c r="AG569" s="419" t="n">
        <f aca="false">IF(AND(L568&lt;L_rampe,Poussee&lt;Poids*SIN(M568)),0,(-W568+Poussee)/m-Poids*SIN(M568)/m)</f>
        <v>5.9611789716266</v>
      </c>
      <c r="AH569" s="418" t="n">
        <f aca="false">IF(AND(L568&lt;L_rampe,Poussee&lt;Poids*SIN(M568)), g*SIN(M568), (-W568+Poussee)/m)</f>
        <v>-3.74770608333109</v>
      </c>
    </row>
    <row r="570" customFormat="false" ht="12" hidden="false" customHeight="false" outlineLevel="0" collapsed="false">
      <c r="A570" s="417" t="n">
        <f aca="false">IF(B569+0.01&lt;=T_ini+ROUNDUP(Temps_fin_propu,0), 0.01, IF(K569&gt;0, 0.1, 0.0001))</f>
        <v>0.0001</v>
      </c>
      <c r="B570" s="418" t="n">
        <f aca="false">B569+pas</f>
        <v>16.5220999999999</v>
      </c>
      <c r="C570" s="402"/>
      <c r="D570" s="419" t="n">
        <f aca="false">IF(AND(L569&lt;L_rampe,Poussee&lt;Poids*SIN(M569)),0,(-W569+Poussee)/m*COS(M569)-U569/m*SIN(M569))</f>
        <v>-0.536702159553657</v>
      </c>
      <c r="E570" s="420" t="n">
        <f aca="false">IF(AND(L569&lt;L_rampe,Poussee&lt;Poids*SIN(M569)),0,(-W569+Poussee)/m*SIN(M569)+U569/m*COS(M569)-Poids/m)</f>
        <v>-6.10085745940433</v>
      </c>
      <c r="F570" s="418" t="n">
        <f aca="false">SQRT(acc_x^2+acc_z^2)</f>
        <v>6.12441923353056</v>
      </c>
      <c r="G570" s="419" t="n">
        <f aca="false">G569+acc_x*pas</f>
        <v>10.275378438453</v>
      </c>
      <c r="H570" s="420" t="n">
        <f aca="false">H569+acc_z*pas</f>
        <v>-71.0140049059998</v>
      </c>
      <c r="I570" s="418" t="n">
        <f aca="false">SQRT(vit_x^2+vit_z^2)</f>
        <v>71.7535524893561</v>
      </c>
      <c r="J570" s="419" t="n">
        <f aca="false">J569+0.5*(vit_x+G569)*pas*(K569&gt;=0)</f>
        <v>211.791153319536</v>
      </c>
      <c r="K570" s="420" t="n">
        <f aca="false">K569+0.5*(vit_z+H569)*pas</f>
        <v>-6.00078050438977</v>
      </c>
      <c r="L570" s="418" t="n">
        <f aca="false">SQRT(pos_x^2+pos_z^2)</f>
        <v>211.876147763454</v>
      </c>
      <c r="M570" s="419" t="n">
        <f aca="false">IF(AND(L569&gt;L_rampe,G570&gt;0),ATAN2(G570,H570),$M$4)</f>
        <v>-1.42709854090955</v>
      </c>
      <c r="N570" s="418" t="n">
        <f aca="false">DEGREES(Beta)</f>
        <v>-81.7667233433951</v>
      </c>
      <c r="O570" s="402"/>
      <c r="P570" s="421" t="n">
        <f aca="false">MATCH(t-pas/2-T_ini,CdP_t)</f>
        <v>23</v>
      </c>
      <c r="Q570" s="418" t="n">
        <f aca="false">(INDEX(CdP,2,i_P+1)-INDEX(CdP,2,i_P+0))/(INDEX(CdP,1,i_P+1)-INDEX(CdP,1,i_P+0))*(t-pas/2-T_ini-INDEX(CdP,1,i_P+0))+INDEX(CdP,2,i_P+0)</f>
        <v>0</v>
      </c>
      <c r="R570" s="419" t="n">
        <f aca="false">Poussee/(g*ISP)</f>
        <v>0</v>
      </c>
      <c r="S570" s="420" t="n">
        <f aca="false">S569-Débit*pas</f>
        <v>1.4843</v>
      </c>
      <c r="T570" s="418" t="n">
        <f aca="false">m*g</f>
        <v>14.560983</v>
      </c>
      <c r="U570" s="422" t="n">
        <f aca="false">IF(pos_xz&lt;L_rampe,Poids*COS(Beta),0)</f>
        <v>0</v>
      </c>
      <c r="V570" s="419" t="n">
        <f aca="false">Rho_moyen*(20000-Alt_rampe-pos_z)/(20000+Alt_rampe+pos_z)</f>
        <v>1.22573531623535</v>
      </c>
      <c r="W570" s="418" t="n">
        <f aca="false">1/2*Rho*Sref*Cx*vit_xz^2</f>
        <v>5.56291290101923</v>
      </c>
      <c r="X570" s="402"/>
      <c r="Y570" s="423" t="str">
        <f aca="false">IF(AND(pos_z&lt;=0,K569&gt;0),"Impact balistique","") &amp; IF(AND(H571&lt;0,vit_z&gt;=0),"Apogée","") &amp; IF(AND(Poussee=0,Q569&gt;0),"Fin de propulsion","") &amp; IF(AND(L571&gt;L_rampe,pos_xz&lt;=L_rampe),"Sortie de rampe","")</f>
        <v/>
      </c>
      <c r="Z570" s="424" t="str">
        <f aca="false">IF(ABS(t-T_para)&lt;pas/2,"Para","")</f>
        <v/>
      </c>
      <c r="AA570" s="425" t="str">
        <f aca="false">IF(ABS(t-T_satellite)&lt;pas/2,"Satellite","")</f>
        <v/>
      </c>
      <c r="AB570" s="413"/>
      <c r="AC570" s="421" t="e">
        <f aca="false">IF(ABS(t-ROUND(t,0))&lt;0.001,t,NA())</f>
        <v>#N/A</v>
      </c>
      <c r="AD570" s="426" t="e">
        <f aca="false">IF(ABS(t-ROUND(t,0))&lt;0.001,pos_x,NA())</f>
        <v>#N/A</v>
      </c>
      <c r="AE570" s="427" t="e">
        <f aca="false">IF(t&lt;T_para, pos_z, NA())</f>
        <v>#N/A</v>
      </c>
      <c r="AF570" s="413"/>
      <c r="AG570" s="419" t="n">
        <f aca="false">IF(AND(L569&lt;L_rampe,Poussee&lt;Poids*SIN(M569)),0,(-W569+Poussee)/m-Poids*SIN(M569)/m)</f>
        <v>5.96111678873749</v>
      </c>
      <c r="AH570" s="418" t="n">
        <f aca="false">IF(AND(L569&lt;L_rampe,Poussee&lt;Poids*SIN(M569)), g*SIN(M569), (-W569+Poussee)/m)</f>
        <v>-3.74777101682134</v>
      </c>
    </row>
    <row r="571" customFormat="false" ht="12" hidden="false" customHeight="false" outlineLevel="0" collapsed="false">
      <c r="A571" s="417" t="n">
        <f aca="false">IF(B570+0.01&lt;=T_ini+ROUNDUP(Temps_fin_propu,0), 0.01, IF(K570&gt;0, 0.1, 0.0001))</f>
        <v>0.0001</v>
      </c>
      <c r="B571" s="418" t="n">
        <f aca="false">B570+pas</f>
        <v>16.5221999999999</v>
      </c>
      <c r="C571" s="402"/>
      <c r="D571" s="419" t="n">
        <f aca="false">IF(AND(L570&lt;L_rampe,Poussee&lt;Poids*SIN(M570)),0,(-W570+Poussee)/m*COS(M570)-U570/m*SIN(M570))</f>
        <v>-0.536704196216735</v>
      </c>
      <c r="E571" s="420" t="n">
        <f aca="false">IF(AND(L570&lt;L_rampe,Poussee&lt;Poids*SIN(M570)),0,(-W570+Poussee)/m*SIN(M570)+U570/m*COS(M570)-Poids/m)</f>
        <v>-6.10079214439678</v>
      </c>
      <c r="F571" s="418" t="n">
        <f aca="false">SQRT(acc_x^2+acc_z^2)</f>
        <v>6.12435434828604</v>
      </c>
      <c r="G571" s="419" t="n">
        <f aca="false">G570+acc_x*pas</f>
        <v>10.2753247680334</v>
      </c>
      <c r="H571" s="420" t="n">
        <f aca="false">H570+acc_z*pas</f>
        <v>-71.0146149852142</v>
      </c>
      <c r="I571" s="418" t="n">
        <f aca="false">SQRT(vit_x^2+vit_z^2)</f>
        <v>71.7541485949542</v>
      </c>
      <c r="J571" s="419" t="n">
        <f aca="false">J570+0.5*(vit_x+G570)*pas*(K570&gt;=0)</f>
        <v>211.791153319536</v>
      </c>
      <c r="K571" s="420" t="n">
        <f aca="false">K570+0.5*(vit_z+H570)*pas</f>
        <v>-6.00788193538433</v>
      </c>
      <c r="L571" s="418" t="n">
        <f aca="false">SQRT(pos_x^2+pos_z^2)</f>
        <v>211.876349009909</v>
      </c>
      <c r="M571" s="419" t="n">
        <f aca="false">IF(AND(L570&gt;L_rampe,G571&gt;0),ATAN2(G571,H571),$M$4)</f>
        <v>-1.427100498746</v>
      </c>
      <c r="N571" s="418" t="n">
        <f aca="false">DEGREES(Beta)</f>
        <v>-81.7668355191607</v>
      </c>
      <c r="O571" s="402"/>
      <c r="P571" s="421" t="n">
        <f aca="false">MATCH(t-pas/2-T_ini,CdP_t)</f>
        <v>23</v>
      </c>
      <c r="Q571" s="418" t="n">
        <f aca="false">(INDEX(CdP,2,i_P+1)-INDEX(CdP,2,i_P+0))/(INDEX(CdP,1,i_P+1)-INDEX(CdP,1,i_P+0))*(t-pas/2-T_ini-INDEX(CdP,1,i_P+0))+INDEX(CdP,2,i_P+0)</f>
        <v>0</v>
      </c>
      <c r="R571" s="419" t="n">
        <f aca="false">Poussee/(g*ISP)</f>
        <v>0</v>
      </c>
      <c r="S571" s="420" t="n">
        <f aca="false">S570-Débit*pas</f>
        <v>1.4843</v>
      </c>
      <c r="T571" s="418" t="n">
        <f aca="false">m*g</f>
        <v>14.560983</v>
      </c>
      <c r="U571" s="422" t="n">
        <f aca="false">IF(pos_xz&lt;L_rampe,Poids*COS(Beta),0)</f>
        <v>0</v>
      </c>
      <c r="V571" s="419" t="n">
        <f aca="false">Rho_moyen*(20000-Alt_rampe-pos_z)/(20000+Alt_rampe+pos_z)</f>
        <v>1.22573618668322</v>
      </c>
      <c r="W571" s="418" t="n">
        <f aca="false">1/2*Rho*Sref*Cx*vit_xz^2</f>
        <v>5.56300928174227</v>
      </c>
      <c r="X571" s="402"/>
      <c r="Y571" s="423" t="str">
        <f aca="false">IF(AND(pos_z&lt;=0,K570&gt;0),"Impact balistique","") &amp; IF(AND(H572&lt;0,vit_z&gt;=0),"Apogée","") &amp; IF(AND(Poussee=0,Q570&gt;0),"Fin de propulsion","") &amp; IF(AND(L572&gt;L_rampe,pos_xz&lt;=L_rampe),"Sortie de rampe","")</f>
        <v/>
      </c>
      <c r="Z571" s="424" t="str">
        <f aca="false">IF(ABS(t-T_para)&lt;pas/2,"Para","")</f>
        <v/>
      </c>
      <c r="AA571" s="425" t="str">
        <f aca="false">IF(ABS(t-T_satellite)&lt;pas/2,"Satellite","")</f>
        <v/>
      </c>
      <c r="AB571" s="413"/>
      <c r="AC571" s="421" t="e">
        <f aca="false">IF(ABS(t-ROUND(t,0))&lt;0.001,t,NA())</f>
        <v>#N/A</v>
      </c>
      <c r="AD571" s="426" t="e">
        <f aca="false">IF(ABS(t-ROUND(t,0))&lt;0.001,pos_x,NA())</f>
        <v>#N/A</v>
      </c>
      <c r="AE571" s="427" t="e">
        <f aca="false">IF(t&lt;T_para, pos_z, NA())</f>
        <v>#N/A</v>
      </c>
      <c r="AF571" s="413"/>
      <c r="AG571" s="419" t="n">
        <f aca="false">IF(AND(L570&lt;L_rampe,Poussee&lt;Poids*SIN(M570)),0,(-W570+Poussee)/m-Poids*SIN(M570)/m)</f>
        <v>5.96105460577013</v>
      </c>
      <c r="AH571" s="418" t="n">
        <f aca="false">IF(AND(L570&lt;L_rampe,Poussee&lt;Poids*SIN(M570)), g*SIN(M570), (-W570+Poussee)/m)</f>
        <v>-3.74783595029255</v>
      </c>
    </row>
    <row r="572" customFormat="false" ht="12" hidden="false" customHeight="false" outlineLevel="0" collapsed="false">
      <c r="A572" s="417" t="n">
        <f aca="false">IF(B571+0.01&lt;=T_ini+ROUNDUP(Temps_fin_propu,0), 0.01, IF(K571&gt;0, 0.1, 0.0001))</f>
        <v>0.0001</v>
      </c>
      <c r="B572" s="418" t="n">
        <f aca="false">B571+pas</f>
        <v>16.5222999999999</v>
      </c>
      <c r="C572" s="402"/>
      <c r="D572" s="419" t="n">
        <f aca="false">IF(AND(L571&lt;L_rampe,Poussee&lt;Poids*SIN(M571)),0,(-W571+Poussee)/m*COS(M571)-U571/m*SIN(M571))</f>
        <v>-0.536706232781981</v>
      </c>
      <c r="E572" s="420" t="n">
        <f aca="false">IF(AND(L571&lt;L_rampe,Poussee&lt;Poids*SIN(M571)),0,(-W571+Poussee)/m*SIN(M571)+U571/m*COS(M571)-Poids/m)</f>
        <v>-6.10072682940884</v>
      </c>
      <c r="F572" s="418" t="n">
        <f aca="false">SQRT(acc_x^2+acc_z^2)</f>
        <v>6.1242894630623</v>
      </c>
      <c r="G572" s="419" t="n">
        <f aca="false">G571+acc_x*pas</f>
        <v>10.2752710974101</v>
      </c>
      <c r="H572" s="420" t="n">
        <f aca="false">H571+acc_z*pas</f>
        <v>-71.0152250578972</v>
      </c>
      <c r="I572" s="418" t="n">
        <f aca="false">SQRT(vit_x^2+vit_z^2)</f>
        <v>71.754744694334</v>
      </c>
      <c r="J572" s="419" t="n">
        <f aca="false">J571+0.5*(vit_x+G571)*pas*(K571&gt;=0)</f>
        <v>211.791153319536</v>
      </c>
      <c r="K572" s="420" t="n">
        <f aca="false">K571+0.5*(vit_z+H571)*pas</f>
        <v>-6.01498342738648</v>
      </c>
      <c r="L572" s="418" t="n">
        <f aca="false">SQRT(pos_x^2+pos_z^2)</f>
        <v>211.876550495922</v>
      </c>
      <c r="M572" s="419" t="n">
        <f aca="false">IF(AND(L571&gt;L_rampe,G572&gt;0),ATAN2(G572,H572),$M$4)</f>
        <v>-1.4271024565397</v>
      </c>
      <c r="N572" s="418" t="n">
        <f aca="false">DEGREES(Beta)</f>
        <v>-81.7669476924766</v>
      </c>
      <c r="O572" s="402"/>
      <c r="P572" s="421" t="n">
        <f aca="false">MATCH(t-pas/2-T_ini,CdP_t)</f>
        <v>23</v>
      </c>
      <c r="Q572" s="418" t="n">
        <f aca="false">(INDEX(CdP,2,i_P+1)-INDEX(CdP,2,i_P+0))/(INDEX(CdP,1,i_P+1)-INDEX(CdP,1,i_P+0))*(t-pas/2-T_ini-INDEX(CdP,1,i_P+0))+INDEX(CdP,2,i_P+0)</f>
        <v>0</v>
      </c>
      <c r="R572" s="419" t="n">
        <f aca="false">Poussee/(g*ISP)</f>
        <v>0</v>
      </c>
      <c r="S572" s="420" t="n">
        <f aca="false">S571-Débit*pas</f>
        <v>1.4843</v>
      </c>
      <c r="T572" s="418" t="n">
        <f aca="false">m*g</f>
        <v>14.560983</v>
      </c>
      <c r="U572" s="422" t="n">
        <f aca="false">IF(pos_xz&lt;L_rampe,Poids*COS(Beta),0)</f>
        <v>0</v>
      </c>
      <c r="V572" s="419" t="n">
        <f aca="false">Rho_moyen*(20000-Alt_rampe-pos_z)/(20000+Alt_rampe+pos_z)</f>
        <v>1.22573705713918</v>
      </c>
      <c r="W572" s="418" t="n">
        <f aca="false">1/2*Rho*Sref*Cx*vit_xz^2</f>
        <v>5.56310566243702</v>
      </c>
      <c r="X572" s="402"/>
      <c r="Y572" s="423" t="str">
        <f aca="false">IF(AND(pos_z&lt;=0,K571&gt;0),"Impact balistique","") &amp; IF(AND(H573&lt;0,vit_z&gt;=0),"Apogée","") &amp; IF(AND(Poussee=0,Q571&gt;0),"Fin de propulsion","") &amp; IF(AND(L573&gt;L_rampe,pos_xz&lt;=L_rampe),"Sortie de rampe","")</f>
        <v/>
      </c>
      <c r="Z572" s="424" t="str">
        <f aca="false">IF(ABS(t-T_para)&lt;pas/2,"Para","")</f>
        <v/>
      </c>
      <c r="AA572" s="425" t="str">
        <f aca="false">IF(ABS(t-T_satellite)&lt;pas/2,"Satellite","")</f>
        <v/>
      </c>
      <c r="AB572" s="413"/>
      <c r="AC572" s="421" t="e">
        <f aca="false">IF(ABS(t-ROUND(t,0))&lt;0.001,t,NA())</f>
        <v>#N/A</v>
      </c>
      <c r="AD572" s="426" t="e">
        <f aca="false">IF(ABS(t-ROUND(t,0))&lt;0.001,pos_x,NA())</f>
        <v>#N/A</v>
      </c>
      <c r="AE572" s="427" t="e">
        <f aca="false">IF(t&lt;T_para, pos_z, NA())</f>
        <v>#N/A</v>
      </c>
      <c r="AF572" s="413"/>
      <c r="AG572" s="419" t="n">
        <f aca="false">IF(AND(L571&lt;L_rampe,Poussee&lt;Poids*SIN(M571)),0,(-W571+Poussee)/m-Poids*SIN(M571)/m)</f>
        <v>5.96099242272454</v>
      </c>
      <c r="AH572" s="418" t="n">
        <f aca="false">IF(AND(L571&lt;L_rampe,Poussee&lt;Poids*SIN(M571)), g*SIN(M571), (-W571+Poussee)/m)</f>
        <v>-3.74790088374472</v>
      </c>
    </row>
    <row r="573" customFormat="false" ht="12" hidden="false" customHeight="false" outlineLevel="0" collapsed="false">
      <c r="A573" s="417" t="n">
        <f aca="false">IF(B572+0.01&lt;=T_ini+ROUNDUP(Temps_fin_propu,0), 0.01, IF(K572&gt;0, 0.1, 0.0001))</f>
        <v>0.0001</v>
      </c>
      <c r="B573" s="418" t="n">
        <f aca="false">B572+pas</f>
        <v>16.5223999999999</v>
      </c>
      <c r="C573" s="402"/>
      <c r="D573" s="419" t="n">
        <f aca="false">IF(AND(L572&lt;L_rampe,Poussee&lt;Poids*SIN(M572)),0,(-W572+Poussee)/m*COS(M572)-U572/m*SIN(M572))</f>
        <v>-0.536708269249396</v>
      </c>
      <c r="E573" s="420" t="n">
        <f aca="false">IF(AND(L572&lt;L_rampe,Poussee&lt;Poids*SIN(M572)),0,(-W572+Poussee)/m*SIN(M572)+U572/m*COS(M572)-Poids/m)</f>
        <v>-6.10066151444052</v>
      </c>
      <c r="F573" s="418" t="n">
        <f aca="false">SQRT(acc_x^2+acc_z^2)</f>
        <v>6.12422457785934</v>
      </c>
      <c r="G573" s="419" t="n">
        <f aca="false">G572+acc_x*pas</f>
        <v>10.2752174265832</v>
      </c>
      <c r="H573" s="420" t="n">
        <f aca="false">H572+acc_z*pas</f>
        <v>-71.0158351240486</v>
      </c>
      <c r="I573" s="418" t="n">
        <f aca="false">SQRT(vit_x^2+vit_z^2)</f>
        <v>71.7553407874955</v>
      </c>
      <c r="J573" s="419" t="n">
        <f aca="false">J572+0.5*(vit_x+G572)*pas*(K572&gt;=0)</f>
        <v>211.791153319536</v>
      </c>
      <c r="K573" s="420" t="n">
        <f aca="false">K572+0.5*(vit_z+H572)*pas</f>
        <v>-6.02208498039558</v>
      </c>
      <c r="L573" s="418" t="n">
        <f aca="false">SQRT(pos_x^2+pos_z^2)</f>
        <v>211.876752221499</v>
      </c>
      <c r="M573" s="419" t="n">
        <f aca="false">IF(AND(L572&gt;L_rampe,G573&gt;0),ATAN2(G573,H573),$M$4)</f>
        <v>-1.42710441429064</v>
      </c>
      <c r="N573" s="418" t="n">
        <f aca="false">DEGREES(Beta)</f>
        <v>-81.7670598633429</v>
      </c>
      <c r="O573" s="402"/>
      <c r="P573" s="421" t="n">
        <f aca="false">MATCH(t-pas/2-T_ini,CdP_t)</f>
        <v>23</v>
      </c>
      <c r="Q573" s="418" t="n">
        <f aca="false">(INDEX(CdP,2,i_P+1)-INDEX(CdP,2,i_P+0))/(INDEX(CdP,1,i_P+1)-INDEX(CdP,1,i_P+0))*(t-pas/2-T_ini-INDEX(CdP,1,i_P+0))+INDEX(CdP,2,i_P+0)</f>
        <v>0</v>
      </c>
      <c r="R573" s="419" t="n">
        <f aca="false">Poussee/(g*ISP)</f>
        <v>0</v>
      </c>
      <c r="S573" s="420" t="n">
        <f aca="false">S572-Débit*pas</f>
        <v>1.4843</v>
      </c>
      <c r="T573" s="418" t="n">
        <f aca="false">m*g</f>
        <v>14.560983</v>
      </c>
      <c r="U573" s="422" t="n">
        <f aca="false">IF(pos_xz&lt;L_rampe,Poids*COS(Beta),0)</f>
        <v>0</v>
      </c>
      <c r="V573" s="419" t="n">
        <f aca="false">Rho_moyen*(20000-Alt_rampe-pos_z)/(20000+Alt_rampe+pos_z)</f>
        <v>1.22573792760324</v>
      </c>
      <c r="W573" s="418" t="n">
        <f aca="false">1/2*Rho*Sref*Cx*vit_xz^2</f>
        <v>5.56320204310344</v>
      </c>
      <c r="X573" s="402"/>
      <c r="Y573" s="423" t="str">
        <f aca="false">IF(AND(pos_z&lt;=0,K572&gt;0),"Impact balistique","") &amp; IF(AND(H574&lt;0,vit_z&gt;=0),"Apogée","") &amp; IF(AND(Poussee=0,Q572&gt;0),"Fin de propulsion","") &amp; IF(AND(L574&gt;L_rampe,pos_xz&lt;=L_rampe),"Sortie de rampe","")</f>
        <v/>
      </c>
      <c r="Z573" s="424" t="str">
        <f aca="false">IF(ABS(t-T_para)&lt;pas/2,"Para","")</f>
        <v/>
      </c>
      <c r="AA573" s="425" t="str">
        <f aca="false">IF(ABS(t-T_satellite)&lt;pas/2,"Satellite","")</f>
        <v/>
      </c>
      <c r="AB573" s="413"/>
      <c r="AC573" s="421" t="e">
        <f aca="false">IF(ABS(t-ROUND(t,0))&lt;0.001,t,NA())</f>
        <v>#N/A</v>
      </c>
      <c r="AD573" s="426" t="e">
        <f aca="false">IF(ABS(t-ROUND(t,0))&lt;0.001,pos_x,NA())</f>
        <v>#N/A</v>
      </c>
      <c r="AE573" s="427" t="e">
        <f aca="false">IF(t&lt;T_para, pos_z, NA())</f>
        <v>#N/A</v>
      </c>
      <c r="AF573" s="413"/>
      <c r="AG573" s="419" t="n">
        <f aca="false">IF(AND(L572&lt;L_rampe,Poussee&lt;Poids*SIN(M572)),0,(-W572+Poussee)/m-Poids*SIN(M572)/m)</f>
        <v>5.96093023960074</v>
      </c>
      <c r="AH573" s="418" t="n">
        <f aca="false">IF(AND(L572&lt;L_rampe,Poussee&lt;Poids*SIN(M572)), g*SIN(M572), (-W572+Poussee)/m)</f>
        <v>-3.74796581717781</v>
      </c>
    </row>
    <row r="574" customFormat="false" ht="12" hidden="false" customHeight="false" outlineLevel="0" collapsed="false">
      <c r="A574" s="417" t="n">
        <f aca="false">IF(B573+0.01&lt;=T_ini+ROUNDUP(Temps_fin_propu,0), 0.01, IF(K573&gt;0, 0.1, 0.0001))</f>
        <v>0.0001</v>
      </c>
      <c r="B574" s="418" t="n">
        <f aca="false">B573+pas</f>
        <v>16.5224999999999</v>
      </c>
      <c r="C574" s="402"/>
      <c r="D574" s="419" t="n">
        <f aca="false">IF(AND(L573&lt;L_rampe,Poussee&lt;Poids*SIN(M573)),0,(-W573+Poussee)/m*COS(M573)-U573/m*SIN(M573))</f>
        <v>-0.53671030561898</v>
      </c>
      <c r="E574" s="420" t="n">
        <f aca="false">IF(AND(L573&lt;L_rampe,Poussee&lt;Poids*SIN(M573)),0,(-W573+Poussee)/m*SIN(M573)+U573/m*COS(M573)-Poids/m)</f>
        <v>-6.10059619949185</v>
      </c>
      <c r="F574" s="418" t="n">
        <f aca="false">SQRT(acc_x^2+acc_z^2)</f>
        <v>6.1241596926772</v>
      </c>
      <c r="G574" s="419" t="n">
        <f aca="false">G573+acc_x*pas</f>
        <v>10.2751637555526</v>
      </c>
      <c r="H574" s="420" t="n">
        <f aca="false">H573+acc_z*pas</f>
        <v>-71.0164451836686</v>
      </c>
      <c r="I574" s="418" t="n">
        <f aca="false">SQRT(vit_x^2+vit_z^2)</f>
        <v>71.7559368744386</v>
      </c>
      <c r="J574" s="419" t="n">
        <f aca="false">J573+0.5*(vit_x+G573)*pas*(K573&gt;=0)</f>
        <v>211.791153319536</v>
      </c>
      <c r="K574" s="420" t="n">
        <f aca="false">K573+0.5*(vit_z+H573)*pas</f>
        <v>-6.02918659441097</v>
      </c>
      <c r="L574" s="418" t="n">
        <f aca="false">SQRT(pos_x^2+pos_z^2)</f>
        <v>211.876954186645</v>
      </c>
      <c r="M574" s="419" t="n">
        <f aca="false">IF(AND(L573&gt;L_rampe,G574&gt;0),ATAN2(G574,H574),$M$4)</f>
        <v>-1.42710637199883</v>
      </c>
      <c r="N574" s="418" t="n">
        <f aca="false">DEGREES(Beta)</f>
        <v>-81.7671720317596</v>
      </c>
      <c r="O574" s="402"/>
      <c r="P574" s="421" t="n">
        <f aca="false">MATCH(t-pas/2-T_ini,CdP_t)</f>
        <v>23</v>
      </c>
      <c r="Q574" s="418" t="n">
        <f aca="false">(INDEX(CdP,2,i_P+1)-INDEX(CdP,2,i_P+0))/(INDEX(CdP,1,i_P+1)-INDEX(CdP,1,i_P+0))*(t-pas/2-T_ini-INDEX(CdP,1,i_P+0))+INDEX(CdP,2,i_P+0)</f>
        <v>0</v>
      </c>
      <c r="R574" s="419" t="n">
        <f aca="false">Poussee/(g*ISP)</f>
        <v>0</v>
      </c>
      <c r="S574" s="420" t="n">
        <f aca="false">S573-Débit*pas</f>
        <v>1.4843</v>
      </c>
      <c r="T574" s="418" t="n">
        <f aca="false">m*g</f>
        <v>14.560983</v>
      </c>
      <c r="U574" s="422" t="n">
        <f aca="false">IF(pos_xz&lt;L_rampe,Poids*COS(Beta),0)</f>
        <v>0</v>
      </c>
      <c r="V574" s="419" t="n">
        <f aca="false">Rho_moyen*(20000-Alt_rampe-pos_z)/(20000+Alt_rampe+pos_z)</f>
        <v>1.22573879807539</v>
      </c>
      <c r="W574" s="418" t="n">
        <f aca="false">1/2*Rho*Sref*Cx*vit_xz^2</f>
        <v>5.5632984237415</v>
      </c>
      <c r="X574" s="402"/>
      <c r="Y574" s="423" t="str">
        <f aca="false">IF(AND(pos_z&lt;=0,K573&gt;0),"Impact balistique","") &amp; IF(AND(H575&lt;0,vit_z&gt;=0),"Apogée","") &amp; IF(AND(Poussee=0,Q573&gt;0),"Fin de propulsion","") &amp; IF(AND(L575&gt;L_rampe,pos_xz&lt;=L_rampe),"Sortie de rampe","")</f>
        <v/>
      </c>
      <c r="Z574" s="424" t="str">
        <f aca="false">IF(ABS(t-T_para)&lt;pas/2,"Para","")</f>
        <v/>
      </c>
      <c r="AA574" s="425" t="str">
        <f aca="false">IF(ABS(t-T_satellite)&lt;pas/2,"Satellite","")</f>
        <v/>
      </c>
      <c r="AB574" s="413"/>
      <c r="AC574" s="421" t="e">
        <f aca="false">IF(ABS(t-ROUND(t,0))&lt;0.001,t,NA())</f>
        <v>#N/A</v>
      </c>
      <c r="AD574" s="426" t="e">
        <f aca="false">IF(ABS(t-ROUND(t,0))&lt;0.001,pos_x,NA())</f>
        <v>#N/A</v>
      </c>
      <c r="AE574" s="427" t="e">
        <f aca="false">IF(t&lt;T_para, pos_z, NA())</f>
        <v>#N/A</v>
      </c>
      <c r="AF574" s="413"/>
      <c r="AG574" s="419" t="n">
        <f aca="false">IF(AND(L573&lt;L_rampe,Poussee&lt;Poids*SIN(M573)),0,(-W573+Poussee)/m-Poids*SIN(M573)/m)</f>
        <v>5.96086805639875</v>
      </c>
      <c r="AH574" s="418" t="n">
        <f aca="false">IF(AND(L573&lt;L_rampe,Poussee&lt;Poids*SIN(M573)), g*SIN(M573), (-W573+Poussee)/m)</f>
        <v>-3.74803075059182</v>
      </c>
    </row>
    <row r="575" customFormat="false" ht="12" hidden="false" customHeight="false" outlineLevel="0" collapsed="false">
      <c r="A575" s="417" t="n">
        <f aca="false">IF(B574+0.01&lt;=T_ini+ROUNDUP(Temps_fin_propu,0), 0.01, IF(K574&gt;0, 0.1, 0.0001))</f>
        <v>0.0001</v>
      </c>
      <c r="B575" s="418" t="n">
        <f aca="false">B574+pas</f>
        <v>16.5225999999999</v>
      </c>
      <c r="C575" s="402"/>
      <c r="D575" s="419" t="n">
        <f aca="false">IF(AND(L574&lt;L_rampe,Poussee&lt;Poids*SIN(M574)),0,(-W574+Poussee)/m*COS(M574)-U574/m*SIN(M574))</f>
        <v>-0.536712341890735</v>
      </c>
      <c r="E575" s="420" t="n">
        <f aca="false">IF(AND(L574&lt;L_rampe,Poussee&lt;Poids*SIN(M574)),0,(-W574+Poussee)/m*SIN(M574)+U574/m*COS(M574)-Poids/m)</f>
        <v>-6.10053088456284</v>
      </c>
      <c r="F575" s="418" t="n">
        <f aca="false">SQRT(acc_x^2+acc_z^2)</f>
        <v>6.12409480751588</v>
      </c>
      <c r="G575" s="419" t="n">
        <f aca="false">G574+acc_x*pas</f>
        <v>10.2751100843184</v>
      </c>
      <c r="H575" s="420" t="n">
        <f aca="false">H574+acc_z*pas</f>
        <v>-71.017055236757</v>
      </c>
      <c r="I575" s="418" t="n">
        <f aca="false">SQRT(vit_x^2+vit_z^2)</f>
        <v>71.7565329551635</v>
      </c>
      <c r="J575" s="419" t="n">
        <f aca="false">J574+0.5*(vit_x+G574)*pas*(K574&gt;=0)</f>
        <v>211.791153319536</v>
      </c>
      <c r="K575" s="420" t="n">
        <f aca="false">K574+0.5*(vit_z+H574)*pas</f>
        <v>-6.03628826943199</v>
      </c>
      <c r="L575" s="418" t="n">
        <f aca="false">SQRT(pos_x^2+pos_z^2)</f>
        <v>211.877156391365</v>
      </c>
      <c r="M575" s="419" t="n">
        <f aca="false">IF(AND(L574&gt;L_rampe,G575&gt;0),ATAN2(G575,H575),$M$4)</f>
        <v>-1.42710832966426</v>
      </c>
      <c r="N575" s="418" t="n">
        <f aca="false">DEGREES(Beta)</f>
        <v>-81.7672841977268</v>
      </c>
      <c r="O575" s="402"/>
      <c r="P575" s="421" t="n">
        <f aca="false">MATCH(t-pas/2-T_ini,CdP_t)</f>
        <v>23</v>
      </c>
      <c r="Q575" s="418" t="n">
        <f aca="false">(INDEX(CdP,2,i_P+1)-INDEX(CdP,2,i_P+0))/(INDEX(CdP,1,i_P+1)-INDEX(CdP,1,i_P+0))*(t-pas/2-T_ini-INDEX(CdP,1,i_P+0))+INDEX(CdP,2,i_P+0)</f>
        <v>0</v>
      </c>
      <c r="R575" s="419" t="n">
        <f aca="false">Poussee/(g*ISP)</f>
        <v>0</v>
      </c>
      <c r="S575" s="420" t="n">
        <f aca="false">S574-Débit*pas</f>
        <v>1.4843</v>
      </c>
      <c r="T575" s="418" t="n">
        <f aca="false">m*g</f>
        <v>14.560983</v>
      </c>
      <c r="U575" s="422" t="n">
        <f aca="false">IF(pos_xz&lt;L_rampe,Poids*COS(Beta),0)</f>
        <v>0</v>
      </c>
      <c r="V575" s="419" t="n">
        <f aca="false">Rho_moyen*(20000-Alt_rampe-pos_z)/(20000+Alt_rampe+pos_z)</f>
        <v>1.22573966855564</v>
      </c>
      <c r="W575" s="418" t="n">
        <f aca="false">1/2*Rho*Sref*Cx*vit_xz^2</f>
        <v>5.56339480435119</v>
      </c>
      <c r="X575" s="402"/>
      <c r="Y575" s="423" t="str">
        <f aca="false">IF(AND(pos_z&lt;=0,K574&gt;0),"Impact balistique","") &amp; IF(AND(H576&lt;0,vit_z&gt;=0),"Apogée","") &amp; IF(AND(Poussee=0,Q574&gt;0),"Fin de propulsion","") &amp; IF(AND(L576&gt;L_rampe,pos_xz&lt;=L_rampe),"Sortie de rampe","")</f>
        <v/>
      </c>
      <c r="Z575" s="424" t="str">
        <f aca="false">IF(ABS(t-T_para)&lt;pas/2,"Para","")</f>
        <v/>
      </c>
      <c r="AA575" s="425" t="str">
        <f aca="false">IF(ABS(t-T_satellite)&lt;pas/2,"Satellite","")</f>
        <v/>
      </c>
      <c r="AB575" s="413"/>
      <c r="AC575" s="421" t="e">
        <f aca="false">IF(ABS(t-ROUND(t,0))&lt;0.001,t,NA())</f>
        <v>#N/A</v>
      </c>
      <c r="AD575" s="426" t="e">
        <f aca="false">IF(ABS(t-ROUND(t,0))&lt;0.001,pos_x,NA())</f>
        <v>#N/A</v>
      </c>
      <c r="AE575" s="427" t="e">
        <f aca="false">IF(t&lt;T_para, pos_z, NA())</f>
        <v>#N/A</v>
      </c>
      <c r="AF575" s="413"/>
      <c r="AG575" s="419" t="n">
        <f aca="false">IF(AND(L574&lt;L_rampe,Poussee&lt;Poids*SIN(M574)),0,(-W574+Poussee)/m-Poids*SIN(M574)/m)</f>
        <v>5.96080587311859</v>
      </c>
      <c r="AH575" s="418" t="n">
        <f aca="false">IF(AND(L574&lt;L_rampe,Poussee&lt;Poids*SIN(M574)), g*SIN(M574), (-W574+Poussee)/m)</f>
        <v>-3.74809568398673</v>
      </c>
    </row>
    <row r="576" customFormat="false" ht="12" hidden="false" customHeight="false" outlineLevel="0" collapsed="false">
      <c r="A576" s="417" t="n">
        <f aca="false">IF(B575+0.01&lt;=T_ini+ROUNDUP(Temps_fin_propu,0), 0.01, IF(K575&gt;0, 0.1, 0.0001))</f>
        <v>0.0001</v>
      </c>
      <c r="B576" s="418" t="n">
        <f aca="false">B575+pas</f>
        <v>16.5226999999999</v>
      </c>
      <c r="C576" s="402"/>
      <c r="D576" s="419" t="n">
        <f aca="false">IF(AND(L575&lt;L_rampe,Poussee&lt;Poids*SIN(M575)),0,(-W575+Poussee)/m*COS(M575)-U575/m*SIN(M575))</f>
        <v>-0.536714378064661</v>
      </c>
      <c r="E576" s="420" t="n">
        <f aca="false">IF(AND(L575&lt;L_rampe,Poussee&lt;Poids*SIN(M575)),0,(-W575+Poussee)/m*SIN(M575)+U575/m*COS(M575)-Poids/m)</f>
        <v>-6.10046556965351</v>
      </c>
      <c r="F576" s="418" t="n">
        <f aca="false">SQRT(acc_x^2+acc_z^2)</f>
        <v>6.1240299223754</v>
      </c>
      <c r="G576" s="419" t="n">
        <f aca="false">G575+acc_x*pas</f>
        <v>10.2750564128806</v>
      </c>
      <c r="H576" s="420" t="n">
        <f aca="false">H575+acc_z*pas</f>
        <v>-71.017665283314</v>
      </c>
      <c r="I576" s="418" t="n">
        <f aca="false">SQRT(vit_x^2+vit_z^2)</f>
        <v>71.7571290296699</v>
      </c>
      <c r="J576" s="419" t="n">
        <f aca="false">J575+0.5*(vit_x+G575)*pas*(K575&gt;=0)</f>
        <v>211.791153319536</v>
      </c>
      <c r="K576" s="420" t="n">
        <f aca="false">K575+0.5*(vit_z+H575)*pas</f>
        <v>-6.04339000545799</v>
      </c>
      <c r="L576" s="418" t="n">
        <f aca="false">SQRT(pos_x^2+pos_z^2)</f>
        <v>211.877358835665</v>
      </c>
      <c r="M576" s="419" t="n">
        <f aca="false">IF(AND(L575&gt;L_rampe,G576&gt;0),ATAN2(G576,H576),$M$4)</f>
        <v>-1.42711028728695</v>
      </c>
      <c r="N576" s="418" t="n">
        <f aca="false">DEGREES(Beta)</f>
        <v>-81.7673963612447</v>
      </c>
      <c r="O576" s="402"/>
      <c r="P576" s="421" t="n">
        <f aca="false">MATCH(t-pas/2-T_ini,CdP_t)</f>
        <v>23</v>
      </c>
      <c r="Q576" s="418" t="n">
        <f aca="false">(INDEX(CdP,2,i_P+1)-INDEX(CdP,2,i_P+0))/(INDEX(CdP,1,i_P+1)-INDEX(CdP,1,i_P+0))*(t-pas/2-T_ini-INDEX(CdP,1,i_P+0))+INDEX(CdP,2,i_P+0)</f>
        <v>0</v>
      </c>
      <c r="R576" s="419" t="n">
        <f aca="false">Poussee/(g*ISP)</f>
        <v>0</v>
      </c>
      <c r="S576" s="420" t="n">
        <f aca="false">S575-Débit*pas</f>
        <v>1.4843</v>
      </c>
      <c r="T576" s="418" t="n">
        <f aca="false">m*g</f>
        <v>14.560983</v>
      </c>
      <c r="U576" s="422" t="n">
        <f aca="false">IF(pos_xz&lt;L_rampe,Poids*COS(Beta),0)</f>
        <v>0</v>
      </c>
      <c r="V576" s="419" t="n">
        <f aca="false">Rho_moyen*(20000-Alt_rampe-pos_z)/(20000+Alt_rampe+pos_z)</f>
        <v>1.22574053904398</v>
      </c>
      <c r="W576" s="418" t="n">
        <f aca="false">1/2*Rho*Sref*Cx*vit_xz^2</f>
        <v>5.56349118493248</v>
      </c>
      <c r="X576" s="402"/>
      <c r="Y576" s="423" t="str">
        <f aca="false">IF(AND(pos_z&lt;=0,K575&gt;0),"Impact balistique","") &amp; IF(AND(H577&lt;0,vit_z&gt;=0),"Apogée","") &amp; IF(AND(Poussee=0,Q575&gt;0),"Fin de propulsion","") &amp; IF(AND(L577&gt;L_rampe,pos_xz&lt;=L_rampe),"Sortie de rampe","")</f>
        <v/>
      </c>
      <c r="Z576" s="424" t="str">
        <f aca="false">IF(ABS(t-T_para)&lt;pas/2,"Para","")</f>
        <v/>
      </c>
      <c r="AA576" s="425" t="str">
        <f aca="false">IF(ABS(t-T_satellite)&lt;pas/2,"Satellite","")</f>
        <v/>
      </c>
      <c r="AB576" s="413"/>
      <c r="AC576" s="421" t="e">
        <f aca="false">IF(ABS(t-ROUND(t,0))&lt;0.001,t,NA())</f>
        <v>#N/A</v>
      </c>
      <c r="AD576" s="426" t="e">
        <f aca="false">IF(ABS(t-ROUND(t,0))&lt;0.001,pos_x,NA())</f>
        <v>#N/A</v>
      </c>
      <c r="AE576" s="427" t="e">
        <f aca="false">IF(t&lt;T_para, pos_z, NA())</f>
        <v>#N/A</v>
      </c>
      <c r="AF576" s="413"/>
      <c r="AG576" s="419" t="n">
        <f aca="false">IF(AND(L575&lt;L_rampe,Poussee&lt;Poids*SIN(M575)),0,(-W575+Poussee)/m-Poids*SIN(M575)/m)</f>
        <v>5.96074368976028</v>
      </c>
      <c r="AH576" s="418" t="n">
        <f aca="false">IF(AND(L575&lt;L_rampe,Poussee&lt;Poids*SIN(M575)), g*SIN(M575), (-W575+Poussee)/m)</f>
        <v>-3.74816061736253</v>
      </c>
    </row>
    <row r="577" customFormat="false" ht="12" hidden="false" customHeight="false" outlineLevel="0" collapsed="false">
      <c r="A577" s="417" t="n">
        <f aca="false">IF(B576+0.01&lt;=T_ini+ROUNDUP(Temps_fin_propu,0), 0.01, IF(K576&gt;0, 0.1, 0.0001))</f>
        <v>0.0001</v>
      </c>
      <c r="B577" s="418" t="n">
        <f aca="false">B576+pas</f>
        <v>16.5227999999999</v>
      </c>
      <c r="C577" s="402"/>
      <c r="D577" s="419" t="n">
        <f aca="false">IF(AND(L576&lt;L_rampe,Poussee&lt;Poids*SIN(M576)),0,(-W576+Poussee)/m*COS(M576)-U576/m*SIN(M576))</f>
        <v>-0.536716414140759</v>
      </c>
      <c r="E577" s="420" t="n">
        <f aca="false">IF(AND(L576&lt;L_rampe,Poussee&lt;Poids*SIN(M576)),0,(-W576+Poussee)/m*SIN(M576)+U576/m*COS(M576)-Poids/m)</f>
        <v>-6.10040025476386</v>
      </c>
      <c r="F577" s="418" t="n">
        <f aca="false">SQRT(acc_x^2+acc_z^2)</f>
        <v>6.12396503725577</v>
      </c>
      <c r="G577" s="419" t="n">
        <f aca="false">G576+acc_x*pas</f>
        <v>10.2750027412392</v>
      </c>
      <c r="H577" s="420" t="n">
        <f aca="false">H576+acc_z*pas</f>
        <v>-71.0182753233395</v>
      </c>
      <c r="I577" s="418" t="n">
        <f aca="false">SQRT(vit_x^2+vit_z^2)</f>
        <v>71.7577250979581</v>
      </c>
      <c r="J577" s="419" t="n">
        <f aca="false">J576+0.5*(vit_x+G576)*pas*(K576&gt;=0)</f>
        <v>211.791153319536</v>
      </c>
      <c r="K577" s="420" t="n">
        <f aca="false">K576+0.5*(vit_z+H576)*pas</f>
        <v>-6.05049180248832</v>
      </c>
      <c r="L577" s="418" t="n">
        <f aca="false">SQRT(pos_x^2+pos_z^2)</f>
        <v>211.877561519551</v>
      </c>
      <c r="M577" s="419" t="n">
        <f aca="false">IF(AND(L576&gt;L_rampe,G577&gt;0),ATAN2(G577,H577),$M$4)</f>
        <v>-1.42711224486689</v>
      </c>
      <c r="N577" s="418" t="n">
        <f aca="false">DEGREES(Beta)</f>
        <v>-81.7675085223133</v>
      </c>
      <c r="O577" s="402"/>
      <c r="P577" s="421" t="n">
        <f aca="false">MATCH(t-pas/2-T_ini,CdP_t)</f>
        <v>23</v>
      </c>
      <c r="Q577" s="418" t="n">
        <f aca="false">(INDEX(CdP,2,i_P+1)-INDEX(CdP,2,i_P+0))/(INDEX(CdP,1,i_P+1)-INDEX(CdP,1,i_P+0))*(t-pas/2-T_ini-INDEX(CdP,1,i_P+0))+INDEX(CdP,2,i_P+0)</f>
        <v>0</v>
      </c>
      <c r="R577" s="419" t="n">
        <f aca="false">Poussee/(g*ISP)</f>
        <v>0</v>
      </c>
      <c r="S577" s="420" t="n">
        <f aca="false">S576-Débit*pas</f>
        <v>1.4843</v>
      </c>
      <c r="T577" s="418" t="n">
        <f aca="false">m*g</f>
        <v>14.560983</v>
      </c>
      <c r="U577" s="422" t="n">
        <f aca="false">IF(pos_xz&lt;L_rampe,Poids*COS(Beta),0)</f>
        <v>0</v>
      </c>
      <c r="V577" s="419" t="n">
        <f aca="false">Rho_moyen*(20000-Alt_rampe-pos_z)/(20000+Alt_rampe+pos_z)</f>
        <v>1.22574140954042</v>
      </c>
      <c r="W577" s="418" t="n">
        <f aca="false">1/2*Rho*Sref*Cx*vit_xz^2</f>
        <v>5.56358756548535</v>
      </c>
      <c r="X577" s="402"/>
      <c r="Y577" s="423" t="str">
        <f aca="false">IF(AND(pos_z&lt;=0,K576&gt;0),"Impact balistique","") &amp; IF(AND(H578&lt;0,vit_z&gt;=0),"Apogée","") &amp; IF(AND(Poussee=0,Q576&gt;0),"Fin de propulsion","") &amp; IF(AND(L578&gt;L_rampe,pos_xz&lt;=L_rampe),"Sortie de rampe","")</f>
        <v/>
      </c>
      <c r="Z577" s="424" t="str">
        <f aca="false">IF(ABS(t-T_para)&lt;pas/2,"Para","")</f>
        <v/>
      </c>
      <c r="AA577" s="425" t="str">
        <f aca="false">IF(ABS(t-T_satellite)&lt;pas/2,"Satellite","")</f>
        <v/>
      </c>
      <c r="AB577" s="413"/>
      <c r="AC577" s="421" t="e">
        <f aca="false">IF(ABS(t-ROUND(t,0))&lt;0.001,t,NA())</f>
        <v>#N/A</v>
      </c>
      <c r="AD577" s="426" t="e">
        <f aca="false">IF(ABS(t-ROUND(t,0))&lt;0.001,pos_x,NA())</f>
        <v>#N/A</v>
      </c>
      <c r="AE577" s="427" t="e">
        <f aca="false">IF(t&lt;T_para, pos_z, NA())</f>
        <v>#N/A</v>
      </c>
      <c r="AF577" s="413"/>
      <c r="AG577" s="419" t="n">
        <f aca="false">IF(AND(L576&lt;L_rampe,Poussee&lt;Poids*SIN(M576)),0,(-W576+Poussee)/m-Poids*SIN(M576)/m)</f>
        <v>5.96068150632385</v>
      </c>
      <c r="AH577" s="418" t="n">
        <f aca="false">IF(AND(L576&lt;L_rampe,Poussee&lt;Poids*SIN(M576)), g*SIN(M576), (-W576+Poussee)/m)</f>
        <v>-3.74822555071919</v>
      </c>
    </row>
    <row r="578" customFormat="false" ht="12" hidden="false" customHeight="false" outlineLevel="0" collapsed="false">
      <c r="A578" s="417" t="n">
        <f aca="false">IF(B577+0.01&lt;=T_ini+ROUNDUP(Temps_fin_propu,0), 0.01, IF(K577&gt;0, 0.1, 0.0001))</f>
        <v>0.0001</v>
      </c>
      <c r="B578" s="418" t="n">
        <f aca="false">B577+pas</f>
        <v>16.5228999999999</v>
      </c>
      <c r="C578" s="402"/>
      <c r="D578" s="419" t="n">
        <f aca="false">IF(AND(L577&lt;L_rampe,Poussee&lt;Poids*SIN(M577)),0,(-W577+Poussee)/m*COS(M577)-U577/m*SIN(M577))</f>
        <v>-0.536718450119029</v>
      </c>
      <c r="E578" s="420" t="n">
        <f aca="false">IF(AND(L577&lt;L_rampe,Poussee&lt;Poids*SIN(M577)),0,(-W577+Poussee)/m*SIN(M577)+U577/m*COS(M577)-Poids/m)</f>
        <v>-6.10033493989393</v>
      </c>
      <c r="F578" s="418" t="n">
        <f aca="false">SQRT(acc_x^2+acc_z^2)</f>
        <v>6.12390015215702</v>
      </c>
      <c r="G578" s="419" t="n">
        <f aca="false">G577+acc_x*pas</f>
        <v>10.2749490693942</v>
      </c>
      <c r="H578" s="420" t="n">
        <f aca="false">H577+acc_z*pas</f>
        <v>-71.0188853568334</v>
      </c>
      <c r="I578" s="418" t="n">
        <f aca="false">SQRT(vit_x^2+vit_z^2)</f>
        <v>71.7583211600278</v>
      </c>
      <c r="J578" s="419" t="n">
        <f aca="false">J577+0.5*(vit_x+G577)*pas*(K577&gt;=0)</f>
        <v>211.791153319536</v>
      </c>
      <c r="K578" s="420" t="n">
        <f aca="false">K577+0.5*(vit_z+H577)*pas</f>
        <v>-6.05759366052233</v>
      </c>
      <c r="L578" s="418" t="n">
        <f aca="false">SQRT(pos_x^2+pos_z^2)</f>
        <v>211.877764443028</v>
      </c>
      <c r="M578" s="419" t="n">
        <f aca="false">IF(AND(L577&gt;L_rampe,G578&gt;0),ATAN2(G578,H578),$M$4)</f>
        <v>-1.42711420240408</v>
      </c>
      <c r="N578" s="418" t="n">
        <f aca="false">DEGREES(Beta)</f>
        <v>-81.7676206809327</v>
      </c>
      <c r="O578" s="402"/>
      <c r="P578" s="421" t="n">
        <f aca="false">MATCH(t-pas/2-T_ini,CdP_t)</f>
        <v>23</v>
      </c>
      <c r="Q578" s="418" t="n">
        <f aca="false">(INDEX(CdP,2,i_P+1)-INDEX(CdP,2,i_P+0))/(INDEX(CdP,1,i_P+1)-INDEX(CdP,1,i_P+0))*(t-pas/2-T_ini-INDEX(CdP,1,i_P+0))+INDEX(CdP,2,i_P+0)</f>
        <v>0</v>
      </c>
      <c r="R578" s="419" t="n">
        <f aca="false">Poussee/(g*ISP)</f>
        <v>0</v>
      </c>
      <c r="S578" s="420" t="n">
        <f aca="false">S577-Débit*pas</f>
        <v>1.4843</v>
      </c>
      <c r="T578" s="418" t="n">
        <f aca="false">m*g</f>
        <v>14.560983</v>
      </c>
      <c r="U578" s="422" t="n">
        <f aca="false">IF(pos_xz&lt;L_rampe,Poids*COS(Beta),0)</f>
        <v>0</v>
      </c>
      <c r="V578" s="419" t="n">
        <f aca="false">Rho_moyen*(20000-Alt_rampe-pos_z)/(20000+Alt_rampe+pos_z)</f>
        <v>1.22574228004496</v>
      </c>
      <c r="W578" s="418" t="n">
        <f aca="false">1/2*Rho*Sref*Cx*vit_xz^2</f>
        <v>5.56368394600977</v>
      </c>
      <c r="X578" s="402"/>
      <c r="Y578" s="423" t="str">
        <f aca="false">IF(AND(pos_z&lt;=0,K577&gt;0),"Impact balistique","") &amp; IF(AND(H579&lt;0,vit_z&gt;=0),"Apogée","") &amp; IF(AND(Poussee=0,Q577&gt;0),"Fin de propulsion","") &amp; IF(AND(L579&gt;L_rampe,pos_xz&lt;=L_rampe),"Sortie de rampe","")</f>
        <v/>
      </c>
      <c r="Z578" s="424" t="str">
        <f aca="false">IF(ABS(t-T_para)&lt;pas/2,"Para","")</f>
        <v/>
      </c>
      <c r="AA578" s="425" t="str">
        <f aca="false">IF(ABS(t-T_satellite)&lt;pas/2,"Satellite","")</f>
        <v/>
      </c>
      <c r="AB578" s="413"/>
      <c r="AC578" s="421" t="e">
        <f aca="false">IF(ABS(t-ROUND(t,0))&lt;0.001,t,NA())</f>
        <v>#N/A</v>
      </c>
      <c r="AD578" s="426" t="e">
        <f aca="false">IF(ABS(t-ROUND(t,0))&lt;0.001,pos_x,NA())</f>
        <v>#N/A</v>
      </c>
      <c r="AE578" s="427" t="e">
        <f aca="false">IF(t&lt;T_para, pos_z, NA())</f>
        <v>#N/A</v>
      </c>
      <c r="AF578" s="413"/>
      <c r="AG578" s="419" t="n">
        <f aca="false">IF(AND(L577&lt;L_rampe,Poussee&lt;Poids*SIN(M577)),0,(-W577+Poussee)/m-Poids*SIN(M577)/m)</f>
        <v>5.96061932280931</v>
      </c>
      <c r="AH578" s="418" t="n">
        <f aca="false">IF(AND(L577&lt;L_rampe,Poussee&lt;Poids*SIN(M577)), g*SIN(M577), (-W577+Poussee)/m)</f>
        <v>-3.7482904840567</v>
      </c>
    </row>
    <row r="579" customFormat="false" ht="12" hidden="false" customHeight="false" outlineLevel="0" collapsed="false">
      <c r="A579" s="417" t="n">
        <f aca="false">IF(B578+0.01&lt;=T_ini+ROUNDUP(Temps_fin_propu,0), 0.01, IF(K578&gt;0, 0.1, 0.0001))</f>
        <v>0.0001</v>
      </c>
      <c r="B579" s="418" t="n">
        <f aca="false">B578+pas</f>
        <v>16.5229999999999</v>
      </c>
      <c r="C579" s="402"/>
      <c r="D579" s="419" t="n">
        <f aca="false">IF(AND(L578&lt;L_rampe,Poussee&lt;Poids*SIN(M578)),0,(-W578+Poussee)/m*COS(M578)-U578/m*SIN(M578))</f>
        <v>-0.536720485999473</v>
      </c>
      <c r="E579" s="420" t="n">
        <f aca="false">IF(AND(L578&lt;L_rampe,Poussee&lt;Poids*SIN(M578)),0,(-W578+Poussee)/m*SIN(M578)+U578/m*COS(M578)-Poids/m)</f>
        <v>-6.10026962504371</v>
      </c>
      <c r="F579" s="418" t="n">
        <f aca="false">SQRT(acc_x^2+acc_z^2)</f>
        <v>6.12383526707916</v>
      </c>
      <c r="G579" s="419" t="n">
        <f aca="false">G578+acc_x*pas</f>
        <v>10.2748953973456</v>
      </c>
      <c r="H579" s="420" t="n">
        <f aca="false">H578+acc_z*pas</f>
        <v>-71.0194953837959</v>
      </c>
      <c r="I579" s="418" t="n">
        <f aca="false">SQRT(vit_x^2+vit_z^2)</f>
        <v>71.7589172158792</v>
      </c>
      <c r="J579" s="419" t="n">
        <f aca="false">J578+0.5*(vit_x+G578)*pas*(K578&gt;=0)</f>
        <v>211.791153319536</v>
      </c>
      <c r="K579" s="420" t="n">
        <f aca="false">K578+0.5*(vit_z+H578)*pas</f>
        <v>-6.06469557955936</v>
      </c>
      <c r="L579" s="418" t="n">
        <f aca="false">SQRT(pos_x^2+pos_z^2)</f>
        <v>211.877967606101</v>
      </c>
      <c r="M579" s="419" t="n">
        <f aca="false">IF(AND(L578&gt;L_rampe,G579&gt;0),ATAN2(G579,H579),$M$4)</f>
        <v>-1.42711615989853</v>
      </c>
      <c r="N579" s="418" t="n">
        <f aca="false">DEGREES(Beta)</f>
        <v>-81.7677328371029</v>
      </c>
      <c r="O579" s="402"/>
      <c r="P579" s="421" t="n">
        <f aca="false">MATCH(t-pas/2-T_ini,CdP_t)</f>
        <v>23</v>
      </c>
      <c r="Q579" s="418" t="n">
        <f aca="false">(INDEX(CdP,2,i_P+1)-INDEX(CdP,2,i_P+0))/(INDEX(CdP,1,i_P+1)-INDEX(CdP,1,i_P+0))*(t-pas/2-T_ini-INDEX(CdP,1,i_P+0))+INDEX(CdP,2,i_P+0)</f>
        <v>0</v>
      </c>
      <c r="R579" s="419" t="n">
        <f aca="false">Poussee/(g*ISP)</f>
        <v>0</v>
      </c>
      <c r="S579" s="420" t="n">
        <f aca="false">S578-Débit*pas</f>
        <v>1.4843</v>
      </c>
      <c r="T579" s="418" t="n">
        <f aca="false">m*g</f>
        <v>14.560983</v>
      </c>
      <c r="U579" s="422" t="n">
        <f aca="false">IF(pos_xz&lt;L_rampe,Poids*COS(Beta),0)</f>
        <v>0</v>
      </c>
      <c r="V579" s="419" t="n">
        <f aca="false">Rho_moyen*(20000-Alt_rampe-pos_z)/(20000+Alt_rampe+pos_z)</f>
        <v>1.22574315055759</v>
      </c>
      <c r="W579" s="418" t="n">
        <f aca="false">1/2*Rho*Sref*Cx*vit_xz^2</f>
        <v>5.56378032650571</v>
      </c>
      <c r="X579" s="402"/>
      <c r="Y579" s="423" t="str">
        <f aca="false">IF(AND(pos_z&lt;=0,K578&gt;0),"Impact balistique","") &amp; IF(AND(H580&lt;0,vit_z&gt;=0),"Apogée","") &amp; IF(AND(Poussee=0,Q578&gt;0),"Fin de propulsion","") &amp; IF(AND(L580&gt;L_rampe,pos_xz&lt;=L_rampe),"Sortie de rampe","")</f>
        <v/>
      </c>
      <c r="Z579" s="424" t="str">
        <f aca="false">IF(ABS(t-T_para)&lt;pas/2,"Para","")</f>
        <v/>
      </c>
      <c r="AA579" s="425" t="str">
        <f aca="false">IF(ABS(t-T_satellite)&lt;pas/2,"Satellite","")</f>
        <v/>
      </c>
      <c r="AB579" s="413"/>
      <c r="AC579" s="421" t="e">
        <f aca="false">IF(ABS(t-ROUND(t,0))&lt;0.001,t,NA())</f>
        <v>#N/A</v>
      </c>
      <c r="AD579" s="426" t="e">
        <f aca="false">IF(ABS(t-ROUND(t,0))&lt;0.001,pos_x,NA())</f>
        <v>#N/A</v>
      </c>
      <c r="AE579" s="427" t="e">
        <f aca="false">IF(t&lt;T_para, pos_z, NA())</f>
        <v>#N/A</v>
      </c>
      <c r="AF579" s="413"/>
      <c r="AG579" s="419" t="n">
        <f aca="false">IF(AND(L578&lt;L_rampe,Poussee&lt;Poids*SIN(M578)),0,(-W578+Poussee)/m-Poids*SIN(M578)/m)</f>
        <v>5.96055713921669</v>
      </c>
      <c r="AH579" s="418" t="n">
        <f aca="false">IF(AND(L578&lt;L_rampe,Poussee&lt;Poids*SIN(M578)), g*SIN(M578), (-W578+Poussee)/m)</f>
        <v>-3.74835541737504</v>
      </c>
    </row>
    <row r="580" customFormat="false" ht="12" hidden="false" customHeight="false" outlineLevel="0" collapsed="false">
      <c r="A580" s="417" t="n">
        <f aca="false">IF(B579+0.01&lt;=T_ini+ROUNDUP(Temps_fin_propu,0), 0.01, IF(K579&gt;0, 0.1, 0.0001))</f>
        <v>0.0001</v>
      </c>
      <c r="B580" s="418" t="n">
        <f aca="false">B579+pas</f>
        <v>16.5230999999999</v>
      </c>
      <c r="C580" s="402"/>
      <c r="D580" s="419" t="n">
        <f aca="false">IF(AND(L579&lt;L_rampe,Poussee&lt;Poids*SIN(M579)),0,(-W579+Poussee)/m*COS(M579)-U579/m*SIN(M579))</f>
        <v>-0.536722521782091</v>
      </c>
      <c r="E580" s="420" t="n">
        <f aca="false">IF(AND(L579&lt;L_rampe,Poussee&lt;Poids*SIN(M579)),0,(-W579+Poussee)/m*SIN(M579)+U579/m*COS(M579)-Poids/m)</f>
        <v>-6.10020431021325</v>
      </c>
      <c r="F580" s="418" t="n">
        <f aca="false">SQRT(acc_x^2+acc_z^2)</f>
        <v>6.1237703820222</v>
      </c>
      <c r="G580" s="419" t="n">
        <f aca="false">G579+acc_x*pas</f>
        <v>10.2748417250934</v>
      </c>
      <c r="H580" s="420" t="n">
        <f aca="false">H579+acc_z*pas</f>
        <v>-71.020105404227</v>
      </c>
      <c r="I580" s="418" t="n">
        <f aca="false">SQRT(vit_x^2+vit_z^2)</f>
        <v>71.7595132655123</v>
      </c>
      <c r="J580" s="419" t="n">
        <f aca="false">J579+0.5*(vit_x+G579)*pas*(K579&gt;=0)</f>
        <v>211.791153319536</v>
      </c>
      <c r="K580" s="420" t="n">
        <f aca="false">K579+0.5*(vit_z+H579)*pas</f>
        <v>-6.07179755959877</v>
      </c>
      <c r="L580" s="418" t="n">
        <f aca="false">SQRT(pos_x^2+pos_z^2)</f>
        <v>211.878171008776</v>
      </c>
      <c r="M580" s="419" t="n">
        <f aca="false">IF(AND(L579&gt;L_rampe,G580&gt;0),ATAN2(G580,H580),$M$4)</f>
        <v>-1.42711811735023</v>
      </c>
      <c r="N580" s="418" t="n">
        <f aca="false">DEGREES(Beta)</f>
        <v>-81.7678449908241</v>
      </c>
      <c r="O580" s="402"/>
      <c r="P580" s="421" t="n">
        <f aca="false">MATCH(t-pas/2-T_ini,CdP_t)</f>
        <v>23</v>
      </c>
      <c r="Q580" s="418" t="n">
        <f aca="false">(INDEX(CdP,2,i_P+1)-INDEX(CdP,2,i_P+0))/(INDEX(CdP,1,i_P+1)-INDEX(CdP,1,i_P+0))*(t-pas/2-T_ini-INDEX(CdP,1,i_P+0))+INDEX(CdP,2,i_P+0)</f>
        <v>0</v>
      </c>
      <c r="R580" s="419" t="n">
        <f aca="false">Poussee/(g*ISP)</f>
        <v>0</v>
      </c>
      <c r="S580" s="420" t="n">
        <f aca="false">S579-Débit*pas</f>
        <v>1.4843</v>
      </c>
      <c r="T580" s="418" t="n">
        <f aca="false">m*g</f>
        <v>14.560983</v>
      </c>
      <c r="U580" s="422" t="n">
        <f aca="false">IF(pos_xz&lt;L_rampe,Poids*COS(Beta),0)</f>
        <v>0</v>
      </c>
      <c r="V580" s="419" t="n">
        <f aca="false">Rho_moyen*(20000-Alt_rampe-pos_z)/(20000+Alt_rampe+pos_z)</f>
        <v>1.22574402107832</v>
      </c>
      <c r="W580" s="418" t="n">
        <f aca="false">1/2*Rho*Sref*Cx*vit_xz^2</f>
        <v>5.56387670697317</v>
      </c>
      <c r="X580" s="402"/>
      <c r="Y580" s="423" t="str">
        <f aca="false">IF(AND(pos_z&lt;=0,K579&gt;0),"Impact balistique","") &amp; IF(AND(H581&lt;0,vit_z&gt;=0),"Apogée","") &amp; IF(AND(Poussee=0,Q579&gt;0),"Fin de propulsion","") &amp; IF(AND(L581&gt;L_rampe,pos_xz&lt;=L_rampe),"Sortie de rampe","")</f>
        <v/>
      </c>
      <c r="Z580" s="424" t="str">
        <f aca="false">IF(ABS(t-T_para)&lt;pas/2,"Para","")</f>
        <v/>
      </c>
      <c r="AA580" s="425" t="str">
        <f aca="false">IF(ABS(t-T_satellite)&lt;pas/2,"Satellite","")</f>
        <v/>
      </c>
      <c r="AB580" s="413"/>
      <c r="AC580" s="421" t="e">
        <f aca="false">IF(ABS(t-ROUND(t,0))&lt;0.001,t,NA())</f>
        <v>#N/A</v>
      </c>
      <c r="AD580" s="426" t="e">
        <f aca="false">IF(ABS(t-ROUND(t,0))&lt;0.001,pos_x,NA())</f>
        <v>#N/A</v>
      </c>
      <c r="AE580" s="427" t="e">
        <f aca="false">IF(t&lt;T_para, pos_z, NA())</f>
        <v>#N/A</v>
      </c>
      <c r="AF580" s="413"/>
      <c r="AG580" s="419" t="n">
        <f aca="false">IF(AND(L579&lt;L_rampe,Poussee&lt;Poids*SIN(M579)),0,(-W579+Poussee)/m-Poids*SIN(M579)/m)</f>
        <v>5.960494955546</v>
      </c>
      <c r="AH580" s="418" t="n">
        <f aca="false">IF(AND(L579&lt;L_rampe,Poussee&lt;Poids*SIN(M579)), g*SIN(M579), (-W579+Poussee)/m)</f>
        <v>-3.7484203506742</v>
      </c>
    </row>
    <row r="581" customFormat="false" ht="12" hidden="false" customHeight="false" outlineLevel="0" collapsed="false">
      <c r="A581" s="417" t="n">
        <f aca="false">IF(B580+0.01&lt;=T_ini+ROUNDUP(Temps_fin_propu,0), 0.01, IF(K580&gt;0, 0.1, 0.0001))</f>
        <v>0.0001</v>
      </c>
      <c r="B581" s="418" t="n">
        <f aca="false">B580+pas</f>
        <v>16.5231999999999</v>
      </c>
      <c r="C581" s="402"/>
      <c r="D581" s="419" t="n">
        <f aca="false">IF(AND(L580&lt;L_rampe,Poussee&lt;Poids*SIN(M580)),0,(-W580+Poussee)/m*COS(M580)-U580/m*SIN(M580))</f>
        <v>-0.536724557466883</v>
      </c>
      <c r="E581" s="420" t="n">
        <f aca="false">IF(AND(L580&lt;L_rampe,Poussee&lt;Poids*SIN(M580)),0,(-W580+Poussee)/m*SIN(M580)+U580/m*COS(M580)-Poids/m)</f>
        <v>-6.10013899540253</v>
      </c>
      <c r="F581" s="418" t="n">
        <f aca="false">SQRT(acc_x^2+acc_z^2)</f>
        <v>6.12370549698617</v>
      </c>
      <c r="G581" s="419" t="n">
        <f aca="false">G580+acc_x*pas</f>
        <v>10.2747880526377</v>
      </c>
      <c r="H581" s="420" t="n">
        <f aca="false">H580+acc_z*pas</f>
        <v>-71.0207154181265</v>
      </c>
      <c r="I581" s="418" t="n">
        <f aca="false">SQRT(vit_x^2+vit_z^2)</f>
        <v>71.7601093089269</v>
      </c>
      <c r="J581" s="419" t="n">
        <f aca="false">J580+0.5*(vit_x+G580)*pas*(K580&gt;=0)</f>
        <v>211.791153319536</v>
      </c>
      <c r="K581" s="420" t="n">
        <f aca="false">K580+0.5*(vit_z+H580)*pas</f>
        <v>-6.07889960063988</v>
      </c>
      <c r="L581" s="418" t="n">
        <f aca="false">SQRT(pos_x^2+pos_z^2)</f>
        <v>211.878374651058</v>
      </c>
      <c r="M581" s="419" t="n">
        <f aca="false">IF(AND(L580&gt;L_rampe,G581&gt;0),ATAN2(G581,H581),$M$4)</f>
        <v>-1.42712007475919</v>
      </c>
      <c r="N581" s="418" t="n">
        <f aca="false">DEGREES(Beta)</f>
        <v>-81.7679571420964</v>
      </c>
      <c r="O581" s="402"/>
      <c r="P581" s="421" t="n">
        <f aca="false">MATCH(t-pas/2-T_ini,CdP_t)</f>
        <v>23</v>
      </c>
      <c r="Q581" s="418" t="n">
        <f aca="false">(INDEX(CdP,2,i_P+1)-INDEX(CdP,2,i_P+0))/(INDEX(CdP,1,i_P+1)-INDEX(CdP,1,i_P+0))*(t-pas/2-T_ini-INDEX(CdP,1,i_P+0))+INDEX(CdP,2,i_P+0)</f>
        <v>0</v>
      </c>
      <c r="R581" s="419" t="n">
        <f aca="false">Poussee/(g*ISP)</f>
        <v>0</v>
      </c>
      <c r="S581" s="420" t="n">
        <f aca="false">S580-Débit*pas</f>
        <v>1.4843</v>
      </c>
      <c r="T581" s="418" t="n">
        <f aca="false">m*g</f>
        <v>14.560983</v>
      </c>
      <c r="U581" s="422" t="n">
        <f aca="false">IF(pos_xz&lt;L_rampe,Poids*COS(Beta),0)</f>
        <v>0</v>
      </c>
      <c r="V581" s="419" t="n">
        <f aca="false">Rho_moyen*(20000-Alt_rampe-pos_z)/(20000+Alt_rampe+pos_z)</f>
        <v>1.22574489160714</v>
      </c>
      <c r="W581" s="418" t="n">
        <f aca="false">1/2*Rho*Sref*Cx*vit_xz^2</f>
        <v>5.5639730874121</v>
      </c>
      <c r="X581" s="402"/>
      <c r="Y581" s="423" t="str">
        <f aca="false">IF(AND(pos_z&lt;=0,K580&gt;0),"Impact balistique","") &amp; IF(AND(H582&lt;0,vit_z&gt;=0),"Apogée","") &amp; IF(AND(Poussee=0,Q580&gt;0),"Fin de propulsion","") &amp; IF(AND(L582&gt;L_rampe,pos_xz&lt;=L_rampe),"Sortie de rampe","")</f>
        <v/>
      </c>
      <c r="Z581" s="424" t="str">
        <f aca="false">IF(ABS(t-T_para)&lt;pas/2,"Para","")</f>
        <v/>
      </c>
      <c r="AA581" s="425" t="str">
        <f aca="false">IF(ABS(t-T_satellite)&lt;pas/2,"Satellite","")</f>
        <v/>
      </c>
      <c r="AB581" s="413"/>
      <c r="AC581" s="421" t="e">
        <f aca="false">IF(ABS(t-ROUND(t,0))&lt;0.001,t,NA())</f>
        <v>#N/A</v>
      </c>
      <c r="AD581" s="426" t="e">
        <f aca="false">IF(ABS(t-ROUND(t,0))&lt;0.001,pos_x,NA())</f>
        <v>#N/A</v>
      </c>
      <c r="AE581" s="427" t="e">
        <f aca="false">IF(t&lt;T_para, pos_z, NA())</f>
        <v>#N/A</v>
      </c>
      <c r="AF581" s="413"/>
      <c r="AG581" s="419" t="n">
        <f aca="false">IF(AND(L580&lt;L_rampe,Poussee&lt;Poids*SIN(M580)),0,(-W580+Poussee)/m-Poids*SIN(M580)/m)</f>
        <v>5.96043277179727</v>
      </c>
      <c r="AH581" s="418" t="n">
        <f aca="false">IF(AND(L580&lt;L_rampe,Poussee&lt;Poids*SIN(M580)), g*SIN(M580), (-W580+Poussee)/m)</f>
        <v>-3.74848528395417</v>
      </c>
    </row>
    <row r="582" customFormat="false" ht="12" hidden="false" customHeight="false" outlineLevel="0" collapsed="false">
      <c r="A582" s="417" t="n">
        <f aca="false">IF(B581+0.01&lt;=T_ini+ROUNDUP(Temps_fin_propu,0), 0.01, IF(K581&gt;0, 0.1, 0.0001))</f>
        <v>0.0001</v>
      </c>
      <c r="B582" s="418" t="n">
        <f aca="false">B581+pas</f>
        <v>16.5232999999999</v>
      </c>
      <c r="C582" s="402"/>
      <c r="D582" s="419" t="n">
        <f aca="false">IF(AND(L581&lt;L_rampe,Poussee&lt;Poids*SIN(M581)),0,(-W581+Poussee)/m*COS(M581)-U581/m*SIN(M581))</f>
        <v>-0.536726593053851</v>
      </c>
      <c r="E582" s="420" t="n">
        <f aca="false">IF(AND(L581&lt;L_rampe,Poussee&lt;Poids*SIN(M581)),0,(-W581+Poussee)/m*SIN(M581)+U581/m*COS(M581)-Poids/m)</f>
        <v>-6.10007368061159</v>
      </c>
      <c r="F582" s="418" t="n">
        <f aca="false">SQRT(acc_x^2+acc_z^2)</f>
        <v>6.12364061197107</v>
      </c>
      <c r="G582" s="419" t="n">
        <f aca="false">G581+acc_x*pas</f>
        <v>10.2747343799784</v>
      </c>
      <c r="H582" s="420" t="n">
        <f aca="false">H581+acc_z*pas</f>
        <v>-71.0213254254946</v>
      </c>
      <c r="I582" s="418" t="n">
        <f aca="false">SQRT(vit_x^2+vit_z^2)</f>
        <v>71.7607053461232</v>
      </c>
      <c r="J582" s="419" t="n">
        <f aca="false">J581+0.5*(vit_x+G581)*pas*(K581&gt;=0)</f>
        <v>211.791153319536</v>
      </c>
      <c r="K582" s="420" t="n">
        <f aca="false">K581+0.5*(vit_z+H581)*pas</f>
        <v>-6.08600170268206</v>
      </c>
      <c r="L582" s="418" t="n">
        <f aca="false">SQRT(pos_x^2+pos_z^2)</f>
        <v>211.878578532952</v>
      </c>
      <c r="M582" s="419" t="n">
        <f aca="false">IF(AND(L581&gt;L_rampe,G582&gt;0),ATAN2(G582,H582),$M$4)</f>
        <v>-1.42712203212541</v>
      </c>
      <c r="N582" s="418" t="n">
        <f aca="false">DEGREES(Beta)</f>
        <v>-81.7680692909197</v>
      </c>
      <c r="O582" s="402"/>
      <c r="P582" s="421" t="n">
        <f aca="false">MATCH(t-pas/2-T_ini,CdP_t)</f>
        <v>23</v>
      </c>
      <c r="Q582" s="418" t="n">
        <f aca="false">(INDEX(CdP,2,i_P+1)-INDEX(CdP,2,i_P+0))/(INDEX(CdP,1,i_P+1)-INDEX(CdP,1,i_P+0))*(t-pas/2-T_ini-INDEX(CdP,1,i_P+0))+INDEX(CdP,2,i_P+0)</f>
        <v>0</v>
      </c>
      <c r="R582" s="419" t="n">
        <f aca="false">Poussee/(g*ISP)</f>
        <v>0</v>
      </c>
      <c r="S582" s="420" t="n">
        <f aca="false">S581-Débit*pas</f>
        <v>1.4843</v>
      </c>
      <c r="T582" s="418" t="n">
        <f aca="false">m*g</f>
        <v>14.560983</v>
      </c>
      <c r="U582" s="422" t="n">
        <f aca="false">IF(pos_xz&lt;L_rampe,Poids*COS(Beta),0)</f>
        <v>0</v>
      </c>
      <c r="V582" s="419" t="n">
        <f aca="false">Rho_moyen*(20000-Alt_rampe-pos_z)/(20000+Alt_rampe+pos_z)</f>
        <v>1.22574576214406</v>
      </c>
      <c r="W582" s="418" t="n">
        <f aca="false">1/2*Rho*Sref*Cx*vit_xz^2</f>
        <v>5.56406946782249</v>
      </c>
      <c r="X582" s="402"/>
      <c r="Y582" s="423" t="str">
        <f aca="false">IF(AND(pos_z&lt;=0,K581&gt;0),"Impact balistique","") &amp; IF(AND(H583&lt;0,vit_z&gt;=0),"Apogée","") &amp; IF(AND(Poussee=0,Q581&gt;0),"Fin de propulsion","") &amp; IF(AND(L583&gt;L_rampe,pos_xz&lt;=L_rampe),"Sortie de rampe","")</f>
        <v/>
      </c>
      <c r="Z582" s="424" t="str">
        <f aca="false">IF(ABS(t-T_para)&lt;pas/2,"Para","")</f>
        <v/>
      </c>
      <c r="AA582" s="425" t="str">
        <f aca="false">IF(ABS(t-T_satellite)&lt;pas/2,"Satellite","")</f>
        <v/>
      </c>
      <c r="AB582" s="413"/>
      <c r="AC582" s="421" t="e">
        <f aca="false">IF(ABS(t-ROUND(t,0))&lt;0.001,t,NA())</f>
        <v>#N/A</v>
      </c>
      <c r="AD582" s="426" t="e">
        <f aca="false">IF(ABS(t-ROUND(t,0))&lt;0.001,pos_x,NA())</f>
        <v>#N/A</v>
      </c>
      <c r="AE582" s="427" t="e">
        <f aca="false">IF(t&lt;T_para, pos_z, NA())</f>
        <v>#N/A</v>
      </c>
      <c r="AF582" s="413"/>
      <c r="AG582" s="419" t="n">
        <f aca="false">IF(AND(L581&lt;L_rampe,Poussee&lt;Poids*SIN(M581)),0,(-W581+Poussee)/m-Poids*SIN(M581)/m)</f>
        <v>5.96037058797051</v>
      </c>
      <c r="AH582" s="418" t="n">
        <f aca="false">IF(AND(L581&lt;L_rampe,Poussee&lt;Poids*SIN(M581)), g*SIN(M581), (-W581+Poussee)/m)</f>
        <v>-3.74855021721492</v>
      </c>
    </row>
    <row r="583" customFormat="false" ht="12" hidden="false" customHeight="false" outlineLevel="0" collapsed="false">
      <c r="A583" s="417" t="n">
        <f aca="false">IF(B582+0.01&lt;=T_ini+ROUNDUP(Temps_fin_propu,0), 0.01, IF(K582&gt;0, 0.1, 0.0001))</f>
        <v>0.0001</v>
      </c>
      <c r="B583" s="418" t="n">
        <f aca="false">B582+pas</f>
        <v>16.5233999999999</v>
      </c>
      <c r="C583" s="402"/>
      <c r="D583" s="419" t="n">
        <f aca="false">IF(AND(L582&lt;L_rampe,Poussee&lt;Poids*SIN(M582)),0,(-W582+Poussee)/m*COS(M582)-U582/m*SIN(M582))</f>
        <v>-0.536728628542995</v>
      </c>
      <c r="E583" s="420" t="n">
        <f aca="false">IF(AND(L582&lt;L_rampe,Poussee&lt;Poids*SIN(M582)),0,(-W582+Poussee)/m*SIN(M582)+U582/m*COS(M582)-Poids/m)</f>
        <v>-6.10000836584044</v>
      </c>
      <c r="F583" s="418" t="n">
        <f aca="false">SQRT(acc_x^2+acc_z^2)</f>
        <v>6.12357572697693</v>
      </c>
      <c r="G583" s="419" t="n">
        <f aca="false">G582+acc_x*pas</f>
        <v>10.2746807071155</v>
      </c>
      <c r="H583" s="420" t="n">
        <f aca="false">H582+acc_z*pas</f>
        <v>-71.0219354263312</v>
      </c>
      <c r="I583" s="418" t="n">
        <f aca="false">SQRT(vit_x^2+vit_z^2)</f>
        <v>71.7613013771011</v>
      </c>
      <c r="J583" s="419" t="n">
        <f aca="false">J582+0.5*(vit_x+G582)*pas*(K582&gt;=0)</f>
        <v>211.791153319536</v>
      </c>
      <c r="K583" s="420" t="n">
        <f aca="false">K582+0.5*(vit_z+H582)*pas</f>
        <v>-6.09310386572466</v>
      </c>
      <c r="L583" s="418" t="n">
        <f aca="false">SQRT(pos_x^2+pos_z^2)</f>
        <v>211.878782654464</v>
      </c>
      <c r="M583" s="419" t="n">
        <f aca="false">IF(AND(L582&gt;L_rampe,G583&gt;0),ATAN2(G583,H583),$M$4)</f>
        <v>-1.4271239894489</v>
      </c>
      <c r="N583" s="418" t="n">
        <f aca="false">DEGREES(Beta)</f>
        <v>-81.7681814372943</v>
      </c>
      <c r="O583" s="402"/>
      <c r="P583" s="421" t="n">
        <f aca="false">MATCH(t-pas/2-T_ini,CdP_t)</f>
        <v>23</v>
      </c>
      <c r="Q583" s="418" t="n">
        <f aca="false">(INDEX(CdP,2,i_P+1)-INDEX(CdP,2,i_P+0))/(INDEX(CdP,1,i_P+1)-INDEX(CdP,1,i_P+0))*(t-pas/2-T_ini-INDEX(CdP,1,i_P+0))+INDEX(CdP,2,i_P+0)</f>
        <v>0</v>
      </c>
      <c r="R583" s="419" t="n">
        <f aca="false">Poussee/(g*ISP)</f>
        <v>0</v>
      </c>
      <c r="S583" s="420" t="n">
        <f aca="false">S582-Débit*pas</f>
        <v>1.4843</v>
      </c>
      <c r="T583" s="418" t="n">
        <f aca="false">m*g</f>
        <v>14.560983</v>
      </c>
      <c r="U583" s="422" t="n">
        <f aca="false">IF(pos_xz&lt;L_rampe,Poids*COS(Beta),0)</f>
        <v>0</v>
      </c>
      <c r="V583" s="419" t="n">
        <f aca="false">Rho_moyen*(20000-Alt_rampe-pos_z)/(20000+Alt_rampe+pos_z)</f>
        <v>1.22574663268908</v>
      </c>
      <c r="W583" s="418" t="n">
        <f aca="false">1/2*Rho*Sref*Cx*vit_xz^2</f>
        <v>5.56416584820431</v>
      </c>
      <c r="X583" s="402"/>
      <c r="Y583" s="423" t="str">
        <f aca="false">IF(AND(pos_z&lt;=0,K582&gt;0),"Impact balistique","") &amp; IF(AND(H584&lt;0,vit_z&gt;=0),"Apogée","") &amp; IF(AND(Poussee=0,Q582&gt;0),"Fin de propulsion","") &amp; IF(AND(L584&gt;L_rampe,pos_xz&lt;=L_rampe),"Sortie de rampe","")</f>
        <v/>
      </c>
      <c r="Z583" s="424" t="str">
        <f aca="false">IF(ABS(t-T_para)&lt;pas/2,"Para","")</f>
        <v/>
      </c>
      <c r="AA583" s="425" t="str">
        <f aca="false">IF(ABS(t-T_satellite)&lt;pas/2,"Satellite","")</f>
        <v/>
      </c>
      <c r="AB583" s="413"/>
      <c r="AC583" s="421" t="e">
        <f aca="false">IF(ABS(t-ROUND(t,0))&lt;0.001,t,NA())</f>
        <v>#N/A</v>
      </c>
      <c r="AD583" s="426" t="e">
        <f aca="false">IF(ABS(t-ROUND(t,0))&lt;0.001,pos_x,NA())</f>
        <v>#N/A</v>
      </c>
      <c r="AE583" s="427" t="e">
        <f aca="false">IF(t&lt;T_para, pos_z, NA())</f>
        <v>#N/A</v>
      </c>
      <c r="AF583" s="413"/>
      <c r="AG583" s="419" t="n">
        <f aca="false">IF(AND(L582&lt;L_rampe,Poussee&lt;Poids*SIN(M582)),0,(-W582+Poussee)/m-Poids*SIN(M582)/m)</f>
        <v>5.96030840406575</v>
      </c>
      <c r="AH583" s="418" t="n">
        <f aca="false">IF(AND(L582&lt;L_rampe,Poussee&lt;Poids*SIN(M582)), g*SIN(M582), (-W582+Poussee)/m)</f>
        <v>-3.74861515045644</v>
      </c>
    </row>
    <row r="584" customFormat="false" ht="12" hidden="false" customHeight="false" outlineLevel="0" collapsed="false">
      <c r="A584" s="417" t="n">
        <f aca="false">IF(B583+0.01&lt;=T_ini+ROUNDUP(Temps_fin_propu,0), 0.01, IF(K583&gt;0, 0.1, 0.0001))</f>
        <v>0.0001</v>
      </c>
      <c r="B584" s="418" t="n">
        <f aca="false">B583+pas</f>
        <v>16.5234999999999</v>
      </c>
      <c r="C584" s="402"/>
      <c r="D584" s="419" t="n">
        <f aca="false">IF(AND(L583&lt;L_rampe,Poussee&lt;Poids*SIN(M583)),0,(-W583+Poussee)/m*COS(M583)-U583/m*SIN(M583))</f>
        <v>-0.536730663934315</v>
      </c>
      <c r="E584" s="420" t="n">
        <f aca="false">IF(AND(L583&lt;L_rampe,Poussee&lt;Poids*SIN(M583)),0,(-W583+Poussee)/m*SIN(M583)+U583/m*COS(M583)-Poids/m)</f>
        <v>-6.0999430510891</v>
      </c>
      <c r="F584" s="418" t="n">
        <f aca="false">SQRT(acc_x^2+acc_z^2)</f>
        <v>6.12351084200375</v>
      </c>
      <c r="G584" s="419" t="n">
        <f aca="false">G583+acc_x*pas</f>
        <v>10.2746270340491</v>
      </c>
      <c r="H584" s="420" t="n">
        <f aca="false">H583+acc_z*pas</f>
        <v>-71.0225454206363</v>
      </c>
      <c r="I584" s="418" t="n">
        <f aca="false">SQRT(vit_x^2+vit_z^2)</f>
        <v>71.7618974018605</v>
      </c>
      <c r="J584" s="419" t="n">
        <f aca="false">J583+0.5*(vit_x+G583)*pas*(K583&gt;=0)</f>
        <v>211.791153319536</v>
      </c>
      <c r="K584" s="420" t="n">
        <f aca="false">K583+0.5*(vit_z+H583)*pas</f>
        <v>-6.100206089767</v>
      </c>
      <c r="L584" s="418" t="n">
        <f aca="false">SQRT(pos_x^2+pos_z^2)</f>
        <v>211.8789870156</v>
      </c>
      <c r="M584" s="419" t="n">
        <f aca="false">IF(AND(L583&gt;L_rampe,G584&gt;0),ATAN2(G584,H584),$M$4)</f>
        <v>-1.42712594672964</v>
      </c>
      <c r="N584" s="418" t="n">
        <f aca="false">DEGREES(Beta)</f>
        <v>-81.7682935812202</v>
      </c>
      <c r="O584" s="402"/>
      <c r="P584" s="421" t="n">
        <f aca="false">MATCH(t-pas/2-T_ini,CdP_t)</f>
        <v>23</v>
      </c>
      <c r="Q584" s="418" t="n">
        <f aca="false">(INDEX(CdP,2,i_P+1)-INDEX(CdP,2,i_P+0))/(INDEX(CdP,1,i_P+1)-INDEX(CdP,1,i_P+0))*(t-pas/2-T_ini-INDEX(CdP,1,i_P+0))+INDEX(CdP,2,i_P+0)</f>
        <v>0</v>
      </c>
      <c r="R584" s="419" t="n">
        <f aca="false">Poussee/(g*ISP)</f>
        <v>0</v>
      </c>
      <c r="S584" s="420" t="n">
        <f aca="false">S583-Débit*pas</f>
        <v>1.4843</v>
      </c>
      <c r="T584" s="418" t="n">
        <f aca="false">m*g</f>
        <v>14.560983</v>
      </c>
      <c r="U584" s="422" t="n">
        <f aca="false">IF(pos_xz&lt;L_rampe,Poids*COS(Beta),0)</f>
        <v>0</v>
      </c>
      <c r="V584" s="419" t="n">
        <f aca="false">Rho_moyen*(20000-Alt_rampe-pos_z)/(20000+Alt_rampe+pos_z)</f>
        <v>1.22574750324219</v>
      </c>
      <c r="W584" s="418" t="n">
        <f aca="false">1/2*Rho*Sref*Cx*vit_xz^2</f>
        <v>5.56426222855754</v>
      </c>
      <c r="X584" s="402"/>
      <c r="Y584" s="423" t="str">
        <f aca="false">IF(AND(pos_z&lt;=0,K583&gt;0),"Impact balistique","") &amp; IF(AND(H585&lt;0,vit_z&gt;=0),"Apogée","") &amp; IF(AND(Poussee=0,Q583&gt;0),"Fin de propulsion","") &amp; IF(AND(L585&gt;L_rampe,pos_xz&lt;=L_rampe),"Sortie de rampe","")</f>
        <v/>
      </c>
      <c r="Z584" s="424" t="str">
        <f aca="false">IF(ABS(t-T_para)&lt;pas/2,"Para","")</f>
        <v/>
      </c>
      <c r="AA584" s="425" t="str">
        <f aca="false">IF(ABS(t-T_satellite)&lt;pas/2,"Satellite","")</f>
        <v/>
      </c>
      <c r="AB584" s="413"/>
      <c r="AC584" s="421" t="e">
        <f aca="false">IF(ABS(t-ROUND(t,0))&lt;0.001,t,NA())</f>
        <v>#N/A</v>
      </c>
      <c r="AD584" s="426" t="e">
        <f aca="false">IF(ABS(t-ROUND(t,0))&lt;0.001,pos_x,NA())</f>
        <v>#N/A</v>
      </c>
      <c r="AE584" s="427" t="e">
        <f aca="false">IF(t&lt;T_para, pos_z, NA())</f>
        <v>#N/A</v>
      </c>
      <c r="AF584" s="413"/>
      <c r="AG584" s="419" t="n">
        <f aca="false">IF(AND(L583&lt;L_rampe,Poussee&lt;Poids*SIN(M583)),0,(-W583+Poussee)/m-Poids*SIN(M583)/m)</f>
        <v>5.96024622008301</v>
      </c>
      <c r="AH584" s="418" t="n">
        <f aca="false">IF(AND(L583&lt;L_rampe,Poussee&lt;Poids*SIN(M583)), g*SIN(M583), (-W583+Poussee)/m)</f>
        <v>-3.74868008367872</v>
      </c>
    </row>
    <row r="585" customFormat="false" ht="12" hidden="false" customHeight="false" outlineLevel="0" collapsed="false">
      <c r="A585" s="417" t="n">
        <f aca="false">IF(B584+0.01&lt;=T_ini+ROUNDUP(Temps_fin_propu,0), 0.01, IF(K584&gt;0, 0.1, 0.0001))</f>
        <v>0.0001</v>
      </c>
      <c r="B585" s="418" t="n">
        <f aca="false">B584+pas</f>
        <v>16.5235999999999</v>
      </c>
      <c r="C585" s="402"/>
      <c r="D585" s="419" t="n">
        <f aca="false">IF(AND(L584&lt;L_rampe,Poussee&lt;Poids*SIN(M584)),0,(-W584+Poussee)/m*COS(M584)-U584/m*SIN(M584))</f>
        <v>-0.536732699227812</v>
      </c>
      <c r="E585" s="420" t="n">
        <f aca="false">IF(AND(L584&lt;L_rampe,Poussee&lt;Poids*SIN(M584)),0,(-W584+Poussee)/m*SIN(M584)+U584/m*COS(M584)-Poids/m)</f>
        <v>-6.09987773635758</v>
      </c>
      <c r="F585" s="418" t="n">
        <f aca="false">SQRT(acc_x^2+acc_z^2)</f>
        <v>6.12344595705157</v>
      </c>
      <c r="G585" s="419" t="n">
        <f aca="false">G584+acc_x*pas</f>
        <v>10.2745733607792</v>
      </c>
      <c r="H585" s="420" t="n">
        <f aca="false">H584+acc_z*pas</f>
        <v>-71.0231554084099</v>
      </c>
      <c r="I585" s="418" t="n">
        <f aca="false">SQRT(vit_x^2+vit_z^2)</f>
        <v>71.7624934204016</v>
      </c>
      <c r="J585" s="419" t="n">
        <f aca="false">J584+0.5*(vit_x+G584)*pas*(K584&gt;=0)</f>
        <v>211.791153319536</v>
      </c>
      <c r="K585" s="420" t="n">
        <f aca="false">K584+0.5*(vit_z+H584)*pas</f>
        <v>-6.10730837480846</v>
      </c>
      <c r="L585" s="418" t="n">
        <f aca="false">SQRT(pos_x^2+pos_z^2)</f>
        <v>211.879191616365</v>
      </c>
      <c r="M585" s="419" t="n">
        <f aca="false">IF(AND(L584&gt;L_rampe,G585&gt;0),ATAN2(G585,H585),$M$4)</f>
        <v>-1.42712790396764</v>
      </c>
      <c r="N585" s="418" t="n">
        <f aca="false">DEGREES(Beta)</f>
        <v>-81.7684057226974</v>
      </c>
      <c r="O585" s="402"/>
      <c r="P585" s="421" t="n">
        <f aca="false">MATCH(t-pas/2-T_ini,CdP_t)</f>
        <v>23</v>
      </c>
      <c r="Q585" s="418" t="n">
        <f aca="false">(INDEX(CdP,2,i_P+1)-INDEX(CdP,2,i_P+0))/(INDEX(CdP,1,i_P+1)-INDEX(CdP,1,i_P+0))*(t-pas/2-T_ini-INDEX(CdP,1,i_P+0))+INDEX(CdP,2,i_P+0)</f>
        <v>0</v>
      </c>
      <c r="R585" s="419" t="n">
        <f aca="false">Poussee/(g*ISP)</f>
        <v>0</v>
      </c>
      <c r="S585" s="420" t="n">
        <f aca="false">S584-Débit*pas</f>
        <v>1.4843</v>
      </c>
      <c r="T585" s="418" t="n">
        <f aca="false">m*g</f>
        <v>14.560983</v>
      </c>
      <c r="U585" s="422" t="n">
        <f aca="false">IF(pos_xz&lt;L_rampe,Poids*COS(Beta),0)</f>
        <v>0</v>
      </c>
      <c r="V585" s="419" t="n">
        <f aca="false">Rho_moyen*(20000-Alt_rampe-pos_z)/(20000+Alt_rampe+pos_z)</f>
        <v>1.22574837380339</v>
      </c>
      <c r="W585" s="418" t="n">
        <f aca="false">1/2*Rho*Sref*Cx*vit_xz^2</f>
        <v>5.56435860888215</v>
      </c>
      <c r="X585" s="402"/>
      <c r="Y585" s="423" t="str">
        <f aca="false">IF(AND(pos_z&lt;=0,K584&gt;0),"Impact balistique","") &amp; IF(AND(H586&lt;0,vit_z&gt;=0),"Apogée","") &amp; IF(AND(Poussee=0,Q584&gt;0),"Fin de propulsion","") &amp; IF(AND(L586&gt;L_rampe,pos_xz&lt;=L_rampe),"Sortie de rampe","")</f>
        <v/>
      </c>
      <c r="Z585" s="424" t="str">
        <f aca="false">IF(ABS(t-T_para)&lt;pas/2,"Para","")</f>
        <v/>
      </c>
      <c r="AA585" s="425" t="str">
        <f aca="false">IF(ABS(t-T_satellite)&lt;pas/2,"Satellite","")</f>
        <v/>
      </c>
      <c r="AB585" s="413"/>
      <c r="AC585" s="421" t="e">
        <f aca="false">IF(ABS(t-ROUND(t,0))&lt;0.001,t,NA())</f>
        <v>#N/A</v>
      </c>
      <c r="AD585" s="426" t="e">
        <f aca="false">IF(ABS(t-ROUND(t,0))&lt;0.001,pos_x,NA())</f>
        <v>#N/A</v>
      </c>
      <c r="AE585" s="427" t="e">
        <f aca="false">IF(t&lt;T_para, pos_z, NA())</f>
        <v>#N/A</v>
      </c>
      <c r="AF585" s="413"/>
      <c r="AG585" s="419" t="n">
        <f aca="false">IF(AND(L584&lt;L_rampe,Poussee&lt;Poids*SIN(M584)),0,(-W584+Poussee)/m-Poids*SIN(M584)/m)</f>
        <v>5.96018403602231</v>
      </c>
      <c r="AH585" s="418" t="n">
        <f aca="false">IF(AND(L584&lt;L_rampe,Poussee&lt;Poids*SIN(M584)), g*SIN(M584), (-W584+Poussee)/m)</f>
        <v>-3.74874501688172</v>
      </c>
    </row>
    <row r="586" customFormat="false" ht="12" hidden="false" customHeight="false" outlineLevel="0" collapsed="false">
      <c r="A586" s="417" t="n">
        <f aca="false">IF(B585+0.01&lt;=T_ini+ROUNDUP(Temps_fin_propu,0), 0.01, IF(K585&gt;0, 0.1, 0.0001))</f>
        <v>0.0001</v>
      </c>
      <c r="B586" s="418" t="n">
        <f aca="false">B585+pas</f>
        <v>16.5236999999999</v>
      </c>
      <c r="C586" s="402"/>
      <c r="D586" s="419" t="n">
        <f aca="false">IF(AND(L585&lt;L_rampe,Poussee&lt;Poids*SIN(M585)),0,(-W585+Poussee)/m*COS(M585)-U585/m*SIN(M585))</f>
        <v>-0.536734734423488</v>
      </c>
      <c r="E586" s="420" t="n">
        <f aca="false">IF(AND(L585&lt;L_rampe,Poussee&lt;Poids*SIN(M585)),0,(-W585+Poussee)/m*SIN(M585)+U585/m*COS(M585)-Poids/m)</f>
        <v>-6.0998124216459</v>
      </c>
      <c r="F586" s="418" t="n">
        <f aca="false">SQRT(acc_x^2+acc_z^2)</f>
        <v>6.12338107212039</v>
      </c>
      <c r="G586" s="419" t="n">
        <f aca="false">G585+acc_x*pas</f>
        <v>10.2745196873058</v>
      </c>
      <c r="H586" s="420" t="n">
        <f aca="false">H585+acc_z*pas</f>
        <v>-71.0237653896521</v>
      </c>
      <c r="I586" s="418" t="n">
        <f aca="false">SQRT(vit_x^2+vit_z^2)</f>
        <v>71.7630894327242</v>
      </c>
      <c r="J586" s="419" t="n">
        <f aca="false">J585+0.5*(vit_x+G585)*pas*(K585&gt;=0)</f>
        <v>211.791153319536</v>
      </c>
      <c r="K586" s="420" t="n">
        <f aca="false">K585+0.5*(vit_z+H585)*pas</f>
        <v>-6.11441072084836</v>
      </c>
      <c r="L586" s="418" t="n">
        <f aca="false">SQRT(pos_x^2+pos_z^2)</f>
        <v>211.879396456764</v>
      </c>
      <c r="M586" s="419" t="n">
        <f aca="false">IF(AND(L585&gt;L_rampe,G586&gt;0),ATAN2(G586,H586),$M$4)</f>
        <v>-1.42712986116291</v>
      </c>
      <c r="N586" s="418" t="n">
        <f aca="false">DEGREES(Beta)</f>
        <v>-81.7685178617261</v>
      </c>
      <c r="O586" s="402"/>
      <c r="P586" s="421" t="n">
        <f aca="false">MATCH(t-pas/2-T_ini,CdP_t)</f>
        <v>23</v>
      </c>
      <c r="Q586" s="418" t="n">
        <f aca="false">(INDEX(CdP,2,i_P+1)-INDEX(CdP,2,i_P+0))/(INDEX(CdP,1,i_P+1)-INDEX(CdP,1,i_P+0))*(t-pas/2-T_ini-INDEX(CdP,1,i_P+0))+INDEX(CdP,2,i_P+0)</f>
        <v>0</v>
      </c>
      <c r="R586" s="419" t="n">
        <f aca="false">Poussee/(g*ISP)</f>
        <v>0</v>
      </c>
      <c r="S586" s="420" t="n">
        <f aca="false">S585-Débit*pas</f>
        <v>1.4843</v>
      </c>
      <c r="T586" s="418" t="n">
        <f aca="false">m*g</f>
        <v>14.560983</v>
      </c>
      <c r="U586" s="422" t="n">
        <f aca="false">IF(pos_xz&lt;L_rampe,Poids*COS(Beta),0)</f>
        <v>0</v>
      </c>
      <c r="V586" s="419" t="n">
        <f aca="false">Rho_moyen*(20000-Alt_rampe-pos_z)/(20000+Alt_rampe+pos_z)</f>
        <v>1.2257492443727</v>
      </c>
      <c r="W586" s="418" t="n">
        <f aca="false">1/2*Rho*Sref*Cx*vit_xz^2</f>
        <v>5.56445498917812</v>
      </c>
      <c r="X586" s="402"/>
      <c r="Y586" s="423" t="str">
        <f aca="false">IF(AND(pos_z&lt;=0,K585&gt;0),"Impact balistique","") &amp; IF(AND(H587&lt;0,vit_z&gt;=0),"Apogée","") &amp; IF(AND(Poussee=0,Q585&gt;0),"Fin de propulsion","") &amp; IF(AND(L587&gt;L_rampe,pos_xz&lt;=L_rampe),"Sortie de rampe","")</f>
        <v/>
      </c>
      <c r="Z586" s="424" t="str">
        <f aca="false">IF(ABS(t-T_para)&lt;pas/2,"Para","")</f>
        <v/>
      </c>
      <c r="AA586" s="425" t="str">
        <f aca="false">IF(ABS(t-T_satellite)&lt;pas/2,"Satellite","")</f>
        <v/>
      </c>
      <c r="AB586" s="413"/>
      <c r="AC586" s="421" t="e">
        <f aca="false">IF(ABS(t-ROUND(t,0))&lt;0.001,t,NA())</f>
        <v>#N/A</v>
      </c>
      <c r="AD586" s="426" t="e">
        <f aca="false">IF(ABS(t-ROUND(t,0))&lt;0.001,pos_x,NA())</f>
        <v>#N/A</v>
      </c>
      <c r="AE586" s="427" t="e">
        <f aca="false">IF(t&lt;T_para, pos_z, NA())</f>
        <v>#N/A</v>
      </c>
      <c r="AF586" s="413"/>
      <c r="AG586" s="419" t="n">
        <f aca="false">IF(AND(L585&lt;L_rampe,Poussee&lt;Poids*SIN(M585)),0,(-W585+Poussee)/m-Poids*SIN(M585)/m)</f>
        <v>5.96012185188367</v>
      </c>
      <c r="AH586" s="418" t="n">
        <f aca="false">IF(AND(L585&lt;L_rampe,Poussee&lt;Poids*SIN(M585)), g*SIN(M585), (-W585+Poussee)/m)</f>
        <v>-3.74880995006545</v>
      </c>
    </row>
    <row r="587" customFormat="false" ht="12" hidden="false" customHeight="false" outlineLevel="0" collapsed="false">
      <c r="A587" s="417" t="n">
        <f aca="false">IF(B586+0.01&lt;=T_ini+ROUNDUP(Temps_fin_propu,0), 0.01, IF(K586&gt;0, 0.1, 0.0001))</f>
        <v>0.0001</v>
      </c>
      <c r="B587" s="418" t="n">
        <f aca="false">B586+pas</f>
        <v>16.5237999999999</v>
      </c>
      <c r="C587" s="402"/>
      <c r="D587" s="419" t="n">
        <f aca="false">IF(AND(L586&lt;L_rampe,Poussee&lt;Poids*SIN(M586)),0,(-W586+Poussee)/m*COS(M586)-U586/m*SIN(M586))</f>
        <v>-0.536736769521343</v>
      </c>
      <c r="E587" s="420" t="n">
        <f aca="false">IF(AND(L586&lt;L_rampe,Poussee&lt;Poids*SIN(M586)),0,(-W586+Poussee)/m*SIN(M586)+U586/m*COS(M586)-Poids/m)</f>
        <v>-6.09974710695407</v>
      </c>
      <c r="F587" s="418" t="n">
        <f aca="false">SQRT(acc_x^2+acc_z^2)</f>
        <v>6.12331618721022</v>
      </c>
      <c r="G587" s="419" t="n">
        <f aca="false">G586+acc_x*pas</f>
        <v>10.2744660136288</v>
      </c>
      <c r="H587" s="420" t="n">
        <f aca="false">H586+acc_z*pas</f>
        <v>-71.0243753643628</v>
      </c>
      <c r="I587" s="418" t="n">
        <f aca="false">SQRT(vit_x^2+vit_z^2)</f>
        <v>71.7636854388284</v>
      </c>
      <c r="J587" s="419" t="n">
        <f aca="false">J586+0.5*(vit_x+G586)*pas*(K586&gt;=0)</f>
        <v>211.791153319536</v>
      </c>
      <c r="K587" s="420" t="n">
        <f aca="false">K586+0.5*(vit_z+H586)*pas</f>
        <v>-6.12151312788606</v>
      </c>
      <c r="L587" s="418" t="n">
        <f aca="false">SQRT(pos_x^2+pos_z^2)</f>
        <v>211.879601536802</v>
      </c>
      <c r="M587" s="419" t="n">
        <f aca="false">IF(AND(L586&gt;L_rampe,G587&gt;0),ATAN2(G587,H587),$M$4)</f>
        <v>-1.42713181831545</v>
      </c>
      <c r="N587" s="418" t="n">
        <f aca="false">DEGREES(Beta)</f>
        <v>-81.7686299983064</v>
      </c>
      <c r="O587" s="402"/>
      <c r="P587" s="421" t="n">
        <f aca="false">MATCH(t-pas/2-T_ini,CdP_t)</f>
        <v>23</v>
      </c>
      <c r="Q587" s="418" t="n">
        <f aca="false">(INDEX(CdP,2,i_P+1)-INDEX(CdP,2,i_P+0))/(INDEX(CdP,1,i_P+1)-INDEX(CdP,1,i_P+0))*(t-pas/2-T_ini-INDEX(CdP,1,i_P+0))+INDEX(CdP,2,i_P+0)</f>
        <v>0</v>
      </c>
      <c r="R587" s="419" t="n">
        <f aca="false">Poussee/(g*ISP)</f>
        <v>0</v>
      </c>
      <c r="S587" s="420" t="n">
        <f aca="false">S586-Débit*pas</f>
        <v>1.4843</v>
      </c>
      <c r="T587" s="418" t="n">
        <f aca="false">m*g</f>
        <v>14.560983</v>
      </c>
      <c r="U587" s="422" t="n">
        <f aca="false">IF(pos_xz&lt;L_rampe,Poids*COS(Beta),0)</f>
        <v>0</v>
      </c>
      <c r="V587" s="419" t="n">
        <f aca="false">Rho_moyen*(20000-Alt_rampe-pos_z)/(20000+Alt_rampe+pos_z)</f>
        <v>1.22575011495009</v>
      </c>
      <c r="W587" s="418" t="n">
        <f aca="false">1/2*Rho*Sref*Cx*vit_xz^2</f>
        <v>5.56455136944542</v>
      </c>
      <c r="X587" s="402"/>
      <c r="Y587" s="423" t="str">
        <f aca="false">IF(AND(pos_z&lt;=0,K586&gt;0),"Impact balistique","") &amp; IF(AND(H588&lt;0,vit_z&gt;=0),"Apogée","") &amp; IF(AND(Poussee=0,Q586&gt;0),"Fin de propulsion","") &amp; IF(AND(L588&gt;L_rampe,pos_xz&lt;=L_rampe),"Sortie de rampe","")</f>
        <v/>
      </c>
      <c r="Z587" s="424" t="str">
        <f aca="false">IF(ABS(t-T_para)&lt;pas/2,"Para","")</f>
        <v/>
      </c>
      <c r="AA587" s="425" t="str">
        <f aca="false">IF(ABS(t-T_satellite)&lt;pas/2,"Satellite","")</f>
        <v/>
      </c>
      <c r="AB587" s="413"/>
      <c r="AC587" s="421" t="e">
        <f aca="false">IF(ABS(t-ROUND(t,0))&lt;0.001,t,NA())</f>
        <v>#N/A</v>
      </c>
      <c r="AD587" s="426" t="e">
        <f aca="false">IF(ABS(t-ROUND(t,0))&lt;0.001,pos_x,NA())</f>
        <v>#N/A</v>
      </c>
      <c r="AE587" s="427" t="e">
        <f aca="false">IF(t&lt;T_para, pos_z, NA())</f>
        <v>#N/A</v>
      </c>
      <c r="AF587" s="413"/>
      <c r="AG587" s="419" t="n">
        <f aca="false">IF(AND(L586&lt;L_rampe,Poussee&lt;Poids*SIN(M586)),0,(-W586+Poussee)/m-Poids*SIN(M586)/m)</f>
        <v>5.9600596676671</v>
      </c>
      <c r="AH587" s="418" t="n">
        <f aca="false">IF(AND(L586&lt;L_rampe,Poussee&lt;Poids*SIN(M586)), g*SIN(M586), (-W586+Poussee)/m)</f>
        <v>-3.74887488322989</v>
      </c>
    </row>
    <row r="588" customFormat="false" ht="12" hidden="false" customHeight="false" outlineLevel="0" collapsed="false">
      <c r="A588" s="417" t="n">
        <f aca="false">IF(B587+0.01&lt;=T_ini+ROUNDUP(Temps_fin_propu,0), 0.01, IF(K587&gt;0, 0.1, 0.0001))</f>
        <v>0.0001</v>
      </c>
      <c r="B588" s="418" t="n">
        <f aca="false">B587+pas</f>
        <v>16.5238999999999</v>
      </c>
      <c r="C588" s="402"/>
      <c r="D588" s="419" t="n">
        <f aca="false">IF(AND(L587&lt;L_rampe,Poussee&lt;Poids*SIN(M587)),0,(-W587+Poussee)/m*COS(M587)-U587/m*SIN(M587))</f>
        <v>-0.536738804521377</v>
      </c>
      <c r="E588" s="420" t="n">
        <f aca="false">IF(AND(L587&lt;L_rampe,Poussee&lt;Poids*SIN(M587)),0,(-W587+Poussee)/m*SIN(M587)+U587/m*COS(M587)-Poids/m)</f>
        <v>-6.09968179228211</v>
      </c>
      <c r="F588" s="418" t="n">
        <f aca="false">SQRT(acc_x^2+acc_z^2)</f>
        <v>6.12325130232109</v>
      </c>
      <c r="G588" s="419" t="n">
        <f aca="false">G587+acc_x*pas</f>
        <v>10.2744123397484</v>
      </c>
      <c r="H588" s="420" t="n">
        <f aca="false">H587+acc_z*pas</f>
        <v>-71.024985332542</v>
      </c>
      <c r="I588" s="418" t="n">
        <f aca="false">SQRT(vit_x^2+vit_z^2)</f>
        <v>71.7642814387142</v>
      </c>
      <c r="J588" s="419" t="n">
        <f aca="false">J587+0.5*(vit_x+G587)*pas*(K587&gt;=0)</f>
        <v>211.791153319536</v>
      </c>
      <c r="K588" s="420" t="n">
        <f aca="false">K587+0.5*(vit_z+H587)*pas</f>
        <v>-6.1286155959209</v>
      </c>
      <c r="L588" s="418" t="n">
        <f aca="false">SQRT(pos_x^2+pos_z^2)</f>
        <v>211.879806856486</v>
      </c>
      <c r="M588" s="419" t="n">
        <f aca="false">IF(AND(L587&gt;L_rampe,G588&gt;0),ATAN2(G588,H588),$M$4)</f>
        <v>-1.42713377542526</v>
      </c>
      <c r="N588" s="418" t="n">
        <f aca="false">DEGREES(Beta)</f>
        <v>-81.7687421324382</v>
      </c>
      <c r="O588" s="402"/>
      <c r="P588" s="421" t="n">
        <f aca="false">MATCH(t-pas/2-T_ini,CdP_t)</f>
        <v>23</v>
      </c>
      <c r="Q588" s="418" t="n">
        <f aca="false">(INDEX(CdP,2,i_P+1)-INDEX(CdP,2,i_P+0))/(INDEX(CdP,1,i_P+1)-INDEX(CdP,1,i_P+0))*(t-pas/2-T_ini-INDEX(CdP,1,i_P+0))+INDEX(CdP,2,i_P+0)</f>
        <v>0</v>
      </c>
      <c r="R588" s="419" t="n">
        <f aca="false">Poussee/(g*ISP)</f>
        <v>0</v>
      </c>
      <c r="S588" s="420" t="n">
        <f aca="false">S587-Débit*pas</f>
        <v>1.4843</v>
      </c>
      <c r="T588" s="418" t="n">
        <f aca="false">m*g</f>
        <v>14.560983</v>
      </c>
      <c r="U588" s="422" t="n">
        <f aca="false">IF(pos_xz&lt;L_rampe,Poids*COS(Beta),0)</f>
        <v>0</v>
      </c>
      <c r="V588" s="419" t="n">
        <f aca="false">Rho_moyen*(20000-Alt_rampe-pos_z)/(20000+Alt_rampe+pos_z)</f>
        <v>1.22575098553558</v>
      </c>
      <c r="W588" s="418" t="n">
        <f aca="false">1/2*Rho*Sref*Cx*vit_xz^2</f>
        <v>5.56464774968404</v>
      </c>
      <c r="X588" s="402"/>
      <c r="Y588" s="423" t="str">
        <f aca="false">IF(AND(pos_z&lt;=0,K587&gt;0),"Impact balistique","") &amp; IF(AND(H589&lt;0,vit_z&gt;=0),"Apogée","") &amp; IF(AND(Poussee=0,Q587&gt;0),"Fin de propulsion","") &amp; IF(AND(L589&gt;L_rampe,pos_xz&lt;=L_rampe),"Sortie de rampe","")</f>
        <v/>
      </c>
      <c r="Z588" s="424" t="str">
        <f aca="false">IF(ABS(t-T_para)&lt;pas/2,"Para","")</f>
        <v/>
      </c>
      <c r="AA588" s="425" t="str">
        <f aca="false">IF(ABS(t-T_satellite)&lt;pas/2,"Satellite","")</f>
        <v/>
      </c>
      <c r="AB588" s="413"/>
      <c r="AC588" s="421" t="e">
        <f aca="false">IF(ABS(t-ROUND(t,0))&lt;0.001,t,NA())</f>
        <v>#N/A</v>
      </c>
      <c r="AD588" s="426" t="e">
        <f aca="false">IF(ABS(t-ROUND(t,0))&lt;0.001,pos_x,NA())</f>
        <v>#N/A</v>
      </c>
      <c r="AE588" s="427" t="e">
        <f aca="false">IF(t&lt;T_para, pos_z, NA())</f>
        <v>#N/A</v>
      </c>
      <c r="AF588" s="413"/>
      <c r="AG588" s="419" t="n">
        <f aca="false">IF(AND(L587&lt;L_rampe,Poussee&lt;Poids*SIN(M587)),0,(-W587+Poussee)/m-Poids*SIN(M587)/m)</f>
        <v>5.95999748337264</v>
      </c>
      <c r="AH588" s="418" t="n">
        <f aca="false">IF(AND(L587&lt;L_rampe,Poussee&lt;Poids*SIN(M587)), g*SIN(M587), (-W587+Poussee)/m)</f>
        <v>-3.74893981637501</v>
      </c>
    </row>
    <row r="589" customFormat="false" ht="12" hidden="false" customHeight="false" outlineLevel="0" collapsed="false">
      <c r="A589" s="417" t="n">
        <f aca="false">IF(B588+0.01&lt;=T_ini+ROUNDUP(Temps_fin_propu,0), 0.01, IF(K588&gt;0, 0.1, 0.0001))</f>
        <v>0.0001</v>
      </c>
      <c r="B589" s="418" t="n">
        <f aca="false">B588+pas</f>
        <v>16.5239999999999</v>
      </c>
      <c r="C589" s="402"/>
      <c r="D589" s="419" t="n">
        <f aca="false">IF(AND(L588&lt;L_rampe,Poussee&lt;Poids*SIN(M588)),0,(-W588+Poussee)/m*COS(M588)-U588/m*SIN(M588))</f>
        <v>-0.536740839423591</v>
      </c>
      <c r="E589" s="420" t="n">
        <f aca="false">IF(AND(L588&lt;L_rampe,Poussee&lt;Poids*SIN(M588)),0,(-W588+Poussee)/m*SIN(M588)+U588/m*COS(M588)-Poids/m)</f>
        <v>-6.09961647763005</v>
      </c>
      <c r="F589" s="418" t="n">
        <f aca="false">SQRT(acc_x^2+acc_z^2)</f>
        <v>6.12318641745302</v>
      </c>
      <c r="G589" s="419" t="n">
        <f aca="false">G588+acc_x*pas</f>
        <v>10.2743586656644</v>
      </c>
      <c r="H589" s="420" t="n">
        <f aca="false">H588+acc_z*pas</f>
        <v>-71.0255952941898</v>
      </c>
      <c r="I589" s="418" t="n">
        <f aca="false">SQRT(vit_x^2+vit_z^2)</f>
        <v>71.7648774323815</v>
      </c>
      <c r="J589" s="419" t="n">
        <f aca="false">J588+0.5*(vit_x+G588)*pas*(K588&gt;=0)</f>
        <v>211.791153319536</v>
      </c>
      <c r="K589" s="420" t="n">
        <f aca="false">K588+0.5*(vit_z+H588)*pas</f>
        <v>-6.13571812495224</v>
      </c>
      <c r="L589" s="418" t="n">
        <f aca="false">SQRT(pos_x^2+pos_z^2)</f>
        <v>211.88001241582</v>
      </c>
      <c r="M589" s="419" t="n">
        <f aca="false">IF(AND(L588&gt;L_rampe,G589&gt;0),ATAN2(G589,H589),$M$4)</f>
        <v>-1.42713573249233</v>
      </c>
      <c r="N589" s="418" t="n">
        <f aca="false">DEGREES(Beta)</f>
        <v>-81.7688542641218</v>
      </c>
      <c r="O589" s="402"/>
      <c r="P589" s="421" t="n">
        <f aca="false">MATCH(t-pas/2-T_ini,CdP_t)</f>
        <v>23</v>
      </c>
      <c r="Q589" s="418" t="n">
        <f aca="false">(INDEX(CdP,2,i_P+1)-INDEX(CdP,2,i_P+0))/(INDEX(CdP,1,i_P+1)-INDEX(CdP,1,i_P+0))*(t-pas/2-T_ini-INDEX(CdP,1,i_P+0))+INDEX(CdP,2,i_P+0)</f>
        <v>0</v>
      </c>
      <c r="R589" s="419" t="n">
        <f aca="false">Poussee/(g*ISP)</f>
        <v>0</v>
      </c>
      <c r="S589" s="420" t="n">
        <f aca="false">S588-Débit*pas</f>
        <v>1.4843</v>
      </c>
      <c r="T589" s="418" t="n">
        <f aca="false">m*g</f>
        <v>14.560983</v>
      </c>
      <c r="U589" s="422" t="n">
        <f aca="false">IF(pos_xz&lt;L_rampe,Poids*COS(Beta),0)</f>
        <v>0</v>
      </c>
      <c r="V589" s="419" t="n">
        <f aca="false">Rho_moyen*(20000-Alt_rampe-pos_z)/(20000+Alt_rampe+pos_z)</f>
        <v>1.22575185612917</v>
      </c>
      <c r="W589" s="418" t="n">
        <f aca="false">1/2*Rho*Sref*Cx*vit_xz^2</f>
        <v>5.56474412989395</v>
      </c>
      <c r="X589" s="402"/>
      <c r="Y589" s="423" t="str">
        <f aca="false">IF(AND(pos_z&lt;=0,K588&gt;0),"Impact balistique","") &amp; IF(AND(H590&lt;0,vit_z&gt;=0),"Apogée","") &amp; IF(AND(Poussee=0,Q588&gt;0),"Fin de propulsion","") &amp; IF(AND(L590&gt;L_rampe,pos_xz&lt;=L_rampe),"Sortie de rampe","")</f>
        <v/>
      </c>
      <c r="Z589" s="424" t="str">
        <f aca="false">IF(ABS(t-T_para)&lt;pas/2,"Para","")</f>
        <v/>
      </c>
      <c r="AA589" s="425" t="str">
        <f aca="false">IF(ABS(t-T_satellite)&lt;pas/2,"Satellite","")</f>
        <v/>
      </c>
      <c r="AB589" s="413"/>
      <c r="AC589" s="421" t="e">
        <f aca="false">IF(ABS(t-ROUND(t,0))&lt;0.001,t,NA())</f>
        <v>#N/A</v>
      </c>
      <c r="AD589" s="426" t="e">
        <f aca="false">IF(ABS(t-ROUND(t,0))&lt;0.001,pos_x,NA())</f>
        <v>#N/A</v>
      </c>
      <c r="AE589" s="427" t="e">
        <f aca="false">IF(t&lt;T_para, pos_z, NA())</f>
        <v>#N/A</v>
      </c>
      <c r="AF589" s="413"/>
      <c r="AG589" s="419" t="n">
        <f aca="false">IF(AND(L588&lt;L_rampe,Poussee&lt;Poids*SIN(M588)),0,(-W588+Poussee)/m-Poids*SIN(M588)/m)</f>
        <v>5.9599352990003</v>
      </c>
      <c r="AH589" s="418" t="n">
        <f aca="false">IF(AND(L588&lt;L_rampe,Poussee&lt;Poids*SIN(M588)), g*SIN(M588), (-W588+Poussee)/m)</f>
        <v>-3.74900474950081</v>
      </c>
    </row>
    <row r="590" customFormat="false" ht="12" hidden="false" customHeight="false" outlineLevel="0" collapsed="false">
      <c r="A590" s="417" t="n">
        <f aca="false">IF(B589+0.01&lt;=T_ini+ROUNDUP(Temps_fin_propu,0), 0.01, IF(K589&gt;0, 0.1, 0.0001))</f>
        <v>0.0001</v>
      </c>
      <c r="B590" s="418" t="n">
        <f aca="false">B589+pas</f>
        <v>16.5240999999999</v>
      </c>
      <c r="C590" s="402"/>
      <c r="D590" s="419" t="n">
        <f aca="false">IF(AND(L589&lt;L_rampe,Poussee&lt;Poids*SIN(M589)),0,(-W589+Poussee)/m*COS(M589)-U589/m*SIN(M589))</f>
        <v>-0.536742874227986</v>
      </c>
      <c r="E590" s="420" t="n">
        <f aca="false">IF(AND(L589&lt;L_rampe,Poussee&lt;Poids*SIN(M589)),0,(-W589+Poussee)/m*SIN(M589)+U589/m*COS(M589)-Poids/m)</f>
        <v>-6.09955116299788</v>
      </c>
      <c r="F590" s="418" t="n">
        <f aca="false">SQRT(acc_x^2+acc_z^2)</f>
        <v>6.12312153260601</v>
      </c>
      <c r="G590" s="419" t="n">
        <f aca="false">G589+acc_x*pas</f>
        <v>10.274304991377</v>
      </c>
      <c r="H590" s="420" t="n">
        <f aca="false">H589+acc_z*pas</f>
        <v>-71.0262052493061</v>
      </c>
      <c r="I590" s="418" t="n">
        <f aca="false">SQRT(vit_x^2+vit_z^2)</f>
        <v>71.7654734198304</v>
      </c>
      <c r="J590" s="419" t="n">
        <f aca="false">J589+0.5*(vit_x+G589)*pas*(K589&gt;=0)</f>
        <v>211.791153319536</v>
      </c>
      <c r="K590" s="420" t="n">
        <f aca="false">K589+0.5*(vit_z+H589)*pas</f>
        <v>-6.14282071497942</v>
      </c>
      <c r="L590" s="418" t="n">
        <f aca="false">SQRT(pos_x^2+pos_z^2)</f>
        <v>211.88021821481</v>
      </c>
      <c r="M590" s="419" t="n">
        <f aca="false">IF(AND(L589&gt;L_rampe,G590&gt;0),ATAN2(G590,H590),$M$4)</f>
        <v>-1.42713768951667</v>
      </c>
      <c r="N590" s="418" t="n">
        <f aca="false">DEGREES(Beta)</f>
        <v>-81.7689663933571</v>
      </c>
      <c r="O590" s="402"/>
      <c r="P590" s="421" t="n">
        <f aca="false">MATCH(t-pas/2-T_ini,CdP_t)</f>
        <v>23</v>
      </c>
      <c r="Q590" s="418" t="n">
        <f aca="false">(INDEX(CdP,2,i_P+1)-INDEX(CdP,2,i_P+0))/(INDEX(CdP,1,i_P+1)-INDEX(CdP,1,i_P+0))*(t-pas/2-T_ini-INDEX(CdP,1,i_P+0))+INDEX(CdP,2,i_P+0)</f>
        <v>0</v>
      </c>
      <c r="R590" s="419" t="n">
        <f aca="false">Poussee/(g*ISP)</f>
        <v>0</v>
      </c>
      <c r="S590" s="420" t="n">
        <f aca="false">S589-Débit*pas</f>
        <v>1.4843</v>
      </c>
      <c r="T590" s="418" t="n">
        <f aca="false">m*g</f>
        <v>14.560983</v>
      </c>
      <c r="U590" s="422" t="n">
        <f aca="false">IF(pos_xz&lt;L_rampe,Poids*COS(Beta),0)</f>
        <v>0</v>
      </c>
      <c r="V590" s="419" t="n">
        <f aca="false">Rho_moyen*(20000-Alt_rampe-pos_z)/(20000+Alt_rampe+pos_z)</f>
        <v>1.22575272673085</v>
      </c>
      <c r="W590" s="418" t="n">
        <f aca="false">1/2*Rho*Sref*Cx*vit_xz^2</f>
        <v>5.56484051007512</v>
      </c>
      <c r="X590" s="402"/>
      <c r="Y590" s="423" t="str">
        <f aca="false">IF(AND(pos_z&lt;=0,K589&gt;0),"Impact balistique","") &amp; IF(AND(H591&lt;0,vit_z&gt;=0),"Apogée","") &amp; IF(AND(Poussee=0,Q589&gt;0),"Fin de propulsion","") &amp; IF(AND(L591&gt;L_rampe,pos_xz&lt;=L_rampe),"Sortie de rampe","")</f>
        <v/>
      </c>
      <c r="Z590" s="424" t="str">
        <f aca="false">IF(ABS(t-T_para)&lt;pas/2,"Para","")</f>
        <v/>
      </c>
      <c r="AA590" s="425" t="str">
        <f aca="false">IF(ABS(t-T_satellite)&lt;pas/2,"Satellite","")</f>
        <v/>
      </c>
      <c r="AB590" s="413"/>
      <c r="AC590" s="421" t="e">
        <f aca="false">IF(ABS(t-ROUND(t,0))&lt;0.001,t,NA())</f>
        <v>#N/A</v>
      </c>
      <c r="AD590" s="426" t="e">
        <f aca="false">IF(ABS(t-ROUND(t,0))&lt;0.001,pos_x,NA())</f>
        <v>#N/A</v>
      </c>
      <c r="AE590" s="427" t="e">
        <f aca="false">IF(t&lt;T_para, pos_z, NA())</f>
        <v>#N/A</v>
      </c>
      <c r="AF590" s="413"/>
      <c r="AG590" s="419" t="n">
        <f aca="false">IF(AND(L589&lt;L_rampe,Poussee&lt;Poids*SIN(M589)),0,(-W589+Poussee)/m-Poids*SIN(M589)/m)</f>
        <v>5.9598731145501</v>
      </c>
      <c r="AH590" s="418" t="n">
        <f aca="false">IF(AND(L589&lt;L_rampe,Poussee&lt;Poids*SIN(M589)), g*SIN(M589), (-W589+Poussee)/m)</f>
        <v>-3.74906968260726</v>
      </c>
    </row>
    <row r="591" customFormat="false" ht="12" hidden="false" customHeight="false" outlineLevel="0" collapsed="false">
      <c r="A591" s="417" t="n">
        <f aca="false">IF(B590+0.01&lt;=T_ini+ROUNDUP(Temps_fin_propu,0), 0.01, IF(K590&gt;0, 0.1, 0.0001))</f>
        <v>0.0001</v>
      </c>
      <c r="B591" s="418" t="n">
        <f aca="false">B590+pas</f>
        <v>16.5241999999999</v>
      </c>
      <c r="C591" s="402"/>
      <c r="D591" s="419" t="n">
        <f aca="false">IF(AND(L590&lt;L_rampe,Poussee&lt;Poids*SIN(M590)),0,(-W590+Poussee)/m*COS(M590)-U590/m*SIN(M590))</f>
        <v>-0.536744908934564</v>
      </c>
      <c r="E591" s="420" t="n">
        <f aca="false">IF(AND(L590&lt;L_rampe,Poussee&lt;Poids*SIN(M590)),0,(-W590+Poussee)/m*SIN(M590)+U590/m*COS(M590)-Poids/m)</f>
        <v>-6.09948584838564</v>
      </c>
      <c r="F591" s="418" t="n">
        <f aca="false">SQRT(acc_x^2+acc_z^2)</f>
        <v>6.12305664778008</v>
      </c>
      <c r="G591" s="419" t="n">
        <f aca="false">G590+acc_x*pas</f>
        <v>10.2742513168861</v>
      </c>
      <c r="H591" s="420" t="n">
        <f aca="false">H590+acc_z*pas</f>
        <v>-71.0268151978909</v>
      </c>
      <c r="I591" s="418" t="n">
        <f aca="false">SQRT(vit_x^2+vit_z^2)</f>
        <v>71.7660694010609</v>
      </c>
      <c r="J591" s="419" t="n">
        <f aca="false">J590+0.5*(vit_x+G590)*pas*(K590&gt;=0)</f>
        <v>211.791153319536</v>
      </c>
      <c r="K591" s="420" t="n">
        <f aca="false">K590+0.5*(vit_z+H590)*pas</f>
        <v>-6.14992336600178</v>
      </c>
      <c r="L591" s="418" t="n">
        <f aca="false">SQRT(pos_x^2+pos_z^2)</f>
        <v>211.880424253462</v>
      </c>
      <c r="M591" s="419" t="n">
        <f aca="false">IF(AND(L590&gt;L_rampe,G591&gt;0),ATAN2(G591,H591),$M$4)</f>
        <v>-1.42713964649829</v>
      </c>
      <c r="N591" s="418" t="n">
        <f aca="false">DEGREES(Beta)</f>
        <v>-81.7690785201444</v>
      </c>
      <c r="O591" s="402"/>
      <c r="P591" s="421" t="n">
        <f aca="false">MATCH(t-pas/2-T_ini,CdP_t)</f>
        <v>23</v>
      </c>
      <c r="Q591" s="418" t="n">
        <f aca="false">(INDEX(CdP,2,i_P+1)-INDEX(CdP,2,i_P+0))/(INDEX(CdP,1,i_P+1)-INDEX(CdP,1,i_P+0))*(t-pas/2-T_ini-INDEX(CdP,1,i_P+0))+INDEX(CdP,2,i_P+0)</f>
        <v>0</v>
      </c>
      <c r="R591" s="419" t="n">
        <f aca="false">Poussee/(g*ISP)</f>
        <v>0</v>
      </c>
      <c r="S591" s="420" t="n">
        <f aca="false">S590-Débit*pas</f>
        <v>1.4843</v>
      </c>
      <c r="T591" s="418" t="n">
        <f aca="false">m*g</f>
        <v>14.560983</v>
      </c>
      <c r="U591" s="422" t="n">
        <f aca="false">IF(pos_xz&lt;L_rampe,Poids*COS(Beta),0)</f>
        <v>0</v>
      </c>
      <c r="V591" s="419" t="n">
        <f aca="false">Rho_moyen*(20000-Alt_rampe-pos_z)/(20000+Alt_rampe+pos_z)</f>
        <v>1.22575359734063</v>
      </c>
      <c r="W591" s="418" t="n">
        <f aca="false">1/2*Rho*Sref*Cx*vit_xz^2</f>
        <v>5.56493689022752</v>
      </c>
      <c r="X591" s="402"/>
      <c r="Y591" s="423" t="str">
        <f aca="false">IF(AND(pos_z&lt;=0,K590&gt;0),"Impact balistique","") &amp; IF(AND(H592&lt;0,vit_z&gt;=0),"Apogée","") &amp; IF(AND(Poussee=0,Q590&gt;0),"Fin de propulsion","") &amp; IF(AND(L592&gt;L_rampe,pos_xz&lt;=L_rampe),"Sortie de rampe","")</f>
        <v/>
      </c>
      <c r="Z591" s="424" t="str">
        <f aca="false">IF(ABS(t-T_para)&lt;pas/2,"Para","")</f>
        <v/>
      </c>
      <c r="AA591" s="425" t="str">
        <f aca="false">IF(ABS(t-T_satellite)&lt;pas/2,"Satellite","")</f>
        <v/>
      </c>
      <c r="AB591" s="413"/>
      <c r="AC591" s="421" t="e">
        <f aca="false">IF(ABS(t-ROUND(t,0))&lt;0.001,t,NA())</f>
        <v>#N/A</v>
      </c>
      <c r="AD591" s="426" t="e">
        <f aca="false">IF(ABS(t-ROUND(t,0))&lt;0.001,pos_x,NA())</f>
        <v>#N/A</v>
      </c>
      <c r="AE591" s="427" t="e">
        <f aca="false">IF(t&lt;T_para, pos_z, NA())</f>
        <v>#N/A</v>
      </c>
      <c r="AF591" s="413"/>
      <c r="AG591" s="419" t="n">
        <f aca="false">IF(AND(L590&lt;L_rampe,Poussee&lt;Poids*SIN(M590)),0,(-W590+Poussee)/m-Poids*SIN(M590)/m)</f>
        <v>5.95981093002207</v>
      </c>
      <c r="AH591" s="418" t="n">
        <f aca="false">IF(AND(L590&lt;L_rampe,Poussee&lt;Poids*SIN(M590)), g*SIN(M590), (-W590+Poussee)/m)</f>
        <v>-3.74913461569435</v>
      </c>
    </row>
    <row r="592" customFormat="false" ht="12" hidden="false" customHeight="false" outlineLevel="0" collapsed="false">
      <c r="A592" s="417" t="n">
        <f aca="false">IF(B591+0.01&lt;=T_ini+ROUNDUP(Temps_fin_propu,0), 0.01, IF(K591&gt;0, 0.1, 0.0001))</f>
        <v>0.0001</v>
      </c>
      <c r="B592" s="418" t="n">
        <f aca="false">B591+pas</f>
        <v>16.5242999999999</v>
      </c>
      <c r="C592" s="402"/>
      <c r="D592" s="419" t="n">
        <f aca="false">IF(AND(L591&lt;L_rampe,Poussee&lt;Poids*SIN(M591)),0,(-W591+Poussee)/m*COS(M591)-U591/m*SIN(M591))</f>
        <v>-0.536746943543323</v>
      </c>
      <c r="E592" s="420" t="n">
        <f aca="false">IF(AND(L591&lt;L_rampe,Poussee&lt;Poids*SIN(M591)),0,(-W591+Poussee)/m*SIN(M591)+U591/m*COS(M591)-Poids/m)</f>
        <v>-6.09942053379333</v>
      </c>
      <c r="F592" s="418" t="n">
        <f aca="false">SQRT(acc_x^2+acc_z^2)</f>
        <v>6.12299176297526</v>
      </c>
      <c r="G592" s="419" t="n">
        <f aca="false">G591+acc_x*pas</f>
        <v>10.2741976421918</v>
      </c>
      <c r="H592" s="420" t="n">
        <f aca="false">H591+acc_z*pas</f>
        <v>-71.0274251399443</v>
      </c>
      <c r="I592" s="418" t="n">
        <f aca="false">SQRT(vit_x^2+vit_z^2)</f>
        <v>71.7666653760728</v>
      </c>
      <c r="J592" s="419" t="n">
        <f aca="false">J591+0.5*(vit_x+G591)*pas*(K591&gt;=0)</f>
        <v>211.791153319536</v>
      </c>
      <c r="K592" s="420" t="n">
        <f aca="false">K591+0.5*(vit_z+H591)*pas</f>
        <v>-6.15702607801867</v>
      </c>
      <c r="L592" s="418" t="n">
        <f aca="false">SQRT(pos_x^2+pos_z^2)</f>
        <v>211.88063053178</v>
      </c>
      <c r="M592" s="419" t="n">
        <f aca="false">IF(AND(L591&gt;L_rampe,G592&gt;0),ATAN2(G592,H592),$M$4)</f>
        <v>-1.42714160343718</v>
      </c>
      <c r="N592" s="418" t="n">
        <f aca="false">DEGREES(Beta)</f>
        <v>-81.7691906444835</v>
      </c>
      <c r="O592" s="402"/>
      <c r="P592" s="421" t="n">
        <f aca="false">MATCH(t-pas/2-T_ini,CdP_t)</f>
        <v>23</v>
      </c>
      <c r="Q592" s="418" t="n">
        <f aca="false">(INDEX(CdP,2,i_P+1)-INDEX(CdP,2,i_P+0))/(INDEX(CdP,1,i_P+1)-INDEX(CdP,1,i_P+0))*(t-pas/2-T_ini-INDEX(CdP,1,i_P+0))+INDEX(CdP,2,i_P+0)</f>
        <v>0</v>
      </c>
      <c r="R592" s="419" t="n">
        <f aca="false">Poussee/(g*ISP)</f>
        <v>0</v>
      </c>
      <c r="S592" s="420" t="n">
        <f aca="false">S591-Débit*pas</f>
        <v>1.4843</v>
      </c>
      <c r="T592" s="418" t="n">
        <f aca="false">m*g</f>
        <v>14.560983</v>
      </c>
      <c r="U592" s="422" t="n">
        <f aca="false">IF(pos_xz&lt;L_rampe,Poids*COS(Beta),0)</f>
        <v>0</v>
      </c>
      <c r="V592" s="419" t="n">
        <f aca="false">Rho_moyen*(20000-Alt_rampe-pos_z)/(20000+Alt_rampe+pos_z)</f>
        <v>1.2257544679585</v>
      </c>
      <c r="W592" s="418" t="n">
        <f aca="false">1/2*Rho*Sref*Cx*vit_xz^2</f>
        <v>5.56503327035114</v>
      </c>
      <c r="X592" s="402"/>
      <c r="Y592" s="423" t="str">
        <f aca="false">IF(AND(pos_z&lt;=0,K591&gt;0),"Impact balistique","") &amp; IF(AND(H593&lt;0,vit_z&gt;=0),"Apogée","") &amp; IF(AND(Poussee=0,Q591&gt;0),"Fin de propulsion","") &amp; IF(AND(L593&gt;L_rampe,pos_xz&lt;=L_rampe),"Sortie de rampe","")</f>
        <v/>
      </c>
      <c r="Z592" s="424" t="str">
        <f aca="false">IF(ABS(t-T_para)&lt;pas/2,"Para","")</f>
        <v/>
      </c>
      <c r="AA592" s="425" t="str">
        <f aca="false">IF(ABS(t-T_satellite)&lt;pas/2,"Satellite","")</f>
        <v/>
      </c>
      <c r="AB592" s="413"/>
      <c r="AC592" s="421" t="e">
        <f aca="false">IF(ABS(t-ROUND(t,0))&lt;0.001,t,NA())</f>
        <v>#N/A</v>
      </c>
      <c r="AD592" s="426" t="e">
        <f aca="false">IF(ABS(t-ROUND(t,0))&lt;0.001,pos_x,NA())</f>
        <v>#N/A</v>
      </c>
      <c r="AE592" s="427" t="e">
        <f aca="false">IF(t&lt;T_para, pos_z, NA())</f>
        <v>#N/A</v>
      </c>
      <c r="AF592" s="413"/>
      <c r="AG592" s="419" t="n">
        <f aca="false">IF(AND(L591&lt;L_rampe,Poussee&lt;Poids*SIN(M591)),0,(-W591+Poussee)/m-Poids*SIN(M591)/m)</f>
        <v>5.95974874541622</v>
      </c>
      <c r="AH592" s="418" t="n">
        <f aca="false">IF(AND(L591&lt;L_rampe,Poussee&lt;Poids*SIN(M591)), g*SIN(M591), (-W591+Poussee)/m)</f>
        <v>-3.74919954876206</v>
      </c>
    </row>
    <row r="593" customFormat="false" ht="12" hidden="false" customHeight="false" outlineLevel="0" collapsed="false">
      <c r="A593" s="417" t="n">
        <f aca="false">IF(B592+0.01&lt;=T_ini+ROUNDUP(Temps_fin_propu,0), 0.01, IF(K592&gt;0, 0.1, 0.0001))</f>
        <v>0.0001</v>
      </c>
      <c r="B593" s="418" t="n">
        <f aca="false">B592+pas</f>
        <v>16.5243999999999</v>
      </c>
      <c r="C593" s="402"/>
      <c r="D593" s="419" t="n">
        <f aca="false">IF(AND(L592&lt;L_rampe,Poussee&lt;Poids*SIN(M592)),0,(-W592+Poussee)/m*COS(M592)-U592/m*SIN(M592))</f>
        <v>-0.536748978054265</v>
      </c>
      <c r="E593" s="420" t="n">
        <f aca="false">IF(AND(L592&lt;L_rampe,Poussee&lt;Poids*SIN(M592)),0,(-W592+Poussee)/m*SIN(M592)+U592/m*COS(M592)-Poids/m)</f>
        <v>-6.09935521922098</v>
      </c>
      <c r="F593" s="418" t="n">
        <f aca="false">SQRT(acc_x^2+acc_z^2)</f>
        <v>6.12292687819155</v>
      </c>
      <c r="G593" s="419" t="n">
        <f aca="false">G592+acc_x*pas</f>
        <v>10.2741439672939</v>
      </c>
      <c r="H593" s="420" t="n">
        <f aca="false">H592+acc_z*pas</f>
        <v>-71.0280350754662</v>
      </c>
      <c r="I593" s="418" t="n">
        <f aca="false">SQRT(vit_x^2+vit_z^2)</f>
        <v>71.7672613448663</v>
      </c>
      <c r="J593" s="419" t="n">
        <f aca="false">J592+0.5*(vit_x+G592)*pas*(K592&gt;=0)</f>
        <v>211.791153319536</v>
      </c>
      <c r="K593" s="420" t="n">
        <f aca="false">K592+0.5*(vit_z+H592)*pas</f>
        <v>-6.16412885102944</v>
      </c>
      <c r="L593" s="418" t="n">
        <f aca="false">SQRT(pos_x^2+pos_z^2)</f>
        <v>211.88083704977</v>
      </c>
      <c r="M593" s="419" t="n">
        <f aca="false">IF(AND(L592&gt;L_rampe,G593&gt;0),ATAN2(G593,H593),$M$4)</f>
        <v>-1.42714356033335</v>
      </c>
      <c r="N593" s="418" t="n">
        <f aca="false">DEGREES(Beta)</f>
        <v>-81.7693027663747</v>
      </c>
      <c r="O593" s="402"/>
      <c r="P593" s="421" t="n">
        <f aca="false">MATCH(t-pas/2-T_ini,CdP_t)</f>
        <v>23</v>
      </c>
      <c r="Q593" s="418" t="n">
        <f aca="false">(INDEX(CdP,2,i_P+1)-INDEX(CdP,2,i_P+0))/(INDEX(CdP,1,i_P+1)-INDEX(CdP,1,i_P+0))*(t-pas/2-T_ini-INDEX(CdP,1,i_P+0))+INDEX(CdP,2,i_P+0)</f>
        <v>0</v>
      </c>
      <c r="R593" s="419" t="n">
        <f aca="false">Poussee/(g*ISP)</f>
        <v>0</v>
      </c>
      <c r="S593" s="420" t="n">
        <f aca="false">S592-Débit*pas</f>
        <v>1.4843</v>
      </c>
      <c r="T593" s="418" t="n">
        <f aca="false">m*g</f>
        <v>14.560983</v>
      </c>
      <c r="U593" s="422" t="n">
        <f aca="false">IF(pos_xz&lt;L_rampe,Poids*COS(Beta),0)</f>
        <v>0</v>
      </c>
      <c r="V593" s="419" t="n">
        <f aca="false">Rho_moyen*(20000-Alt_rampe-pos_z)/(20000+Alt_rampe+pos_z)</f>
        <v>1.22575533858447</v>
      </c>
      <c r="W593" s="418" t="n">
        <f aca="false">1/2*Rho*Sref*Cx*vit_xz^2</f>
        <v>5.56512965044596</v>
      </c>
      <c r="X593" s="402"/>
      <c r="Y593" s="423" t="str">
        <f aca="false">IF(AND(pos_z&lt;=0,K592&gt;0),"Impact balistique","") &amp; IF(AND(H594&lt;0,vit_z&gt;=0),"Apogée","") &amp; IF(AND(Poussee=0,Q592&gt;0),"Fin de propulsion","") &amp; IF(AND(L594&gt;L_rampe,pos_xz&lt;=L_rampe),"Sortie de rampe","")</f>
        <v/>
      </c>
      <c r="Z593" s="424" t="str">
        <f aca="false">IF(ABS(t-T_para)&lt;pas/2,"Para","")</f>
        <v/>
      </c>
      <c r="AA593" s="425" t="str">
        <f aca="false">IF(ABS(t-T_satellite)&lt;pas/2,"Satellite","")</f>
        <v/>
      </c>
      <c r="AB593" s="413"/>
      <c r="AC593" s="421" t="e">
        <f aca="false">IF(ABS(t-ROUND(t,0))&lt;0.001,t,NA())</f>
        <v>#N/A</v>
      </c>
      <c r="AD593" s="426" t="e">
        <f aca="false">IF(ABS(t-ROUND(t,0))&lt;0.001,pos_x,NA())</f>
        <v>#N/A</v>
      </c>
      <c r="AE593" s="427" t="e">
        <f aca="false">IF(t&lt;T_para, pos_z, NA())</f>
        <v>#N/A</v>
      </c>
      <c r="AF593" s="413"/>
      <c r="AG593" s="419" t="n">
        <f aca="false">IF(AND(L592&lt;L_rampe,Poussee&lt;Poids*SIN(M592)),0,(-W592+Poussee)/m-Poids*SIN(M592)/m)</f>
        <v>5.95968656073258</v>
      </c>
      <c r="AH593" s="418" t="n">
        <f aca="false">IF(AND(L592&lt;L_rampe,Poussee&lt;Poids*SIN(M592)), g*SIN(M592), (-W592+Poussee)/m)</f>
        <v>-3.74926448181038</v>
      </c>
    </row>
    <row r="594" customFormat="false" ht="12" hidden="false" customHeight="false" outlineLevel="0" collapsed="false">
      <c r="A594" s="417" t="n">
        <f aca="false">IF(B593+0.01&lt;=T_ini+ROUNDUP(Temps_fin_propu,0), 0.01, IF(K593&gt;0, 0.1, 0.0001))</f>
        <v>0.0001</v>
      </c>
      <c r="B594" s="418" t="n">
        <f aca="false">B593+pas</f>
        <v>16.5244999999999</v>
      </c>
      <c r="C594" s="402"/>
      <c r="D594" s="419" t="n">
        <f aca="false">IF(AND(L593&lt;L_rampe,Poussee&lt;Poids*SIN(M593)),0,(-W593+Poussee)/m*COS(M593)-U593/m*SIN(M593))</f>
        <v>-0.536751012467392</v>
      </c>
      <c r="E594" s="420" t="n">
        <f aca="false">IF(AND(L593&lt;L_rampe,Poussee&lt;Poids*SIN(M593)),0,(-W593+Poussee)/m*SIN(M593)+U593/m*COS(M593)-Poids/m)</f>
        <v>-6.0992899046686</v>
      </c>
      <c r="F594" s="418" t="n">
        <f aca="false">SQRT(acc_x^2+acc_z^2)</f>
        <v>6.12286199342898</v>
      </c>
      <c r="G594" s="419" t="n">
        <f aca="false">G593+acc_x*pas</f>
        <v>10.2740902921927</v>
      </c>
      <c r="H594" s="420" t="n">
        <f aca="false">H593+acc_z*pas</f>
        <v>-71.0286450044567</v>
      </c>
      <c r="I594" s="418" t="n">
        <f aca="false">SQRT(vit_x^2+vit_z^2)</f>
        <v>71.7678573074413</v>
      </c>
      <c r="J594" s="419" t="n">
        <f aca="false">J593+0.5*(vit_x+G593)*pas*(K593&gt;=0)</f>
        <v>211.791153319536</v>
      </c>
      <c r="K594" s="420" t="n">
        <f aca="false">K593+0.5*(vit_z+H593)*pas</f>
        <v>-6.17123168503343</v>
      </c>
      <c r="L594" s="418" t="n">
        <f aca="false">SQRT(pos_x^2+pos_z^2)</f>
        <v>211.881043807438</v>
      </c>
      <c r="M594" s="419" t="n">
        <f aca="false">IF(AND(L593&gt;L_rampe,G594&gt;0),ATAN2(G594,H594),$M$4)</f>
        <v>-1.42714551718679</v>
      </c>
      <c r="N594" s="418" t="n">
        <f aca="false">DEGREES(Beta)</f>
        <v>-81.7694148858181</v>
      </c>
      <c r="O594" s="402"/>
      <c r="P594" s="421" t="n">
        <f aca="false">MATCH(t-pas/2-T_ini,CdP_t)</f>
        <v>23</v>
      </c>
      <c r="Q594" s="418" t="n">
        <f aca="false">(INDEX(CdP,2,i_P+1)-INDEX(CdP,2,i_P+0))/(INDEX(CdP,1,i_P+1)-INDEX(CdP,1,i_P+0))*(t-pas/2-T_ini-INDEX(CdP,1,i_P+0))+INDEX(CdP,2,i_P+0)</f>
        <v>0</v>
      </c>
      <c r="R594" s="419" t="n">
        <f aca="false">Poussee/(g*ISP)</f>
        <v>0</v>
      </c>
      <c r="S594" s="420" t="n">
        <f aca="false">S593-Débit*pas</f>
        <v>1.4843</v>
      </c>
      <c r="T594" s="418" t="n">
        <f aca="false">m*g</f>
        <v>14.560983</v>
      </c>
      <c r="U594" s="422" t="n">
        <f aca="false">IF(pos_xz&lt;L_rampe,Poids*COS(Beta),0)</f>
        <v>0</v>
      </c>
      <c r="V594" s="419" t="n">
        <f aca="false">Rho_moyen*(20000-Alt_rampe-pos_z)/(20000+Alt_rampe+pos_z)</f>
        <v>1.22575620921853</v>
      </c>
      <c r="W594" s="418" t="n">
        <f aca="false">1/2*Rho*Sref*Cx*vit_xz^2</f>
        <v>5.56522603051194</v>
      </c>
      <c r="X594" s="402"/>
      <c r="Y594" s="423" t="str">
        <f aca="false">IF(AND(pos_z&lt;=0,K593&gt;0),"Impact balistique","") &amp; IF(AND(H595&lt;0,vit_z&gt;=0),"Apogée","") &amp; IF(AND(Poussee=0,Q593&gt;0),"Fin de propulsion","") &amp; IF(AND(L595&gt;L_rampe,pos_xz&lt;=L_rampe),"Sortie de rampe","")</f>
        <v/>
      </c>
      <c r="Z594" s="424" t="str">
        <f aca="false">IF(ABS(t-T_para)&lt;pas/2,"Para","")</f>
        <v/>
      </c>
      <c r="AA594" s="425" t="str">
        <f aca="false">IF(ABS(t-T_satellite)&lt;pas/2,"Satellite","")</f>
        <v/>
      </c>
      <c r="AB594" s="413"/>
      <c r="AC594" s="421" t="e">
        <f aca="false">IF(ABS(t-ROUND(t,0))&lt;0.001,t,NA())</f>
        <v>#N/A</v>
      </c>
      <c r="AD594" s="426" t="e">
        <f aca="false">IF(ABS(t-ROUND(t,0))&lt;0.001,pos_x,NA())</f>
        <v>#N/A</v>
      </c>
      <c r="AE594" s="427" t="e">
        <f aca="false">IF(t&lt;T_para, pos_z, NA())</f>
        <v>#N/A</v>
      </c>
      <c r="AF594" s="413"/>
      <c r="AG594" s="419" t="n">
        <f aca="false">IF(AND(L593&lt;L_rampe,Poussee&lt;Poids*SIN(M593)),0,(-W593+Poussee)/m-Poids*SIN(M593)/m)</f>
        <v>5.95962437597115</v>
      </c>
      <c r="AH594" s="418" t="n">
        <f aca="false">IF(AND(L593&lt;L_rampe,Poussee&lt;Poids*SIN(M593)), g*SIN(M593), (-W593+Poussee)/m)</f>
        <v>-3.74932941483929</v>
      </c>
    </row>
    <row r="595" customFormat="false" ht="12" hidden="false" customHeight="false" outlineLevel="0" collapsed="false">
      <c r="A595" s="417" t="n">
        <f aca="false">IF(B594+0.01&lt;=T_ini+ROUNDUP(Temps_fin_propu,0), 0.01, IF(K594&gt;0, 0.1, 0.0001))</f>
        <v>0.0001</v>
      </c>
      <c r="B595" s="418" t="n">
        <f aca="false">B594+pas</f>
        <v>16.5245999999999</v>
      </c>
      <c r="C595" s="402"/>
      <c r="D595" s="419" t="n">
        <f aca="false">IF(AND(L594&lt;L_rampe,Poussee&lt;Poids*SIN(M594)),0,(-W594+Poussee)/m*COS(M594)-U594/m*SIN(M594))</f>
        <v>-0.536753046782702</v>
      </c>
      <c r="E595" s="420" t="n">
        <f aca="false">IF(AND(L594&lt;L_rampe,Poussee&lt;Poids*SIN(M594)),0,(-W594+Poussee)/m*SIN(M594)+U594/m*COS(M594)-Poids/m)</f>
        <v>-6.0992245901362</v>
      </c>
      <c r="F595" s="418" t="n">
        <f aca="false">SQRT(acc_x^2+acc_z^2)</f>
        <v>6.12279710868755</v>
      </c>
      <c r="G595" s="419" t="n">
        <f aca="false">G594+acc_x*pas</f>
        <v>10.274036616888</v>
      </c>
      <c r="H595" s="420" t="n">
        <f aca="false">H594+acc_z*pas</f>
        <v>-71.0292549269157</v>
      </c>
      <c r="I595" s="418" t="n">
        <f aca="false">SQRT(vit_x^2+vit_z^2)</f>
        <v>71.7684532637978</v>
      </c>
      <c r="J595" s="419" t="n">
        <f aca="false">J594+0.5*(vit_x+G594)*pas*(K594&gt;=0)</f>
        <v>211.791153319536</v>
      </c>
      <c r="K595" s="420" t="n">
        <f aca="false">K594+0.5*(vit_z+H594)*pas</f>
        <v>-6.17833458003</v>
      </c>
      <c r="L595" s="418" t="n">
        <f aca="false">SQRT(pos_x^2+pos_z^2)</f>
        <v>211.881250804789</v>
      </c>
      <c r="M595" s="419" t="n">
        <f aca="false">IF(AND(L594&gt;L_rampe,G595&gt;0),ATAN2(G595,H595),$M$4)</f>
        <v>-1.42714747399751</v>
      </c>
      <c r="N595" s="418" t="n">
        <f aca="false">DEGREES(Beta)</f>
        <v>-81.7695270028136</v>
      </c>
      <c r="O595" s="402"/>
      <c r="P595" s="421" t="n">
        <f aca="false">MATCH(t-pas/2-T_ini,CdP_t)</f>
        <v>23</v>
      </c>
      <c r="Q595" s="418" t="n">
        <f aca="false">(INDEX(CdP,2,i_P+1)-INDEX(CdP,2,i_P+0))/(INDEX(CdP,1,i_P+1)-INDEX(CdP,1,i_P+0))*(t-pas/2-T_ini-INDEX(CdP,1,i_P+0))+INDEX(CdP,2,i_P+0)</f>
        <v>0</v>
      </c>
      <c r="R595" s="419" t="n">
        <f aca="false">Poussee/(g*ISP)</f>
        <v>0</v>
      </c>
      <c r="S595" s="420" t="n">
        <f aca="false">S594-Débit*pas</f>
        <v>1.4843</v>
      </c>
      <c r="T595" s="418" t="n">
        <f aca="false">m*g</f>
        <v>14.560983</v>
      </c>
      <c r="U595" s="422" t="n">
        <f aca="false">IF(pos_xz&lt;L_rampe,Poids*COS(Beta),0)</f>
        <v>0</v>
      </c>
      <c r="V595" s="419" t="n">
        <f aca="false">Rho_moyen*(20000-Alt_rampe-pos_z)/(20000+Alt_rampe+pos_z)</f>
        <v>1.22575707986069</v>
      </c>
      <c r="W595" s="418" t="n">
        <f aca="false">1/2*Rho*Sref*Cx*vit_xz^2</f>
        <v>5.56532241054906</v>
      </c>
      <c r="X595" s="402"/>
      <c r="Y595" s="423" t="str">
        <f aca="false">IF(AND(pos_z&lt;=0,K594&gt;0),"Impact balistique","") &amp; IF(AND(H596&lt;0,vit_z&gt;=0),"Apogée","") &amp; IF(AND(Poussee=0,Q594&gt;0),"Fin de propulsion","") &amp; IF(AND(L596&gt;L_rampe,pos_xz&lt;=L_rampe),"Sortie de rampe","")</f>
        <v/>
      </c>
      <c r="Z595" s="424" t="str">
        <f aca="false">IF(ABS(t-T_para)&lt;pas/2,"Para","")</f>
        <v/>
      </c>
      <c r="AA595" s="425" t="str">
        <f aca="false">IF(ABS(t-T_satellite)&lt;pas/2,"Satellite","")</f>
        <v/>
      </c>
      <c r="AB595" s="413"/>
      <c r="AC595" s="421" t="e">
        <f aca="false">IF(ABS(t-ROUND(t,0))&lt;0.001,t,NA())</f>
        <v>#N/A</v>
      </c>
      <c r="AD595" s="426" t="e">
        <f aca="false">IF(ABS(t-ROUND(t,0))&lt;0.001,pos_x,NA())</f>
        <v>#N/A</v>
      </c>
      <c r="AE595" s="427" t="e">
        <f aca="false">IF(t&lt;T_para, pos_z, NA())</f>
        <v>#N/A</v>
      </c>
      <c r="AF595" s="413"/>
      <c r="AG595" s="419" t="n">
        <f aca="false">IF(AND(L594&lt;L_rampe,Poussee&lt;Poids*SIN(M594)),0,(-W594+Poussee)/m-Poids*SIN(M594)/m)</f>
        <v>5.95956219113198</v>
      </c>
      <c r="AH595" s="418" t="n">
        <f aca="false">IF(AND(L594&lt;L_rampe,Poussee&lt;Poids*SIN(M594)), g*SIN(M594), (-W594+Poussee)/m)</f>
        <v>-3.74939434784878</v>
      </c>
    </row>
    <row r="596" customFormat="false" ht="12" hidden="false" customHeight="false" outlineLevel="0" collapsed="false">
      <c r="A596" s="417" t="n">
        <f aca="false">IF(B595+0.01&lt;=T_ini+ROUNDUP(Temps_fin_propu,0), 0.01, IF(K595&gt;0, 0.1, 0.0001))</f>
        <v>0.0001</v>
      </c>
      <c r="B596" s="418" t="n">
        <f aca="false">B595+pas</f>
        <v>16.5246999999999</v>
      </c>
      <c r="C596" s="402"/>
      <c r="D596" s="419" t="n">
        <f aca="false">IF(AND(L595&lt;L_rampe,Poussee&lt;Poids*SIN(M595)),0,(-W595+Poussee)/m*COS(M595)-U595/m*SIN(M595))</f>
        <v>-0.536755081000197</v>
      </c>
      <c r="E596" s="420" t="n">
        <f aca="false">IF(AND(L595&lt;L_rampe,Poussee&lt;Poids*SIN(M595)),0,(-W595+Poussee)/m*SIN(M595)+U595/m*COS(M595)-Poids/m)</f>
        <v>-6.09915927562381</v>
      </c>
      <c r="F596" s="418" t="n">
        <f aca="false">SQRT(acc_x^2+acc_z^2)</f>
        <v>6.12273222396729</v>
      </c>
      <c r="G596" s="419" t="n">
        <f aca="false">G595+acc_x*pas</f>
        <v>10.2739829413799</v>
      </c>
      <c r="H596" s="420" t="n">
        <f aca="false">H595+acc_z*pas</f>
        <v>-71.0298648428433</v>
      </c>
      <c r="I596" s="418" t="n">
        <f aca="false">SQRT(vit_x^2+vit_z^2)</f>
        <v>71.7690492139359</v>
      </c>
      <c r="J596" s="419" t="n">
        <f aca="false">J595+0.5*(vit_x+G595)*pas*(K595&gt;=0)</f>
        <v>211.791153319536</v>
      </c>
      <c r="K596" s="420" t="n">
        <f aca="false">K595+0.5*(vit_z+H595)*pas</f>
        <v>-6.18543753601849</v>
      </c>
      <c r="L596" s="418" t="n">
        <f aca="false">SQRT(pos_x^2+pos_z^2)</f>
        <v>211.881458041829</v>
      </c>
      <c r="M596" s="419" t="n">
        <f aca="false">IF(AND(L595&gt;L_rampe,G596&gt;0),ATAN2(G596,H596),$M$4)</f>
        <v>-1.42714943076551</v>
      </c>
      <c r="N596" s="418" t="n">
        <f aca="false">DEGREES(Beta)</f>
        <v>-81.7696391173614</v>
      </c>
      <c r="O596" s="402"/>
      <c r="P596" s="421" t="n">
        <f aca="false">MATCH(t-pas/2-T_ini,CdP_t)</f>
        <v>23</v>
      </c>
      <c r="Q596" s="418" t="n">
        <f aca="false">(INDEX(CdP,2,i_P+1)-INDEX(CdP,2,i_P+0))/(INDEX(CdP,1,i_P+1)-INDEX(CdP,1,i_P+0))*(t-pas/2-T_ini-INDEX(CdP,1,i_P+0))+INDEX(CdP,2,i_P+0)</f>
        <v>0</v>
      </c>
      <c r="R596" s="419" t="n">
        <f aca="false">Poussee/(g*ISP)</f>
        <v>0</v>
      </c>
      <c r="S596" s="420" t="n">
        <f aca="false">S595-Débit*pas</f>
        <v>1.4843</v>
      </c>
      <c r="T596" s="418" t="n">
        <f aca="false">m*g</f>
        <v>14.560983</v>
      </c>
      <c r="U596" s="422" t="n">
        <f aca="false">IF(pos_xz&lt;L_rampe,Poids*COS(Beta),0)</f>
        <v>0</v>
      </c>
      <c r="V596" s="419" t="n">
        <f aca="false">Rho_moyen*(20000-Alt_rampe-pos_z)/(20000+Alt_rampe+pos_z)</f>
        <v>1.22575795051094</v>
      </c>
      <c r="W596" s="418" t="n">
        <f aca="false">1/2*Rho*Sref*Cx*vit_xz^2</f>
        <v>5.5654187905573</v>
      </c>
      <c r="X596" s="402"/>
      <c r="Y596" s="423" t="str">
        <f aca="false">IF(AND(pos_z&lt;=0,K595&gt;0),"Impact balistique","") &amp; IF(AND(H597&lt;0,vit_z&gt;=0),"Apogée","") &amp; IF(AND(Poussee=0,Q595&gt;0),"Fin de propulsion","") &amp; IF(AND(L597&gt;L_rampe,pos_xz&lt;=L_rampe),"Sortie de rampe","")</f>
        <v/>
      </c>
      <c r="Z596" s="424" t="str">
        <f aca="false">IF(ABS(t-T_para)&lt;pas/2,"Para","")</f>
        <v/>
      </c>
      <c r="AA596" s="425" t="str">
        <f aca="false">IF(ABS(t-T_satellite)&lt;pas/2,"Satellite","")</f>
        <v/>
      </c>
      <c r="AB596" s="413"/>
      <c r="AC596" s="421" t="e">
        <f aca="false">IF(ABS(t-ROUND(t,0))&lt;0.001,t,NA())</f>
        <v>#N/A</v>
      </c>
      <c r="AD596" s="426" t="e">
        <f aca="false">IF(ABS(t-ROUND(t,0))&lt;0.001,pos_x,NA())</f>
        <v>#N/A</v>
      </c>
      <c r="AE596" s="427" t="e">
        <f aca="false">IF(t&lt;T_para, pos_z, NA())</f>
        <v>#N/A</v>
      </c>
      <c r="AF596" s="413"/>
      <c r="AG596" s="419" t="n">
        <f aca="false">IF(AND(L595&lt;L_rampe,Poussee&lt;Poids*SIN(M595)),0,(-W595+Poussee)/m-Poids*SIN(M595)/m)</f>
        <v>5.95950000621507</v>
      </c>
      <c r="AH596" s="418" t="n">
        <f aca="false">IF(AND(L595&lt;L_rampe,Poussee&lt;Poids*SIN(M595)), g*SIN(M595), (-W595+Poussee)/m)</f>
        <v>-3.74945928083882</v>
      </c>
    </row>
    <row r="597" customFormat="false" ht="12" hidden="false" customHeight="false" outlineLevel="0" collapsed="false">
      <c r="A597" s="417" t="n">
        <f aca="false">IF(B596+0.01&lt;=T_ini+ROUNDUP(Temps_fin_propu,0), 0.01, IF(K596&gt;0, 0.1, 0.0001))</f>
        <v>0.0001</v>
      </c>
      <c r="B597" s="418" t="n">
        <f aca="false">B596+pas</f>
        <v>16.5247999999999</v>
      </c>
      <c r="C597" s="402"/>
      <c r="D597" s="419" t="n">
        <f aca="false">IF(AND(L596&lt;L_rampe,Poussee&lt;Poids*SIN(M596)),0,(-W596+Poussee)/m*COS(M596)-U596/m*SIN(M596))</f>
        <v>-0.536757115119879</v>
      </c>
      <c r="E597" s="420" t="n">
        <f aca="false">IF(AND(L596&lt;L_rampe,Poussee&lt;Poids*SIN(M596)),0,(-W596+Poussee)/m*SIN(M596)+U596/m*COS(M596)-Poids/m)</f>
        <v>-6.09909396113143</v>
      </c>
      <c r="F597" s="418" t="n">
        <f aca="false">SQRT(acc_x^2+acc_z^2)</f>
        <v>6.12266733926821</v>
      </c>
      <c r="G597" s="419" t="n">
        <f aca="false">G596+acc_x*pas</f>
        <v>10.2739292656684</v>
      </c>
      <c r="H597" s="420" t="n">
        <f aca="false">H596+acc_z*pas</f>
        <v>-71.0304747522394</v>
      </c>
      <c r="I597" s="418" t="n">
        <f aca="false">SQRT(vit_x^2+vit_z^2)</f>
        <v>71.7696451578554</v>
      </c>
      <c r="J597" s="419" t="n">
        <f aca="false">J596+0.5*(vit_x+G596)*pas*(K596&gt;=0)</f>
        <v>211.791153319536</v>
      </c>
      <c r="K597" s="420" t="n">
        <f aca="false">K596+0.5*(vit_z+H596)*pas</f>
        <v>-6.19254055299825</v>
      </c>
      <c r="L597" s="418" t="n">
        <f aca="false">SQRT(pos_x^2+pos_z^2)</f>
        <v>211.881665518562</v>
      </c>
      <c r="M597" s="419" t="n">
        <f aca="false">IF(AND(L596&gt;L_rampe,G597&gt;0),ATAN2(G597,H597),$M$4)</f>
        <v>-1.42715138749079</v>
      </c>
      <c r="N597" s="418" t="n">
        <f aca="false">DEGREES(Beta)</f>
        <v>-81.7697512294617</v>
      </c>
      <c r="O597" s="402"/>
      <c r="P597" s="421" t="n">
        <f aca="false">MATCH(t-pas/2-T_ini,CdP_t)</f>
        <v>23</v>
      </c>
      <c r="Q597" s="418" t="n">
        <f aca="false">(INDEX(CdP,2,i_P+1)-INDEX(CdP,2,i_P+0))/(INDEX(CdP,1,i_P+1)-INDEX(CdP,1,i_P+0))*(t-pas/2-T_ini-INDEX(CdP,1,i_P+0))+INDEX(CdP,2,i_P+0)</f>
        <v>0</v>
      </c>
      <c r="R597" s="419" t="n">
        <f aca="false">Poussee/(g*ISP)</f>
        <v>0</v>
      </c>
      <c r="S597" s="420" t="n">
        <f aca="false">S596-Débit*pas</f>
        <v>1.4843</v>
      </c>
      <c r="T597" s="418" t="n">
        <f aca="false">m*g</f>
        <v>14.560983</v>
      </c>
      <c r="U597" s="422" t="n">
        <f aca="false">IF(pos_xz&lt;L_rampe,Poids*COS(Beta),0)</f>
        <v>0</v>
      </c>
      <c r="V597" s="419" t="n">
        <f aca="false">Rho_moyen*(20000-Alt_rampe-pos_z)/(20000+Alt_rampe+pos_z)</f>
        <v>1.22575882116929</v>
      </c>
      <c r="W597" s="418" t="n">
        <f aca="false">1/2*Rho*Sref*Cx*vit_xz^2</f>
        <v>5.56551517053663</v>
      </c>
      <c r="X597" s="402"/>
      <c r="Y597" s="423" t="str">
        <f aca="false">IF(AND(pos_z&lt;=0,K596&gt;0),"Impact balistique","") &amp; IF(AND(H598&lt;0,vit_z&gt;=0),"Apogée","") &amp; IF(AND(Poussee=0,Q596&gt;0),"Fin de propulsion","") &amp; IF(AND(L598&gt;L_rampe,pos_xz&lt;=L_rampe),"Sortie de rampe","")</f>
        <v/>
      </c>
      <c r="Z597" s="424" t="str">
        <f aca="false">IF(ABS(t-T_para)&lt;pas/2,"Para","")</f>
        <v/>
      </c>
      <c r="AA597" s="425" t="str">
        <f aca="false">IF(ABS(t-T_satellite)&lt;pas/2,"Satellite","")</f>
        <v/>
      </c>
      <c r="AB597" s="413"/>
      <c r="AC597" s="421" t="e">
        <f aca="false">IF(ABS(t-ROUND(t,0))&lt;0.001,t,NA())</f>
        <v>#N/A</v>
      </c>
      <c r="AD597" s="426" t="e">
        <f aca="false">IF(ABS(t-ROUND(t,0))&lt;0.001,pos_x,NA())</f>
        <v>#N/A</v>
      </c>
      <c r="AE597" s="427" t="e">
        <f aca="false">IF(t&lt;T_para, pos_z, NA())</f>
        <v>#N/A</v>
      </c>
      <c r="AF597" s="413"/>
      <c r="AG597" s="419" t="n">
        <f aca="false">IF(AND(L596&lt;L_rampe,Poussee&lt;Poids*SIN(M596)),0,(-W596+Poussee)/m-Poids*SIN(M596)/m)</f>
        <v>5.95943782122045</v>
      </c>
      <c r="AH597" s="418" t="n">
        <f aca="false">IF(AND(L596&lt;L_rampe,Poussee&lt;Poids*SIN(M596)), g*SIN(M596), (-W596+Poussee)/m)</f>
        <v>-3.74952421380941</v>
      </c>
    </row>
    <row r="598" customFormat="false" ht="12" hidden="false" customHeight="false" outlineLevel="0" collapsed="false">
      <c r="A598" s="417" t="n">
        <f aca="false">IF(B597+0.01&lt;=T_ini+ROUNDUP(Temps_fin_propu,0), 0.01, IF(K597&gt;0, 0.1, 0.0001))</f>
        <v>0.0001</v>
      </c>
      <c r="B598" s="418" t="n">
        <f aca="false">B597+pas</f>
        <v>16.5248999999999</v>
      </c>
      <c r="C598" s="402"/>
      <c r="D598" s="419" t="n">
        <f aca="false">IF(AND(L597&lt;L_rampe,Poussee&lt;Poids*SIN(M597)),0,(-W597+Poussee)/m*COS(M597)-U597/m*SIN(M597))</f>
        <v>-0.536759149141746</v>
      </c>
      <c r="E598" s="420" t="n">
        <f aca="false">IF(AND(L597&lt;L_rampe,Poussee&lt;Poids*SIN(M597)),0,(-W597+Poussee)/m*SIN(M597)+U597/m*COS(M597)-Poids/m)</f>
        <v>-6.09902864665909</v>
      </c>
      <c r="F598" s="418" t="n">
        <f aca="false">SQRT(acc_x^2+acc_z^2)</f>
        <v>6.12260245459033</v>
      </c>
      <c r="G598" s="419" t="n">
        <f aca="false">G597+acc_x*pas</f>
        <v>10.2738755897535</v>
      </c>
      <c r="H598" s="420" t="n">
        <f aca="false">H597+acc_z*pas</f>
        <v>-71.0310846551041</v>
      </c>
      <c r="I598" s="418" t="n">
        <f aca="false">SQRT(vit_x^2+vit_z^2)</f>
        <v>71.7702410955564</v>
      </c>
      <c r="J598" s="419" t="n">
        <f aca="false">J597+0.5*(vit_x+G597)*pas*(K597&gt;=0)</f>
        <v>211.791153319536</v>
      </c>
      <c r="K598" s="420" t="n">
        <f aca="false">K597+0.5*(vit_z+H597)*pas</f>
        <v>-6.19964363096861</v>
      </c>
      <c r="L598" s="418" t="n">
        <f aca="false">SQRT(pos_x^2+pos_z^2)</f>
        <v>211.881873234994</v>
      </c>
      <c r="M598" s="419" t="n">
        <f aca="false">IF(AND(L597&gt;L_rampe,G598&gt;0),ATAN2(G598,H598),$M$4)</f>
        <v>-1.42715334417335</v>
      </c>
      <c r="N598" s="418" t="n">
        <f aca="false">DEGREES(Beta)</f>
        <v>-81.7698633391143</v>
      </c>
      <c r="O598" s="402"/>
      <c r="P598" s="421" t="n">
        <f aca="false">MATCH(t-pas/2-T_ini,CdP_t)</f>
        <v>23</v>
      </c>
      <c r="Q598" s="418" t="n">
        <f aca="false">(INDEX(CdP,2,i_P+1)-INDEX(CdP,2,i_P+0))/(INDEX(CdP,1,i_P+1)-INDEX(CdP,1,i_P+0))*(t-pas/2-T_ini-INDEX(CdP,1,i_P+0))+INDEX(CdP,2,i_P+0)</f>
        <v>0</v>
      </c>
      <c r="R598" s="419" t="n">
        <f aca="false">Poussee/(g*ISP)</f>
        <v>0</v>
      </c>
      <c r="S598" s="420" t="n">
        <f aca="false">S597-Débit*pas</f>
        <v>1.4843</v>
      </c>
      <c r="T598" s="418" t="n">
        <f aca="false">m*g</f>
        <v>14.560983</v>
      </c>
      <c r="U598" s="422" t="n">
        <f aca="false">IF(pos_xz&lt;L_rampe,Poids*COS(Beta),0)</f>
        <v>0</v>
      </c>
      <c r="V598" s="419" t="n">
        <f aca="false">Rho_moyen*(20000-Alt_rampe-pos_z)/(20000+Alt_rampe+pos_z)</f>
        <v>1.22575969183573</v>
      </c>
      <c r="W598" s="418" t="n">
        <f aca="false">1/2*Rho*Sref*Cx*vit_xz^2</f>
        <v>5.56561155048703</v>
      </c>
      <c r="X598" s="402"/>
      <c r="Y598" s="423" t="str">
        <f aca="false">IF(AND(pos_z&lt;=0,K597&gt;0),"Impact balistique","") &amp; IF(AND(H599&lt;0,vit_z&gt;=0),"Apogée","") &amp; IF(AND(Poussee=0,Q597&gt;0),"Fin de propulsion","") &amp; IF(AND(L599&gt;L_rampe,pos_xz&lt;=L_rampe),"Sortie de rampe","")</f>
        <v/>
      </c>
      <c r="Z598" s="424" t="str">
        <f aca="false">IF(ABS(t-T_para)&lt;pas/2,"Para","")</f>
        <v/>
      </c>
      <c r="AA598" s="425" t="str">
        <f aca="false">IF(ABS(t-T_satellite)&lt;pas/2,"Satellite","")</f>
        <v/>
      </c>
      <c r="AB598" s="413"/>
      <c r="AC598" s="421" t="e">
        <f aca="false">IF(ABS(t-ROUND(t,0))&lt;0.001,t,NA())</f>
        <v>#N/A</v>
      </c>
      <c r="AD598" s="426" t="e">
        <f aca="false">IF(ABS(t-ROUND(t,0))&lt;0.001,pos_x,NA())</f>
        <v>#N/A</v>
      </c>
      <c r="AE598" s="427" t="e">
        <f aca="false">IF(t&lt;T_para, pos_z, NA())</f>
        <v>#N/A</v>
      </c>
      <c r="AF598" s="413"/>
      <c r="AG598" s="419" t="n">
        <f aca="false">IF(AND(L597&lt;L_rampe,Poussee&lt;Poids*SIN(M597)),0,(-W597+Poussee)/m-Poids*SIN(M597)/m)</f>
        <v>5.95937563614813</v>
      </c>
      <c r="AH598" s="418" t="n">
        <f aca="false">IF(AND(L597&lt;L_rampe,Poussee&lt;Poids*SIN(M597)), g*SIN(M597), (-W597+Poussee)/m)</f>
        <v>-3.74958914676052</v>
      </c>
    </row>
    <row r="599" customFormat="false" ht="12" hidden="false" customHeight="false" outlineLevel="0" collapsed="false">
      <c r="A599" s="417" t="n">
        <f aca="false">IF(B598+0.01&lt;=T_ini+ROUNDUP(Temps_fin_propu,0), 0.01, IF(K598&gt;0, 0.1, 0.0001))</f>
        <v>0.0001</v>
      </c>
      <c r="B599" s="418" t="n">
        <f aca="false">B598+pas</f>
        <v>16.5249999999999</v>
      </c>
      <c r="C599" s="402"/>
      <c r="D599" s="419" t="n">
        <f aca="false">IF(AND(L598&lt;L_rampe,Poussee&lt;Poids*SIN(M598)),0,(-W598+Poussee)/m*COS(M598)-U598/m*SIN(M598))</f>
        <v>-0.536761183065802</v>
      </c>
      <c r="E599" s="420" t="n">
        <f aca="false">IF(AND(L598&lt;L_rampe,Poussee&lt;Poids*SIN(M598)),0,(-W598+Poussee)/m*SIN(M598)+U598/m*COS(M598)-Poids/m)</f>
        <v>-6.0989633322068</v>
      </c>
      <c r="F599" s="418" t="n">
        <f aca="false">SQRT(acc_x^2+acc_z^2)</f>
        <v>6.12253756993366</v>
      </c>
      <c r="G599" s="419" t="n">
        <f aca="false">G598+acc_x*pas</f>
        <v>10.2738219136352</v>
      </c>
      <c r="H599" s="420" t="n">
        <f aca="false">H598+acc_z*pas</f>
        <v>-71.0316945514373</v>
      </c>
      <c r="I599" s="418" t="n">
        <f aca="false">SQRT(vit_x^2+vit_z^2)</f>
        <v>71.7708370270389</v>
      </c>
      <c r="J599" s="419" t="n">
        <f aca="false">J598+0.5*(vit_x+G598)*pas*(K598&gt;=0)</f>
        <v>211.791153319536</v>
      </c>
      <c r="K599" s="420" t="n">
        <f aca="false">K598+0.5*(vit_z+H598)*pas</f>
        <v>-6.20674676992894</v>
      </c>
      <c r="L599" s="418" t="n">
        <f aca="false">SQRT(pos_x^2+pos_z^2)</f>
        <v>211.882081191132</v>
      </c>
      <c r="M599" s="419" t="n">
        <f aca="false">IF(AND(L598&gt;L_rampe,G599&gt;0),ATAN2(G599,H599),$M$4)</f>
        <v>-1.42715530081319</v>
      </c>
      <c r="N599" s="418" t="n">
        <f aca="false">DEGREES(Beta)</f>
        <v>-81.7699754463195</v>
      </c>
      <c r="O599" s="402"/>
      <c r="P599" s="421" t="n">
        <f aca="false">MATCH(t-pas/2-T_ini,CdP_t)</f>
        <v>23</v>
      </c>
      <c r="Q599" s="418" t="n">
        <f aca="false">(INDEX(CdP,2,i_P+1)-INDEX(CdP,2,i_P+0))/(INDEX(CdP,1,i_P+1)-INDEX(CdP,1,i_P+0))*(t-pas/2-T_ini-INDEX(CdP,1,i_P+0))+INDEX(CdP,2,i_P+0)</f>
        <v>0</v>
      </c>
      <c r="R599" s="419" t="n">
        <f aca="false">Poussee/(g*ISP)</f>
        <v>0</v>
      </c>
      <c r="S599" s="420" t="n">
        <f aca="false">S598-Débit*pas</f>
        <v>1.4843</v>
      </c>
      <c r="T599" s="418" t="n">
        <f aca="false">m*g</f>
        <v>14.560983</v>
      </c>
      <c r="U599" s="422" t="n">
        <f aca="false">IF(pos_xz&lt;L_rampe,Poids*COS(Beta),0)</f>
        <v>0</v>
      </c>
      <c r="V599" s="419" t="n">
        <f aca="false">Rho_moyen*(20000-Alt_rampe-pos_z)/(20000+Alt_rampe+pos_z)</f>
        <v>1.22576056251026</v>
      </c>
      <c r="W599" s="418" t="n">
        <f aca="false">1/2*Rho*Sref*Cx*vit_xz^2</f>
        <v>5.56570793040849</v>
      </c>
      <c r="X599" s="402"/>
      <c r="Y599" s="423" t="str">
        <f aca="false">IF(AND(pos_z&lt;=0,K598&gt;0),"Impact balistique","") &amp; IF(AND(H600&lt;0,vit_z&gt;=0),"Apogée","") &amp; IF(AND(Poussee=0,Q598&gt;0),"Fin de propulsion","") &amp; IF(AND(L600&gt;L_rampe,pos_xz&lt;=L_rampe),"Sortie de rampe","")</f>
        <v/>
      </c>
      <c r="Z599" s="424" t="str">
        <f aca="false">IF(ABS(t-T_para)&lt;pas/2,"Para","")</f>
        <v/>
      </c>
      <c r="AA599" s="425" t="str">
        <f aca="false">IF(ABS(t-T_satellite)&lt;pas/2,"Satellite","")</f>
        <v/>
      </c>
      <c r="AB599" s="413"/>
      <c r="AC599" s="421" t="e">
        <f aca="false">IF(ABS(t-ROUND(t,0))&lt;0.001,t,NA())</f>
        <v>#N/A</v>
      </c>
      <c r="AD599" s="426" t="e">
        <f aca="false">IF(ABS(t-ROUND(t,0))&lt;0.001,pos_x,NA())</f>
        <v>#N/A</v>
      </c>
      <c r="AE599" s="427" t="e">
        <f aca="false">IF(t&lt;T_para, pos_z, NA())</f>
        <v>#N/A</v>
      </c>
      <c r="AF599" s="413"/>
      <c r="AG599" s="419" t="n">
        <f aca="false">IF(AND(L598&lt;L_rampe,Poussee&lt;Poids*SIN(M598)),0,(-W598+Poussee)/m-Poids*SIN(M598)/m)</f>
        <v>5.95931345099815</v>
      </c>
      <c r="AH599" s="418" t="n">
        <f aca="false">IF(AND(L598&lt;L_rampe,Poussee&lt;Poids*SIN(M598)), g*SIN(M598), (-W598+Poussee)/m)</f>
        <v>-3.74965407969214</v>
      </c>
    </row>
    <row r="600" customFormat="false" ht="12" hidden="false" customHeight="false" outlineLevel="0" collapsed="false">
      <c r="A600" s="417" t="n">
        <f aca="false">IF(B599+0.01&lt;=T_ini+ROUNDUP(Temps_fin_propu,0), 0.01, IF(K599&gt;0, 0.1, 0.0001))</f>
        <v>0.0001</v>
      </c>
      <c r="B600" s="418" t="n">
        <f aca="false">B599+pas</f>
        <v>16.5250999999999</v>
      </c>
      <c r="C600" s="402"/>
      <c r="D600" s="419" t="n">
        <f aca="false">IF(AND(L599&lt;L_rampe,Poussee&lt;Poids*SIN(M599)),0,(-W599+Poussee)/m*COS(M599)-U599/m*SIN(M599))</f>
        <v>-0.536763216892045</v>
      </c>
      <c r="E600" s="420" t="n">
        <f aca="false">IF(AND(L599&lt;L_rampe,Poussee&lt;Poids*SIN(M599)),0,(-W599+Poussee)/m*SIN(M599)+U599/m*COS(M599)-Poids/m)</f>
        <v>-6.09889801777457</v>
      </c>
      <c r="F600" s="418" t="n">
        <f aca="false">SQRT(acc_x^2+acc_z^2)</f>
        <v>6.12247268529823</v>
      </c>
      <c r="G600" s="419" t="n">
        <f aca="false">G599+acc_x*pas</f>
        <v>10.2737682373135</v>
      </c>
      <c r="H600" s="420" t="n">
        <f aca="false">H599+acc_z*pas</f>
        <v>-71.0323044412391</v>
      </c>
      <c r="I600" s="418" t="n">
        <f aca="false">SQRT(vit_x^2+vit_z^2)</f>
        <v>71.7714329523028</v>
      </c>
      <c r="J600" s="419" t="n">
        <f aca="false">J599+0.5*(vit_x+G599)*pas*(K599&gt;=0)</f>
        <v>211.791153319536</v>
      </c>
      <c r="K600" s="420" t="n">
        <f aca="false">K599+0.5*(vit_z+H599)*pas</f>
        <v>-6.21384996987857</v>
      </c>
      <c r="L600" s="418" t="n">
        <f aca="false">SQRT(pos_x^2+pos_z^2)</f>
        <v>211.882289386979</v>
      </c>
      <c r="M600" s="419" t="n">
        <f aca="false">IF(AND(L599&gt;L_rampe,G600&gt;0),ATAN2(G600,H600),$M$4)</f>
        <v>-1.42715725741033</v>
      </c>
      <c r="N600" s="418" t="n">
        <f aca="false">DEGREES(Beta)</f>
        <v>-81.7700875510773</v>
      </c>
      <c r="O600" s="402"/>
      <c r="P600" s="421" t="n">
        <f aca="false">MATCH(t-pas/2-T_ini,CdP_t)</f>
        <v>23</v>
      </c>
      <c r="Q600" s="418" t="n">
        <f aca="false">(INDEX(CdP,2,i_P+1)-INDEX(CdP,2,i_P+0))/(INDEX(CdP,1,i_P+1)-INDEX(CdP,1,i_P+0))*(t-pas/2-T_ini-INDEX(CdP,1,i_P+0))+INDEX(CdP,2,i_P+0)</f>
        <v>0</v>
      </c>
      <c r="R600" s="419" t="n">
        <f aca="false">Poussee/(g*ISP)</f>
        <v>0</v>
      </c>
      <c r="S600" s="420" t="n">
        <f aca="false">S599-Débit*pas</f>
        <v>1.4843</v>
      </c>
      <c r="T600" s="418" t="n">
        <f aca="false">m*g</f>
        <v>14.560983</v>
      </c>
      <c r="U600" s="422" t="n">
        <f aca="false">IF(pos_xz&lt;L_rampe,Poids*COS(Beta),0)</f>
        <v>0</v>
      </c>
      <c r="V600" s="419" t="n">
        <f aca="false">Rho_moyen*(20000-Alt_rampe-pos_z)/(20000+Alt_rampe+pos_z)</f>
        <v>1.22576143319289</v>
      </c>
      <c r="W600" s="418" t="n">
        <f aca="false">1/2*Rho*Sref*Cx*vit_xz^2</f>
        <v>5.56580431030096</v>
      </c>
      <c r="X600" s="402"/>
      <c r="Y600" s="423" t="str">
        <f aca="false">IF(AND(pos_z&lt;=0,K599&gt;0),"Impact balistique","") &amp; IF(AND(H601&lt;0,vit_z&gt;=0),"Apogée","") &amp; IF(AND(Poussee=0,Q599&gt;0),"Fin de propulsion","") &amp; IF(AND(L601&gt;L_rampe,pos_xz&lt;=L_rampe),"Sortie de rampe","")</f>
        <v/>
      </c>
      <c r="Z600" s="424" t="str">
        <f aca="false">IF(ABS(t-T_para)&lt;pas/2,"Para","")</f>
        <v/>
      </c>
      <c r="AA600" s="425" t="str">
        <f aca="false">IF(ABS(t-T_satellite)&lt;pas/2,"Satellite","")</f>
        <v/>
      </c>
      <c r="AB600" s="413"/>
      <c r="AC600" s="421" t="e">
        <f aca="false">IF(ABS(t-ROUND(t,0))&lt;0.001,t,NA())</f>
        <v>#N/A</v>
      </c>
      <c r="AD600" s="426" t="e">
        <f aca="false">IF(ABS(t-ROUND(t,0))&lt;0.001,pos_x,NA())</f>
        <v>#N/A</v>
      </c>
      <c r="AE600" s="427" t="e">
        <f aca="false">IF(t&lt;T_para, pos_z, NA())</f>
        <v>#N/A</v>
      </c>
      <c r="AF600" s="413"/>
      <c r="AG600" s="419" t="n">
        <f aca="false">IF(AND(L599&lt;L_rampe,Poussee&lt;Poids*SIN(M599)),0,(-W599+Poussee)/m-Poids*SIN(M599)/m)</f>
        <v>5.95925126577052</v>
      </c>
      <c r="AH600" s="418" t="n">
        <f aca="false">IF(AND(L599&lt;L_rampe,Poussee&lt;Poids*SIN(M599)), g*SIN(M599), (-W599+Poussee)/m)</f>
        <v>-3.74971901260425</v>
      </c>
    </row>
    <row r="601" customFormat="false" ht="12" hidden="false" customHeight="false" outlineLevel="0" collapsed="false">
      <c r="A601" s="417" t="n">
        <f aca="false">IF(B600+0.01&lt;=T_ini+ROUNDUP(Temps_fin_propu,0), 0.01, IF(K600&gt;0, 0.1, 0.0001))</f>
        <v>0.0001</v>
      </c>
      <c r="B601" s="418" t="n">
        <f aca="false">B600+pas</f>
        <v>16.5251999999999</v>
      </c>
      <c r="C601" s="402"/>
      <c r="D601" s="419" t="n">
        <f aca="false">IF(AND(L600&lt;L_rampe,Poussee&lt;Poids*SIN(M600)),0,(-W600+Poussee)/m*COS(M600)-U600/m*SIN(M600))</f>
        <v>-0.536765250620477</v>
      </c>
      <c r="E601" s="420" t="n">
        <f aca="false">IF(AND(L600&lt;L_rampe,Poussee&lt;Poids*SIN(M600)),0,(-W600+Poussee)/m*SIN(M600)+U600/m*COS(M600)-Poids/m)</f>
        <v>-6.09883270336243</v>
      </c>
      <c r="F601" s="418" t="n">
        <f aca="false">SQRT(acc_x^2+acc_z^2)</f>
        <v>6.12240780068404</v>
      </c>
      <c r="G601" s="419" t="n">
        <f aca="false">G600+acc_x*pas</f>
        <v>10.2737145607884</v>
      </c>
      <c r="H601" s="420" t="n">
        <f aca="false">H600+acc_z*pas</f>
        <v>-71.0329143245094</v>
      </c>
      <c r="I601" s="418" t="n">
        <f aca="false">SQRT(vit_x^2+vit_z^2)</f>
        <v>71.7720288713483</v>
      </c>
      <c r="J601" s="419" t="n">
        <f aca="false">J600+0.5*(vit_x+G600)*pas*(K600&gt;=0)</f>
        <v>211.791153319536</v>
      </c>
      <c r="K601" s="420" t="n">
        <f aca="false">K600+0.5*(vit_z+H600)*pas</f>
        <v>-6.22095323081686</v>
      </c>
      <c r="L601" s="418" t="n">
        <f aca="false">SQRT(pos_x^2+pos_z^2)</f>
        <v>211.882497822541</v>
      </c>
      <c r="M601" s="419" t="n">
        <f aca="false">IF(AND(L600&gt;L_rampe,G601&gt;0),ATAN2(G601,H601),$M$4)</f>
        <v>-1.42715921396474</v>
      </c>
      <c r="N601" s="418" t="n">
        <f aca="false">DEGREES(Beta)</f>
        <v>-81.7701996533878</v>
      </c>
      <c r="O601" s="402"/>
      <c r="P601" s="421" t="n">
        <f aca="false">MATCH(t-pas/2-T_ini,CdP_t)</f>
        <v>23</v>
      </c>
      <c r="Q601" s="418" t="n">
        <f aca="false">(INDEX(CdP,2,i_P+1)-INDEX(CdP,2,i_P+0))/(INDEX(CdP,1,i_P+1)-INDEX(CdP,1,i_P+0))*(t-pas/2-T_ini-INDEX(CdP,1,i_P+0))+INDEX(CdP,2,i_P+0)</f>
        <v>0</v>
      </c>
      <c r="R601" s="419" t="n">
        <f aca="false">Poussee/(g*ISP)</f>
        <v>0</v>
      </c>
      <c r="S601" s="420" t="n">
        <f aca="false">S600-Débit*pas</f>
        <v>1.4843</v>
      </c>
      <c r="T601" s="418" t="n">
        <f aca="false">m*g</f>
        <v>14.560983</v>
      </c>
      <c r="U601" s="422" t="n">
        <f aca="false">IF(pos_xz&lt;L_rampe,Poids*COS(Beta),0)</f>
        <v>0</v>
      </c>
      <c r="V601" s="419" t="n">
        <f aca="false">Rho_moyen*(20000-Alt_rampe-pos_z)/(20000+Alt_rampe+pos_z)</f>
        <v>1.22576230388362</v>
      </c>
      <c r="W601" s="418" t="n">
        <f aca="false">1/2*Rho*Sref*Cx*vit_xz^2</f>
        <v>5.56590069016443</v>
      </c>
      <c r="X601" s="402"/>
      <c r="Y601" s="423" t="str">
        <f aca="false">IF(AND(pos_z&lt;=0,K600&gt;0),"Impact balistique","") &amp; IF(AND(H602&lt;0,vit_z&gt;=0),"Apogée","") &amp; IF(AND(Poussee=0,Q600&gt;0),"Fin de propulsion","") &amp; IF(AND(L602&gt;L_rampe,pos_xz&lt;=L_rampe),"Sortie de rampe","")</f>
        <v/>
      </c>
      <c r="Z601" s="424" t="str">
        <f aca="false">IF(ABS(t-T_para)&lt;pas/2,"Para","")</f>
        <v/>
      </c>
      <c r="AA601" s="425" t="str">
        <f aca="false">IF(ABS(t-T_satellite)&lt;pas/2,"Satellite","")</f>
        <v/>
      </c>
      <c r="AB601" s="413"/>
      <c r="AC601" s="421" t="e">
        <f aca="false">IF(ABS(t-ROUND(t,0))&lt;0.001,t,NA())</f>
        <v>#N/A</v>
      </c>
      <c r="AD601" s="426" t="e">
        <f aca="false">IF(ABS(t-ROUND(t,0))&lt;0.001,pos_x,NA())</f>
        <v>#N/A</v>
      </c>
      <c r="AE601" s="427" t="e">
        <f aca="false">IF(t&lt;T_para, pos_z, NA())</f>
        <v>#N/A</v>
      </c>
      <c r="AF601" s="413"/>
      <c r="AG601" s="419" t="n">
        <f aca="false">IF(AND(L600&lt;L_rampe,Poussee&lt;Poids*SIN(M600)),0,(-W600+Poussee)/m-Poids*SIN(M600)/m)</f>
        <v>5.95918908046525</v>
      </c>
      <c r="AH601" s="418" t="n">
        <f aca="false">IF(AND(L600&lt;L_rampe,Poussee&lt;Poids*SIN(M600)), g*SIN(M600), (-W600+Poussee)/m)</f>
        <v>-3.74978394549684</v>
      </c>
    </row>
    <row r="602" customFormat="false" ht="12" hidden="false" customHeight="false" outlineLevel="0" collapsed="false">
      <c r="A602" s="417" t="n">
        <f aca="false">IF(B601+0.01&lt;=T_ini+ROUNDUP(Temps_fin_propu,0), 0.01, IF(K601&gt;0, 0.1, 0.0001))</f>
        <v>0.0001</v>
      </c>
      <c r="B602" s="418" t="n">
        <f aca="false">B601+pas</f>
        <v>16.5252999999999</v>
      </c>
      <c r="C602" s="402"/>
      <c r="D602" s="419" t="n">
        <f aca="false">IF(AND(L601&lt;L_rampe,Poussee&lt;Poids*SIN(M601)),0,(-W601+Poussee)/m*COS(M601)-U601/m*SIN(M601))</f>
        <v>-0.536767284251098</v>
      </c>
      <c r="E602" s="420" t="n">
        <f aca="false">IF(AND(L601&lt;L_rampe,Poussee&lt;Poids*SIN(M601)),0,(-W601+Poussee)/m*SIN(M601)+U601/m*COS(M601)-Poids/m)</f>
        <v>-6.09876738897039</v>
      </c>
      <c r="F602" s="418" t="n">
        <f aca="false">SQRT(acc_x^2+acc_z^2)</f>
        <v>6.12234291609111</v>
      </c>
      <c r="G602" s="419" t="n">
        <f aca="false">G601+acc_x*pas</f>
        <v>10.27366088406</v>
      </c>
      <c r="H602" s="420" t="n">
        <f aca="false">H601+acc_z*pas</f>
        <v>-71.0335242012483</v>
      </c>
      <c r="I602" s="418" t="n">
        <f aca="false">SQRT(vit_x^2+vit_z^2)</f>
        <v>71.7726247841751</v>
      </c>
      <c r="J602" s="419" t="n">
        <f aca="false">J601+0.5*(vit_x+G601)*pas*(K601&gt;=0)</f>
        <v>211.791153319536</v>
      </c>
      <c r="K602" s="420" t="n">
        <f aca="false">K601+0.5*(vit_z+H601)*pas</f>
        <v>-6.22805655274315</v>
      </c>
      <c r="L602" s="418" t="n">
        <f aca="false">SQRT(pos_x^2+pos_z^2)</f>
        <v>211.882706497825</v>
      </c>
      <c r="M602" s="419" t="n">
        <f aca="false">IF(AND(L601&gt;L_rampe,G602&gt;0),ATAN2(G602,H602),$M$4)</f>
        <v>-1.42716117047645</v>
      </c>
      <c r="N602" s="418" t="n">
        <f aca="false">DEGREES(Beta)</f>
        <v>-81.7703117532511</v>
      </c>
      <c r="O602" s="402"/>
      <c r="P602" s="421" t="n">
        <f aca="false">MATCH(t-pas/2-T_ini,CdP_t)</f>
        <v>23</v>
      </c>
      <c r="Q602" s="418" t="n">
        <f aca="false">(INDEX(CdP,2,i_P+1)-INDEX(CdP,2,i_P+0))/(INDEX(CdP,1,i_P+1)-INDEX(CdP,1,i_P+0))*(t-pas/2-T_ini-INDEX(CdP,1,i_P+0))+INDEX(CdP,2,i_P+0)</f>
        <v>0</v>
      </c>
      <c r="R602" s="419" t="n">
        <f aca="false">Poussee/(g*ISP)</f>
        <v>0</v>
      </c>
      <c r="S602" s="420" t="n">
        <f aca="false">S601-Débit*pas</f>
        <v>1.4843</v>
      </c>
      <c r="T602" s="418" t="n">
        <f aca="false">m*g</f>
        <v>14.560983</v>
      </c>
      <c r="U602" s="422" t="n">
        <f aca="false">IF(pos_xz&lt;L_rampe,Poids*COS(Beta),0)</f>
        <v>0</v>
      </c>
      <c r="V602" s="419" t="n">
        <f aca="false">Rho_moyen*(20000-Alt_rampe-pos_z)/(20000+Alt_rampe+pos_z)</f>
        <v>1.22576317458243</v>
      </c>
      <c r="W602" s="418" t="n">
        <f aca="false">1/2*Rho*Sref*Cx*vit_xz^2</f>
        <v>5.56599706999888</v>
      </c>
      <c r="X602" s="402"/>
      <c r="Y602" s="423" t="str">
        <f aca="false">IF(AND(pos_z&lt;=0,K601&gt;0),"Impact balistique","") &amp; IF(AND(H603&lt;0,vit_z&gt;=0),"Apogée","") &amp; IF(AND(Poussee=0,Q601&gt;0),"Fin de propulsion","") &amp; IF(AND(L603&gt;L_rampe,pos_xz&lt;=L_rampe),"Sortie de rampe","")</f>
        <v/>
      </c>
      <c r="Z602" s="424" t="str">
        <f aca="false">IF(ABS(t-T_para)&lt;pas/2,"Para","")</f>
        <v/>
      </c>
      <c r="AA602" s="425" t="str">
        <f aca="false">IF(ABS(t-T_satellite)&lt;pas/2,"Satellite","")</f>
        <v/>
      </c>
      <c r="AB602" s="413"/>
      <c r="AC602" s="421" t="e">
        <f aca="false">IF(ABS(t-ROUND(t,0))&lt;0.001,t,NA())</f>
        <v>#N/A</v>
      </c>
      <c r="AD602" s="426" t="e">
        <f aca="false">IF(ABS(t-ROUND(t,0))&lt;0.001,pos_x,NA())</f>
        <v>#N/A</v>
      </c>
      <c r="AE602" s="427" t="e">
        <f aca="false">IF(t&lt;T_para, pos_z, NA())</f>
        <v>#N/A</v>
      </c>
      <c r="AF602" s="413"/>
      <c r="AG602" s="419" t="n">
        <f aca="false">IF(AND(L601&lt;L_rampe,Poussee&lt;Poids*SIN(M601)),0,(-W601+Poussee)/m-Poids*SIN(M601)/m)</f>
        <v>5.95912689508238</v>
      </c>
      <c r="AH602" s="418" t="n">
        <f aca="false">IF(AND(L601&lt;L_rampe,Poussee&lt;Poids*SIN(M601)), g*SIN(M601), (-W601+Poussee)/m)</f>
        <v>-3.7498488783699</v>
      </c>
    </row>
    <row r="603" customFormat="false" ht="12" hidden="false" customHeight="false" outlineLevel="0" collapsed="false">
      <c r="A603" s="417" t="n">
        <f aca="false">IF(B602+0.01&lt;=T_ini+ROUNDUP(Temps_fin_propu,0), 0.01, IF(K602&gt;0, 0.1, 0.0001))</f>
        <v>0.0001</v>
      </c>
      <c r="B603" s="418" t="n">
        <f aca="false">B602+pas</f>
        <v>16.5253999999999</v>
      </c>
      <c r="C603" s="402"/>
      <c r="D603" s="419" t="n">
        <f aca="false">IF(AND(L602&lt;L_rampe,Poussee&lt;Poids*SIN(M602)),0,(-W602+Poussee)/m*COS(M602)-U602/m*SIN(M602))</f>
        <v>-0.536769317783909</v>
      </c>
      <c r="E603" s="420" t="n">
        <f aca="false">IF(AND(L602&lt;L_rampe,Poussee&lt;Poids*SIN(M602)),0,(-W602+Poussee)/m*SIN(M602)+U602/m*COS(M602)-Poids/m)</f>
        <v>-6.09870207459847</v>
      </c>
      <c r="F603" s="418" t="n">
        <f aca="false">SQRT(acc_x^2+acc_z^2)</f>
        <v>6.12227803151946</v>
      </c>
      <c r="G603" s="419" t="n">
        <f aca="false">G602+acc_x*pas</f>
        <v>10.2736072071282</v>
      </c>
      <c r="H603" s="420" t="n">
        <f aca="false">H602+acc_z*pas</f>
        <v>-71.0341340714557</v>
      </c>
      <c r="I603" s="418" t="n">
        <f aca="false">SQRT(vit_x^2+vit_z^2)</f>
        <v>71.7732206907835</v>
      </c>
      <c r="J603" s="419" t="n">
        <f aca="false">J602+0.5*(vit_x+G602)*pas*(K602&gt;=0)</f>
        <v>211.791153319536</v>
      </c>
      <c r="K603" s="420" t="n">
        <f aca="false">K602+0.5*(vit_z+H602)*pas</f>
        <v>-6.23515993565678</v>
      </c>
      <c r="L603" s="418" t="n">
        <f aca="false">SQRT(pos_x^2+pos_z^2)</f>
        <v>211.882915412835</v>
      </c>
      <c r="M603" s="419" t="n">
        <f aca="false">IF(AND(L602&gt;L_rampe,G603&gt;0),ATAN2(G603,H603),$M$4)</f>
        <v>-1.42716312694544</v>
      </c>
      <c r="N603" s="418" t="n">
        <f aca="false">DEGREES(Beta)</f>
        <v>-81.7704238506672</v>
      </c>
      <c r="O603" s="402"/>
      <c r="P603" s="421" t="n">
        <f aca="false">MATCH(t-pas/2-T_ini,CdP_t)</f>
        <v>23</v>
      </c>
      <c r="Q603" s="418" t="n">
        <f aca="false">(INDEX(CdP,2,i_P+1)-INDEX(CdP,2,i_P+0))/(INDEX(CdP,1,i_P+1)-INDEX(CdP,1,i_P+0))*(t-pas/2-T_ini-INDEX(CdP,1,i_P+0))+INDEX(CdP,2,i_P+0)</f>
        <v>0</v>
      </c>
      <c r="R603" s="419" t="n">
        <f aca="false">Poussee/(g*ISP)</f>
        <v>0</v>
      </c>
      <c r="S603" s="420" t="n">
        <f aca="false">S602-Débit*pas</f>
        <v>1.4843</v>
      </c>
      <c r="T603" s="418" t="n">
        <f aca="false">m*g</f>
        <v>14.560983</v>
      </c>
      <c r="U603" s="422" t="n">
        <f aca="false">IF(pos_xz&lt;L_rampe,Poids*COS(Beta),0)</f>
        <v>0</v>
      </c>
      <c r="V603" s="419" t="n">
        <f aca="false">Rho_moyen*(20000-Alt_rampe-pos_z)/(20000+Alt_rampe+pos_z)</f>
        <v>1.22576404528935</v>
      </c>
      <c r="W603" s="418" t="n">
        <f aca="false">1/2*Rho*Sref*Cx*vit_xz^2</f>
        <v>5.56609344980427</v>
      </c>
      <c r="X603" s="402"/>
      <c r="Y603" s="423" t="str">
        <f aca="false">IF(AND(pos_z&lt;=0,K602&gt;0),"Impact balistique","") &amp; IF(AND(H604&lt;0,vit_z&gt;=0),"Apogée","") &amp; IF(AND(Poussee=0,Q602&gt;0),"Fin de propulsion","") &amp; IF(AND(L604&gt;L_rampe,pos_xz&lt;=L_rampe),"Sortie de rampe","")</f>
        <v/>
      </c>
      <c r="Z603" s="424" t="str">
        <f aca="false">IF(ABS(t-T_para)&lt;pas/2,"Para","")</f>
        <v/>
      </c>
      <c r="AA603" s="425" t="str">
        <f aca="false">IF(ABS(t-T_satellite)&lt;pas/2,"Satellite","")</f>
        <v/>
      </c>
      <c r="AB603" s="413"/>
      <c r="AC603" s="421" t="e">
        <f aca="false">IF(ABS(t-ROUND(t,0))&lt;0.001,t,NA())</f>
        <v>#N/A</v>
      </c>
      <c r="AD603" s="426" t="e">
        <f aca="false">IF(ABS(t-ROUND(t,0))&lt;0.001,pos_x,NA())</f>
        <v>#N/A</v>
      </c>
      <c r="AE603" s="427" t="e">
        <f aca="false">IF(t&lt;T_para, pos_z, NA())</f>
        <v>#N/A</v>
      </c>
      <c r="AF603" s="413"/>
      <c r="AG603" s="419" t="n">
        <f aca="false">IF(AND(L602&lt;L_rampe,Poussee&lt;Poids*SIN(M602)),0,(-W602+Poussee)/m-Poids*SIN(M602)/m)</f>
        <v>5.95906470962191</v>
      </c>
      <c r="AH603" s="418" t="n">
        <f aca="false">IF(AND(L602&lt;L_rampe,Poussee&lt;Poids*SIN(M602)), g*SIN(M602), (-W602+Poussee)/m)</f>
        <v>-3.74991381122339</v>
      </c>
    </row>
    <row r="604" customFormat="false" ht="12" hidden="false" customHeight="false" outlineLevel="0" collapsed="false">
      <c r="A604" s="417" t="n">
        <f aca="false">IF(B603+0.01&lt;=T_ini+ROUNDUP(Temps_fin_propu,0), 0.01, IF(K603&gt;0, 0.1, 0.0001))</f>
        <v>0.0001</v>
      </c>
      <c r="B604" s="418" t="n">
        <f aca="false">B603+pas</f>
        <v>16.5254999999999</v>
      </c>
      <c r="C604" s="402"/>
      <c r="D604" s="419" t="n">
        <f aca="false">IF(AND(L603&lt;L_rampe,Poussee&lt;Poids*SIN(M603)),0,(-W603+Poussee)/m*COS(M603)-U603/m*SIN(M603))</f>
        <v>-0.536771351218911</v>
      </c>
      <c r="E604" s="420" t="n">
        <f aca="false">IF(AND(L603&lt;L_rampe,Poussee&lt;Poids*SIN(M603)),0,(-W603+Poussee)/m*SIN(M603)+U603/m*COS(M603)-Poids/m)</f>
        <v>-6.09863676024667</v>
      </c>
      <c r="F604" s="418" t="n">
        <f aca="false">SQRT(acc_x^2+acc_z^2)</f>
        <v>6.12221314696911</v>
      </c>
      <c r="G604" s="419" t="n">
        <f aca="false">G603+acc_x*pas</f>
        <v>10.2735535299931</v>
      </c>
      <c r="H604" s="420" t="n">
        <f aca="false">H603+acc_z*pas</f>
        <v>-71.0347439351318</v>
      </c>
      <c r="I604" s="418" t="n">
        <f aca="false">SQRT(vit_x^2+vit_z^2)</f>
        <v>71.7738165911732</v>
      </c>
      <c r="J604" s="419" t="n">
        <f aca="false">J603+0.5*(vit_x+G603)*pas*(K603&gt;=0)</f>
        <v>211.791153319536</v>
      </c>
      <c r="K604" s="420" t="n">
        <f aca="false">K603+0.5*(vit_z+H603)*pas</f>
        <v>-6.24226337955711</v>
      </c>
      <c r="L604" s="418" t="n">
        <f aca="false">SQRT(pos_x^2+pos_z^2)</f>
        <v>211.883124567576</v>
      </c>
      <c r="M604" s="419" t="n">
        <f aca="false">IF(AND(L603&gt;L_rampe,G604&gt;0),ATAN2(G604,H604),$M$4)</f>
        <v>-1.42716508337173</v>
      </c>
      <c r="N604" s="418" t="n">
        <f aca="false">DEGREES(Beta)</f>
        <v>-81.7705359456363</v>
      </c>
      <c r="O604" s="402"/>
      <c r="P604" s="421" t="n">
        <f aca="false">MATCH(t-pas/2-T_ini,CdP_t)</f>
        <v>23</v>
      </c>
      <c r="Q604" s="418" t="n">
        <f aca="false">(INDEX(CdP,2,i_P+1)-INDEX(CdP,2,i_P+0))/(INDEX(CdP,1,i_P+1)-INDEX(CdP,1,i_P+0))*(t-pas/2-T_ini-INDEX(CdP,1,i_P+0))+INDEX(CdP,2,i_P+0)</f>
        <v>0</v>
      </c>
      <c r="R604" s="419" t="n">
        <f aca="false">Poussee/(g*ISP)</f>
        <v>0</v>
      </c>
      <c r="S604" s="420" t="n">
        <f aca="false">S603-Débit*pas</f>
        <v>1.4843</v>
      </c>
      <c r="T604" s="418" t="n">
        <f aca="false">m*g</f>
        <v>14.560983</v>
      </c>
      <c r="U604" s="422" t="n">
        <f aca="false">IF(pos_xz&lt;L_rampe,Poids*COS(Beta),0)</f>
        <v>0</v>
      </c>
      <c r="V604" s="419" t="n">
        <f aca="false">Rho_moyen*(20000-Alt_rampe-pos_z)/(20000+Alt_rampe+pos_z)</f>
        <v>1.22576491600435</v>
      </c>
      <c r="W604" s="418" t="n">
        <f aca="false">1/2*Rho*Sref*Cx*vit_xz^2</f>
        <v>5.56618982958058</v>
      </c>
      <c r="X604" s="402"/>
      <c r="Y604" s="423" t="str">
        <f aca="false">IF(AND(pos_z&lt;=0,K603&gt;0),"Impact balistique","") &amp; IF(AND(H605&lt;0,vit_z&gt;=0),"Apogée","") &amp; IF(AND(Poussee=0,Q603&gt;0),"Fin de propulsion","") &amp; IF(AND(L605&gt;L_rampe,pos_xz&lt;=L_rampe),"Sortie de rampe","")</f>
        <v/>
      </c>
      <c r="Z604" s="424" t="str">
        <f aca="false">IF(ABS(t-T_para)&lt;pas/2,"Para","")</f>
        <v/>
      </c>
      <c r="AA604" s="425" t="str">
        <f aca="false">IF(ABS(t-T_satellite)&lt;pas/2,"Satellite","")</f>
        <v/>
      </c>
      <c r="AB604" s="413"/>
      <c r="AC604" s="421" t="e">
        <f aca="false">IF(ABS(t-ROUND(t,0))&lt;0.001,t,NA())</f>
        <v>#N/A</v>
      </c>
      <c r="AD604" s="426" t="e">
        <f aca="false">IF(ABS(t-ROUND(t,0))&lt;0.001,pos_x,NA())</f>
        <v>#N/A</v>
      </c>
      <c r="AE604" s="427" t="e">
        <f aca="false">IF(t&lt;T_para, pos_z, NA())</f>
        <v>#N/A</v>
      </c>
      <c r="AF604" s="413"/>
      <c r="AG604" s="419" t="n">
        <f aca="false">IF(AND(L603&lt;L_rampe,Poussee&lt;Poids*SIN(M603)),0,(-W603+Poussee)/m-Poids*SIN(M603)/m)</f>
        <v>5.95900252408388</v>
      </c>
      <c r="AH604" s="418" t="n">
        <f aca="false">IF(AND(L603&lt;L_rampe,Poussee&lt;Poids*SIN(M603)), g*SIN(M603), (-W603+Poussee)/m)</f>
        <v>-3.74997874405732</v>
      </c>
    </row>
    <row r="605" customFormat="false" ht="12" hidden="false" customHeight="false" outlineLevel="0" collapsed="false">
      <c r="A605" s="417" t="n">
        <f aca="false">IF(B604+0.01&lt;=T_ini+ROUNDUP(Temps_fin_propu,0), 0.01, IF(K604&gt;0, 0.1, 0.0001))</f>
        <v>0.0001</v>
      </c>
      <c r="B605" s="418" t="n">
        <f aca="false">B604+pas</f>
        <v>16.5255999999999</v>
      </c>
      <c r="C605" s="402"/>
      <c r="D605" s="419" t="n">
        <f aca="false">IF(AND(L604&lt;L_rampe,Poussee&lt;Poids*SIN(M604)),0,(-W604+Poussee)/m*COS(M604)-U604/m*SIN(M604))</f>
        <v>-0.536773384556104</v>
      </c>
      <c r="E605" s="420" t="n">
        <f aca="false">IF(AND(L604&lt;L_rampe,Poussee&lt;Poids*SIN(M604)),0,(-W604+Poussee)/m*SIN(M604)+U604/m*COS(M604)-Poids/m)</f>
        <v>-6.09857144591503</v>
      </c>
      <c r="F605" s="418" t="n">
        <f aca="false">SQRT(acc_x^2+acc_z^2)</f>
        <v>6.12214826244007</v>
      </c>
      <c r="G605" s="419" t="n">
        <f aca="false">G604+acc_x*pas</f>
        <v>10.2734998526547</v>
      </c>
      <c r="H605" s="420" t="n">
        <f aca="false">H604+acc_z*pas</f>
        <v>-71.0353537922764</v>
      </c>
      <c r="I605" s="418" t="n">
        <f aca="false">SQRT(vit_x^2+vit_z^2)</f>
        <v>71.7744124853444</v>
      </c>
      <c r="J605" s="419" t="n">
        <f aca="false">J604+0.5*(vit_x+G604)*pas*(K604&gt;=0)</f>
        <v>211.791153319536</v>
      </c>
      <c r="K605" s="420" t="n">
        <f aca="false">K604+0.5*(vit_z+H604)*pas</f>
        <v>-6.24936688444348</v>
      </c>
      <c r="L605" s="418" t="n">
        <f aca="false">SQRT(pos_x^2+pos_z^2)</f>
        <v>211.883333962055</v>
      </c>
      <c r="M605" s="419" t="n">
        <f aca="false">IF(AND(L604&gt;L_rampe,G605&gt;0),ATAN2(G605,H605),$M$4)</f>
        <v>-1.42716703975531</v>
      </c>
      <c r="N605" s="418" t="n">
        <f aca="false">DEGREES(Beta)</f>
        <v>-81.7706480381585</v>
      </c>
      <c r="O605" s="402"/>
      <c r="P605" s="421" t="n">
        <f aca="false">MATCH(t-pas/2-T_ini,CdP_t)</f>
        <v>23</v>
      </c>
      <c r="Q605" s="418" t="n">
        <f aca="false">(INDEX(CdP,2,i_P+1)-INDEX(CdP,2,i_P+0))/(INDEX(CdP,1,i_P+1)-INDEX(CdP,1,i_P+0))*(t-pas/2-T_ini-INDEX(CdP,1,i_P+0))+INDEX(CdP,2,i_P+0)</f>
        <v>0</v>
      </c>
      <c r="R605" s="419" t="n">
        <f aca="false">Poussee/(g*ISP)</f>
        <v>0</v>
      </c>
      <c r="S605" s="420" t="n">
        <f aca="false">S604-Débit*pas</f>
        <v>1.4843</v>
      </c>
      <c r="T605" s="418" t="n">
        <f aca="false">m*g</f>
        <v>14.560983</v>
      </c>
      <c r="U605" s="422" t="n">
        <f aca="false">IF(pos_xz&lt;L_rampe,Poids*COS(Beta),0)</f>
        <v>0</v>
      </c>
      <c r="V605" s="419" t="n">
        <f aca="false">Rho_moyen*(20000-Alt_rampe-pos_z)/(20000+Alt_rampe+pos_z)</f>
        <v>1.22576578672746</v>
      </c>
      <c r="W605" s="418" t="n">
        <f aca="false">1/2*Rho*Sref*Cx*vit_xz^2</f>
        <v>5.56628620932781</v>
      </c>
      <c r="X605" s="402"/>
      <c r="Y605" s="423" t="str">
        <f aca="false">IF(AND(pos_z&lt;=0,K604&gt;0),"Impact balistique","") &amp; IF(AND(H606&lt;0,vit_z&gt;=0),"Apogée","") &amp; IF(AND(Poussee=0,Q604&gt;0),"Fin de propulsion","") &amp; IF(AND(L606&gt;L_rampe,pos_xz&lt;=L_rampe),"Sortie de rampe","")</f>
        <v/>
      </c>
      <c r="Z605" s="424" t="str">
        <f aca="false">IF(ABS(t-T_para)&lt;pas/2,"Para","")</f>
        <v/>
      </c>
      <c r="AA605" s="425" t="str">
        <f aca="false">IF(ABS(t-T_satellite)&lt;pas/2,"Satellite","")</f>
        <v/>
      </c>
      <c r="AB605" s="413"/>
      <c r="AC605" s="421" t="e">
        <f aca="false">IF(ABS(t-ROUND(t,0))&lt;0.001,t,NA())</f>
        <v>#N/A</v>
      </c>
      <c r="AD605" s="426" t="e">
        <f aca="false">IF(ABS(t-ROUND(t,0))&lt;0.001,pos_x,NA())</f>
        <v>#N/A</v>
      </c>
      <c r="AE605" s="427" t="e">
        <f aca="false">IF(t&lt;T_para, pos_z, NA())</f>
        <v>#N/A</v>
      </c>
      <c r="AF605" s="413"/>
      <c r="AG605" s="419" t="n">
        <f aca="false">IF(AND(L604&lt;L_rampe,Poussee&lt;Poids*SIN(M604)),0,(-W604+Poussee)/m-Poids*SIN(M604)/m)</f>
        <v>5.95894033846831</v>
      </c>
      <c r="AH605" s="418" t="n">
        <f aca="false">IF(AND(L604&lt;L_rampe,Poussee&lt;Poids*SIN(M604)), g*SIN(M604), (-W604+Poussee)/m)</f>
        <v>-3.75004367687165</v>
      </c>
    </row>
    <row r="606" customFormat="false" ht="12" hidden="false" customHeight="false" outlineLevel="0" collapsed="false">
      <c r="A606" s="417" t="n">
        <f aca="false">IF(B605+0.01&lt;=T_ini+ROUNDUP(Temps_fin_propu,0), 0.01, IF(K605&gt;0, 0.1, 0.0001))</f>
        <v>0.0001</v>
      </c>
      <c r="B606" s="418" t="n">
        <f aca="false">B605+pas</f>
        <v>16.5256999999999</v>
      </c>
      <c r="C606" s="402"/>
      <c r="D606" s="419" t="n">
        <f aca="false">IF(AND(L605&lt;L_rampe,Poussee&lt;Poids*SIN(M605)),0,(-W605+Poussee)/m*COS(M605)-U605/m*SIN(M605))</f>
        <v>-0.536775417795489</v>
      </c>
      <c r="E606" s="420" t="n">
        <f aca="false">IF(AND(L605&lt;L_rampe,Poussee&lt;Poids*SIN(M605)),0,(-W605+Poussee)/m*SIN(M605)+U605/m*COS(M605)-Poids/m)</f>
        <v>-6.09850613160356</v>
      </c>
      <c r="F606" s="418" t="n">
        <f aca="false">SQRT(acc_x^2+acc_z^2)</f>
        <v>6.12208337793236</v>
      </c>
      <c r="G606" s="419" t="n">
        <f aca="false">G605+acc_x*pas</f>
        <v>10.2734461751129</v>
      </c>
      <c r="H606" s="420" t="n">
        <f aca="false">H605+acc_z*pas</f>
        <v>-71.0359636428895</v>
      </c>
      <c r="I606" s="418" t="n">
        <f aca="false">SQRT(vit_x^2+vit_z^2)</f>
        <v>71.7750083732971</v>
      </c>
      <c r="J606" s="419" t="n">
        <f aca="false">J605+0.5*(vit_x+G605)*pas*(K605&gt;=0)</f>
        <v>211.791153319536</v>
      </c>
      <c r="K606" s="420" t="n">
        <f aca="false">K605+0.5*(vit_z+H605)*pas</f>
        <v>-6.25647045031524</v>
      </c>
      <c r="L606" s="418" t="n">
        <f aca="false">SQRT(pos_x^2+pos_z^2)</f>
        <v>211.883543596276</v>
      </c>
      <c r="M606" s="419" t="n">
        <f aca="false">IF(AND(L605&gt;L_rampe,G606&gt;0),ATAN2(G606,H606),$M$4)</f>
        <v>-1.42716899609618</v>
      </c>
      <c r="N606" s="418" t="n">
        <f aca="false">DEGREES(Beta)</f>
        <v>-81.7707601282337</v>
      </c>
      <c r="O606" s="402"/>
      <c r="P606" s="421" t="n">
        <f aca="false">MATCH(t-pas/2-T_ini,CdP_t)</f>
        <v>23</v>
      </c>
      <c r="Q606" s="418" t="n">
        <f aca="false">(INDEX(CdP,2,i_P+1)-INDEX(CdP,2,i_P+0))/(INDEX(CdP,1,i_P+1)-INDEX(CdP,1,i_P+0))*(t-pas/2-T_ini-INDEX(CdP,1,i_P+0))+INDEX(CdP,2,i_P+0)</f>
        <v>0</v>
      </c>
      <c r="R606" s="419" t="n">
        <f aca="false">Poussee/(g*ISP)</f>
        <v>0</v>
      </c>
      <c r="S606" s="420" t="n">
        <f aca="false">S605-Débit*pas</f>
        <v>1.4843</v>
      </c>
      <c r="T606" s="418" t="n">
        <f aca="false">m*g</f>
        <v>14.560983</v>
      </c>
      <c r="U606" s="422" t="n">
        <f aca="false">IF(pos_xz&lt;L_rampe,Poids*COS(Beta),0)</f>
        <v>0</v>
      </c>
      <c r="V606" s="419" t="n">
        <f aca="false">Rho_moyen*(20000-Alt_rampe-pos_z)/(20000+Alt_rampe+pos_z)</f>
        <v>1.22576665745865</v>
      </c>
      <c r="W606" s="418" t="n">
        <f aca="false">1/2*Rho*Sref*Cx*vit_xz^2</f>
        <v>5.5663825890459</v>
      </c>
      <c r="X606" s="402"/>
      <c r="Y606" s="423" t="str">
        <f aca="false">IF(AND(pos_z&lt;=0,K605&gt;0),"Impact balistique","") &amp; IF(AND(H607&lt;0,vit_z&gt;=0),"Apogée","") &amp; IF(AND(Poussee=0,Q605&gt;0),"Fin de propulsion","") &amp; IF(AND(L607&gt;L_rampe,pos_xz&lt;=L_rampe),"Sortie de rampe","")</f>
        <v/>
      </c>
      <c r="Z606" s="424" t="str">
        <f aca="false">IF(ABS(t-T_para)&lt;pas/2,"Para","")</f>
        <v/>
      </c>
      <c r="AA606" s="425" t="str">
        <f aca="false">IF(ABS(t-T_satellite)&lt;pas/2,"Satellite","")</f>
        <v/>
      </c>
      <c r="AB606" s="413"/>
      <c r="AC606" s="421" t="e">
        <f aca="false">IF(ABS(t-ROUND(t,0))&lt;0.001,t,NA())</f>
        <v>#N/A</v>
      </c>
      <c r="AD606" s="426" t="e">
        <f aca="false">IF(ABS(t-ROUND(t,0))&lt;0.001,pos_x,NA())</f>
        <v>#N/A</v>
      </c>
      <c r="AE606" s="427" t="e">
        <f aca="false">IF(t&lt;T_para, pos_z, NA())</f>
        <v>#N/A</v>
      </c>
      <c r="AF606" s="413"/>
      <c r="AG606" s="419" t="n">
        <f aca="false">IF(AND(L605&lt;L_rampe,Poussee&lt;Poids*SIN(M605)),0,(-W605+Poussee)/m-Poids*SIN(M605)/m)</f>
        <v>5.9588781527752</v>
      </c>
      <c r="AH606" s="418" t="n">
        <f aca="false">IF(AND(L605&lt;L_rampe,Poussee&lt;Poids*SIN(M605)), g*SIN(M605), (-W605+Poussee)/m)</f>
        <v>-3.75010860966638</v>
      </c>
    </row>
    <row r="607" customFormat="false" ht="12" hidden="false" customHeight="false" outlineLevel="0" collapsed="false">
      <c r="A607" s="417" t="n">
        <f aca="false">IF(B606+0.01&lt;=T_ini+ROUNDUP(Temps_fin_propu,0), 0.01, IF(K606&gt;0, 0.1, 0.0001))</f>
        <v>0.0001</v>
      </c>
      <c r="B607" s="418" t="n">
        <f aca="false">B606+pas</f>
        <v>16.5257999999999</v>
      </c>
      <c r="C607" s="402"/>
      <c r="D607" s="419" t="n">
        <f aca="false">IF(AND(L606&lt;L_rampe,Poussee&lt;Poids*SIN(M606)),0,(-W606+Poussee)/m*COS(M606)-U606/m*SIN(M606))</f>
        <v>-0.536777450937067</v>
      </c>
      <c r="E607" s="420" t="n">
        <f aca="false">IF(AND(L606&lt;L_rampe,Poussee&lt;Poids*SIN(M606)),0,(-W606+Poussee)/m*SIN(M606)+U606/m*COS(M606)-Poids/m)</f>
        <v>-6.09844081731226</v>
      </c>
      <c r="F607" s="418" t="n">
        <f aca="false">SQRT(acc_x^2+acc_z^2)</f>
        <v>6.12201849344599</v>
      </c>
      <c r="G607" s="419" t="n">
        <f aca="false">G606+acc_x*pas</f>
        <v>10.2733924973678</v>
      </c>
      <c r="H607" s="420" t="n">
        <f aca="false">H606+acc_z*pas</f>
        <v>-71.0365734869713</v>
      </c>
      <c r="I607" s="418" t="n">
        <f aca="false">SQRT(vit_x^2+vit_z^2)</f>
        <v>71.7756042550311</v>
      </c>
      <c r="J607" s="419" t="n">
        <f aca="false">J606+0.5*(vit_x+G606)*pas*(K606&gt;=0)</f>
        <v>211.791153319536</v>
      </c>
      <c r="K607" s="420" t="n">
        <f aca="false">K606+0.5*(vit_z+H606)*pas</f>
        <v>-6.26357407717174</v>
      </c>
      <c r="L607" s="418" t="n">
        <f aca="false">SQRT(pos_x^2+pos_z^2)</f>
        <v>211.883753470245</v>
      </c>
      <c r="M607" s="419" t="n">
        <f aca="false">IF(AND(L606&gt;L_rampe,G607&gt;0),ATAN2(G607,H607),$M$4)</f>
        <v>-1.42717095239435</v>
      </c>
      <c r="N607" s="418" t="n">
        <f aca="false">DEGREES(Beta)</f>
        <v>-81.7708722158622</v>
      </c>
      <c r="O607" s="402"/>
      <c r="P607" s="421" t="n">
        <f aca="false">MATCH(t-pas/2-T_ini,CdP_t)</f>
        <v>23</v>
      </c>
      <c r="Q607" s="418" t="n">
        <f aca="false">(INDEX(CdP,2,i_P+1)-INDEX(CdP,2,i_P+0))/(INDEX(CdP,1,i_P+1)-INDEX(CdP,1,i_P+0))*(t-pas/2-T_ini-INDEX(CdP,1,i_P+0))+INDEX(CdP,2,i_P+0)</f>
        <v>0</v>
      </c>
      <c r="R607" s="419" t="n">
        <f aca="false">Poussee/(g*ISP)</f>
        <v>0</v>
      </c>
      <c r="S607" s="420" t="n">
        <f aca="false">S606-Débit*pas</f>
        <v>1.4843</v>
      </c>
      <c r="T607" s="418" t="n">
        <f aca="false">m*g</f>
        <v>14.560983</v>
      </c>
      <c r="U607" s="422" t="n">
        <f aca="false">IF(pos_xz&lt;L_rampe,Poids*COS(Beta),0)</f>
        <v>0</v>
      </c>
      <c r="V607" s="419" t="n">
        <f aca="false">Rho_moyen*(20000-Alt_rampe-pos_z)/(20000+Alt_rampe+pos_z)</f>
        <v>1.22576752819794</v>
      </c>
      <c r="W607" s="418" t="n">
        <f aca="false">1/2*Rho*Sref*Cx*vit_xz^2</f>
        <v>5.56647896873486</v>
      </c>
      <c r="X607" s="402"/>
      <c r="Y607" s="423" t="str">
        <f aca="false">IF(AND(pos_z&lt;=0,K606&gt;0),"Impact balistique","") &amp; IF(AND(H608&lt;0,vit_z&gt;=0),"Apogée","") &amp; IF(AND(Poussee=0,Q606&gt;0),"Fin de propulsion","") &amp; IF(AND(L608&gt;L_rampe,pos_xz&lt;=L_rampe),"Sortie de rampe","")</f>
        <v/>
      </c>
      <c r="Z607" s="424" t="str">
        <f aca="false">IF(ABS(t-T_para)&lt;pas/2,"Para","")</f>
        <v/>
      </c>
      <c r="AA607" s="425" t="str">
        <f aca="false">IF(ABS(t-T_satellite)&lt;pas/2,"Satellite","")</f>
        <v/>
      </c>
      <c r="AB607" s="413"/>
      <c r="AC607" s="421" t="e">
        <f aca="false">IF(ABS(t-ROUND(t,0))&lt;0.001,t,NA())</f>
        <v>#N/A</v>
      </c>
      <c r="AD607" s="426" t="e">
        <f aca="false">IF(ABS(t-ROUND(t,0))&lt;0.001,pos_x,NA())</f>
        <v>#N/A</v>
      </c>
      <c r="AE607" s="427" t="e">
        <f aca="false">IF(t&lt;T_para, pos_z, NA())</f>
        <v>#N/A</v>
      </c>
      <c r="AF607" s="413"/>
      <c r="AG607" s="419" t="n">
        <f aca="false">IF(AND(L606&lt;L_rampe,Poussee&lt;Poids*SIN(M606)),0,(-W606+Poussee)/m-Poids*SIN(M606)/m)</f>
        <v>5.95881596700459</v>
      </c>
      <c r="AH607" s="418" t="n">
        <f aca="false">IF(AND(L606&lt;L_rampe,Poussee&lt;Poids*SIN(M606)), g*SIN(M606), (-W606+Poussee)/m)</f>
        <v>-3.7501735424415</v>
      </c>
    </row>
    <row r="608" customFormat="false" ht="12" hidden="false" customHeight="false" outlineLevel="0" collapsed="false">
      <c r="A608" s="417" t="n">
        <f aca="false">IF(B607+0.01&lt;=T_ini+ROUNDUP(Temps_fin_propu,0), 0.01, IF(K607&gt;0, 0.1, 0.0001))</f>
        <v>0.0001</v>
      </c>
      <c r="B608" s="418" t="n">
        <f aca="false">B607+pas</f>
        <v>16.5258999999999</v>
      </c>
      <c r="C608" s="402"/>
      <c r="D608" s="419" t="n">
        <f aca="false">IF(AND(L607&lt;L_rampe,Poussee&lt;Poids*SIN(M607)),0,(-W607+Poussee)/m*COS(M607)-U607/m*SIN(M607))</f>
        <v>-0.53677948398084</v>
      </c>
      <c r="E608" s="420" t="n">
        <f aca="false">IF(AND(L607&lt;L_rampe,Poussee&lt;Poids*SIN(M607)),0,(-W607+Poussee)/m*SIN(M607)+U607/m*COS(M607)-Poids/m)</f>
        <v>-6.09837550304116</v>
      </c>
      <c r="F608" s="418" t="n">
        <f aca="false">SQRT(acc_x^2+acc_z^2)</f>
        <v>6.12195360898098</v>
      </c>
      <c r="G608" s="419" t="n">
        <f aca="false">G607+acc_x*pas</f>
        <v>10.2733388194194</v>
      </c>
      <c r="H608" s="420" t="n">
        <f aca="false">H607+acc_z*pas</f>
        <v>-71.0371833245216</v>
      </c>
      <c r="I608" s="418" t="n">
        <f aca="false">SQRT(vit_x^2+vit_z^2)</f>
        <v>71.7762001305466</v>
      </c>
      <c r="J608" s="419" t="n">
        <f aca="false">J607+0.5*(vit_x+G607)*pas*(K607&gt;=0)</f>
        <v>211.791153319536</v>
      </c>
      <c r="K608" s="420" t="n">
        <f aca="false">K607+0.5*(vit_z+H607)*pas</f>
        <v>-6.27067776501231</v>
      </c>
      <c r="L608" s="418" t="n">
        <f aca="false">SQRT(pos_x^2+pos_z^2)</f>
        <v>211.883963583967</v>
      </c>
      <c r="M608" s="419" t="n">
        <f aca="false">IF(AND(L607&gt;L_rampe,G608&gt;0),ATAN2(G608,H608),$M$4)</f>
        <v>-1.42717290864981</v>
      </c>
      <c r="N608" s="418" t="n">
        <f aca="false">DEGREES(Beta)</f>
        <v>-81.7709843010439</v>
      </c>
      <c r="O608" s="402"/>
      <c r="P608" s="421" t="n">
        <f aca="false">MATCH(t-pas/2-T_ini,CdP_t)</f>
        <v>23</v>
      </c>
      <c r="Q608" s="418" t="n">
        <f aca="false">(INDEX(CdP,2,i_P+1)-INDEX(CdP,2,i_P+0))/(INDEX(CdP,1,i_P+1)-INDEX(CdP,1,i_P+0))*(t-pas/2-T_ini-INDEX(CdP,1,i_P+0))+INDEX(CdP,2,i_P+0)</f>
        <v>0</v>
      </c>
      <c r="R608" s="419" t="n">
        <f aca="false">Poussee/(g*ISP)</f>
        <v>0</v>
      </c>
      <c r="S608" s="420" t="n">
        <f aca="false">S607-Débit*pas</f>
        <v>1.4843</v>
      </c>
      <c r="T608" s="418" t="n">
        <f aca="false">m*g</f>
        <v>14.560983</v>
      </c>
      <c r="U608" s="422" t="n">
        <f aca="false">IF(pos_xz&lt;L_rampe,Poids*COS(Beta),0)</f>
        <v>0</v>
      </c>
      <c r="V608" s="419" t="n">
        <f aca="false">Rho_moyen*(20000-Alt_rampe-pos_z)/(20000+Alt_rampe+pos_z)</f>
        <v>1.22576839894532</v>
      </c>
      <c r="W608" s="418" t="n">
        <f aca="false">1/2*Rho*Sref*Cx*vit_xz^2</f>
        <v>5.56657534839464</v>
      </c>
      <c r="X608" s="402"/>
      <c r="Y608" s="423" t="str">
        <f aca="false">IF(AND(pos_z&lt;=0,K607&gt;0),"Impact balistique","") &amp; IF(AND(H609&lt;0,vit_z&gt;=0),"Apogée","") &amp; IF(AND(Poussee=0,Q607&gt;0),"Fin de propulsion","") &amp; IF(AND(L609&gt;L_rampe,pos_xz&lt;=L_rampe),"Sortie de rampe","")</f>
        <v/>
      </c>
      <c r="Z608" s="424" t="str">
        <f aca="false">IF(ABS(t-T_para)&lt;pas/2,"Para","")</f>
        <v/>
      </c>
      <c r="AA608" s="425" t="str">
        <f aca="false">IF(ABS(t-T_satellite)&lt;pas/2,"Satellite","")</f>
        <v/>
      </c>
      <c r="AB608" s="413"/>
      <c r="AC608" s="421" t="e">
        <f aca="false">IF(ABS(t-ROUND(t,0))&lt;0.001,t,NA())</f>
        <v>#N/A</v>
      </c>
      <c r="AD608" s="426" t="e">
        <f aca="false">IF(ABS(t-ROUND(t,0))&lt;0.001,pos_x,NA())</f>
        <v>#N/A</v>
      </c>
      <c r="AE608" s="427" t="e">
        <f aca="false">IF(t&lt;T_para, pos_z, NA())</f>
        <v>#N/A</v>
      </c>
      <c r="AF608" s="413"/>
      <c r="AG608" s="419" t="n">
        <f aca="false">IF(AND(L607&lt;L_rampe,Poussee&lt;Poids*SIN(M607)),0,(-W607+Poussee)/m-Poids*SIN(M607)/m)</f>
        <v>5.9587537811565</v>
      </c>
      <c r="AH608" s="418" t="n">
        <f aca="false">IF(AND(L607&lt;L_rampe,Poussee&lt;Poids*SIN(M607)), g*SIN(M607), (-W607+Poussee)/m)</f>
        <v>-3.75023847519697</v>
      </c>
    </row>
    <row r="609" customFormat="false" ht="12" hidden="false" customHeight="false" outlineLevel="0" collapsed="false">
      <c r="A609" s="417" t="n">
        <f aca="false">IF(B608+0.01&lt;=T_ini+ROUNDUP(Temps_fin_propu,0), 0.01, IF(K608&gt;0, 0.1, 0.0001))</f>
        <v>0.0001</v>
      </c>
      <c r="B609" s="418" t="n">
        <f aca="false">B608+pas</f>
        <v>16.5259999999999</v>
      </c>
      <c r="C609" s="402"/>
      <c r="D609" s="419" t="n">
        <f aca="false">IF(AND(L608&lt;L_rampe,Poussee&lt;Poids*SIN(M608)),0,(-W608+Poussee)/m*COS(M608)-U608/m*SIN(M608))</f>
        <v>-0.536781516926805</v>
      </c>
      <c r="E609" s="420" t="n">
        <f aca="false">IF(AND(L608&lt;L_rampe,Poussee&lt;Poids*SIN(M608)),0,(-W608+Poussee)/m*SIN(M608)+U608/m*COS(M608)-Poids/m)</f>
        <v>-6.09831018879028</v>
      </c>
      <c r="F609" s="418" t="n">
        <f aca="false">SQRT(acc_x^2+acc_z^2)</f>
        <v>6.12188872453735</v>
      </c>
      <c r="G609" s="419" t="n">
        <f aca="false">G608+acc_x*pas</f>
        <v>10.2732851412677</v>
      </c>
      <c r="H609" s="420" t="n">
        <f aca="false">H608+acc_z*pas</f>
        <v>-71.0377931555404</v>
      </c>
      <c r="I609" s="418" t="n">
        <f aca="false">SQRT(vit_x^2+vit_z^2)</f>
        <v>71.7767959998434</v>
      </c>
      <c r="J609" s="419" t="n">
        <f aca="false">J608+0.5*(vit_x+G608)*pas*(K608&gt;=0)</f>
        <v>211.791153319536</v>
      </c>
      <c r="K609" s="420" t="n">
        <f aca="false">K608+0.5*(vit_z+H608)*pas</f>
        <v>-6.27778151383631</v>
      </c>
      <c r="L609" s="418" t="n">
        <f aca="false">SQRT(pos_x^2+pos_z^2)</f>
        <v>211.884173937448</v>
      </c>
      <c r="M609" s="419" t="n">
        <f aca="false">IF(AND(L608&gt;L_rampe,G609&gt;0),ATAN2(G609,H609),$M$4)</f>
        <v>-1.42717486486257</v>
      </c>
      <c r="N609" s="418" t="n">
        <f aca="false">DEGREES(Beta)</f>
        <v>-81.771096383779</v>
      </c>
      <c r="O609" s="402"/>
      <c r="P609" s="421" t="n">
        <f aca="false">MATCH(t-pas/2-T_ini,CdP_t)</f>
        <v>23</v>
      </c>
      <c r="Q609" s="418" t="n">
        <f aca="false">(INDEX(CdP,2,i_P+1)-INDEX(CdP,2,i_P+0))/(INDEX(CdP,1,i_P+1)-INDEX(CdP,1,i_P+0))*(t-pas/2-T_ini-INDEX(CdP,1,i_P+0))+INDEX(CdP,2,i_P+0)</f>
        <v>0</v>
      </c>
      <c r="R609" s="419" t="n">
        <f aca="false">Poussee/(g*ISP)</f>
        <v>0</v>
      </c>
      <c r="S609" s="420" t="n">
        <f aca="false">S608-Débit*pas</f>
        <v>1.4843</v>
      </c>
      <c r="T609" s="418" t="n">
        <f aca="false">m*g</f>
        <v>14.560983</v>
      </c>
      <c r="U609" s="422" t="n">
        <f aca="false">IF(pos_xz&lt;L_rampe,Poids*COS(Beta),0)</f>
        <v>0</v>
      </c>
      <c r="V609" s="419" t="n">
        <f aca="false">Rho_moyen*(20000-Alt_rampe-pos_z)/(20000+Alt_rampe+pos_z)</f>
        <v>1.2257692697008</v>
      </c>
      <c r="W609" s="418" t="n">
        <f aca="false">1/2*Rho*Sref*Cx*vit_xz^2</f>
        <v>5.56667172802522</v>
      </c>
      <c r="X609" s="402"/>
      <c r="Y609" s="423" t="str">
        <f aca="false">IF(AND(pos_z&lt;=0,K608&gt;0),"Impact balistique","") &amp; IF(AND(H610&lt;0,vit_z&gt;=0),"Apogée","") &amp; IF(AND(Poussee=0,Q608&gt;0),"Fin de propulsion","") &amp; IF(AND(L610&gt;L_rampe,pos_xz&lt;=L_rampe),"Sortie de rampe","")</f>
        <v/>
      </c>
      <c r="Z609" s="424" t="str">
        <f aca="false">IF(ABS(t-T_para)&lt;pas/2,"Para","")</f>
        <v/>
      </c>
      <c r="AA609" s="425" t="str">
        <f aca="false">IF(ABS(t-T_satellite)&lt;pas/2,"Satellite","")</f>
        <v/>
      </c>
      <c r="AB609" s="413"/>
      <c r="AC609" s="421" t="e">
        <f aca="false">IF(ABS(t-ROUND(t,0))&lt;0.001,t,NA())</f>
        <v>#N/A</v>
      </c>
      <c r="AD609" s="426" t="e">
        <f aca="false">IF(ABS(t-ROUND(t,0))&lt;0.001,pos_x,NA())</f>
        <v>#N/A</v>
      </c>
      <c r="AE609" s="427" t="e">
        <f aca="false">IF(t&lt;T_para, pos_z, NA())</f>
        <v>#N/A</v>
      </c>
      <c r="AF609" s="413"/>
      <c r="AG609" s="419" t="n">
        <f aca="false">IF(AND(L608&lt;L_rampe,Poussee&lt;Poids*SIN(M608)),0,(-W608+Poussee)/m-Poids*SIN(M608)/m)</f>
        <v>5.95869159523094</v>
      </c>
      <c r="AH609" s="418" t="n">
        <f aca="false">IF(AND(L608&lt;L_rampe,Poussee&lt;Poids*SIN(M608)), g*SIN(M608), (-W608+Poussee)/m)</f>
        <v>-3.75030340793279</v>
      </c>
    </row>
    <row r="610" customFormat="false" ht="12" hidden="false" customHeight="false" outlineLevel="0" collapsed="false">
      <c r="A610" s="417" t="n">
        <f aca="false">IF(B609+0.01&lt;=T_ini+ROUNDUP(Temps_fin_propu,0), 0.01, IF(K609&gt;0, 0.1, 0.0001))</f>
        <v>0.0001</v>
      </c>
      <c r="B610" s="418" t="n">
        <f aca="false">B609+pas</f>
        <v>16.5260999999999</v>
      </c>
      <c r="C610" s="402"/>
      <c r="D610" s="419" t="n">
        <f aca="false">IF(AND(L609&lt;L_rampe,Poussee&lt;Poids*SIN(M609)),0,(-W609+Poussee)/m*COS(M609)-U609/m*SIN(M609))</f>
        <v>-0.536783549774966</v>
      </c>
      <c r="E610" s="420" t="n">
        <f aca="false">IF(AND(L609&lt;L_rampe,Poussee&lt;Poids*SIN(M609)),0,(-W609+Poussee)/m*SIN(M609)+U609/m*COS(M609)-Poids/m)</f>
        <v>-6.09824487455962</v>
      </c>
      <c r="F610" s="418" t="n">
        <f aca="false">SQRT(acc_x^2+acc_z^2)</f>
        <v>6.12182384011511</v>
      </c>
      <c r="G610" s="419" t="n">
        <f aca="false">G609+acc_x*pas</f>
        <v>10.2732314629127</v>
      </c>
      <c r="H610" s="420" t="n">
        <f aca="false">H609+acc_z*pas</f>
        <v>-71.0384029800279</v>
      </c>
      <c r="I610" s="418" t="n">
        <f aca="false">SQRT(vit_x^2+vit_z^2)</f>
        <v>71.7773918629217</v>
      </c>
      <c r="J610" s="419" t="n">
        <f aca="false">J609+0.5*(vit_x+G609)*pas*(K609&gt;=0)</f>
        <v>211.791153319536</v>
      </c>
      <c r="K610" s="420" t="n">
        <f aca="false">K609+0.5*(vit_z+H609)*pas</f>
        <v>-6.28488532364309</v>
      </c>
      <c r="L610" s="418" t="n">
        <f aca="false">SQRT(pos_x^2+pos_z^2)</f>
        <v>211.884384530693</v>
      </c>
      <c r="M610" s="419" t="n">
        <f aca="false">IF(AND(L609&gt;L_rampe,G610&gt;0),ATAN2(G610,H610),$M$4)</f>
        <v>-1.42717682103264</v>
      </c>
      <c r="N610" s="418" t="n">
        <f aca="false">DEGREES(Beta)</f>
        <v>-81.7712084640676</v>
      </c>
      <c r="O610" s="402"/>
      <c r="P610" s="421" t="n">
        <f aca="false">MATCH(t-pas/2-T_ini,CdP_t)</f>
        <v>23</v>
      </c>
      <c r="Q610" s="418" t="n">
        <f aca="false">(INDEX(CdP,2,i_P+1)-INDEX(CdP,2,i_P+0))/(INDEX(CdP,1,i_P+1)-INDEX(CdP,1,i_P+0))*(t-pas/2-T_ini-INDEX(CdP,1,i_P+0))+INDEX(CdP,2,i_P+0)</f>
        <v>0</v>
      </c>
      <c r="R610" s="419" t="n">
        <f aca="false">Poussee/(g*ISP)</f>
        <v>0</v>
      </c>
      <c r="S610" s="420" t="n">
        <f aca="false">S609-Débit*pas</f>
        <v>1.4843</v>
      </c>
      <c r="T610" s="418" t="n">
        <f aca="false">m*g</f>
        <v>14.560983</v>
      </c>
      <c r="U610" s="422" t="n">
        <f aca="false">IF(pos_xz&lt;L_rampe,Poids*COS(Beta),0)</f>
        <v>0</v>
      </c>
      <c r="V610" s="419" t="n">
        <f aca="false">Rho_moyen*(20000-Alt_rampe-pos_z)/(20000+Alt_rampe+pos_z)</f>
        <v>1.22577014046437</v>
      </c>
      <c r="W610" s="418" t="n">
        <f aca="false">1/2*Rho*Sref*Cx*vit_xz^2</f>
        <v>5.56676810762659</v>
      </c>
      <c r="X610" s="402"/>
      <c r="Y610" s="423" t="str">
        <f aca="false">IF(AND(pos_z&lt;=0,K609&gt;0),"Impact balistique","") &amp; IF(AND(H611&lt;0,vit_z&gt;=0),"Apogée","") &amp; IF(AND(Poussee=0,Q609&gt;0),"Fin de propulsion","") &amp; IF(AND(L611&gt;L_rampe,pos_xz&lt;=L_rampe),"Sortie de rampe","")</f>
        <v/>
      </c>
      <c r="Z610" s="424" t="str">
        <f aca="false">IF(ABS(t-T_para)&lt;pas/2,"Para","")</f>
        <v/>
      </c>
      <c r="AA610" s="425" t="str">
        <f aca="false">IF(ABS(t-T_satellite)&lt;pas/2,"Satellite","")</f>
        <v/>
      </c>
      <c r="AB610" s="413"/>
      <c r="AC610" s="421" t="e">
        <f aca="false">IF(ABS(t-ROUND(t,0))&lt;0.001,t,NA())</f>
        <v>#N/A</v>
      </c>
      <c r="AD610" s="426" t="e">
        <f aca="false">IF(ABS(t-ROUND(t,0))&lt;0.001,pos_x,NA())</f>
        <v>#N/A</v>
      </c>
      <c r="AE610" s="427" t="e">
        <f aca="false">IF(t&lt;T_para, pos_z, NA())</f>
        <v>#N/A</v>
      </c>
      <c r="AF610" s="413"/>
      <c r="AG610" s="419" t="n">
        <f aca="false">IF(AND(L609&lt;L_rampe,Poussee&lt;Poids*SIN(M609)),0,(-W609+Poussee)/m-Poids*SIN(M609)/m)</f>
        <v>5.95862940922794</v>
      </c>
      <c r="AH610" s="418" t="n">
        <f aca="false">IF(AND(L609&lt;L_rampe,Poussee&lt;Poids*SIN(M609)), g*SIN(M609), (-W609+Poussee)/m)</f>
        <v>-3.75036834064894</v>
      </c>
    </row>
    <row r="611" customFormat="false" ht="12" hidden="false" customHeight="false" outlineLevel="0" collapsed="false">
      <c r="A611" s="417" t="n">
        <f aca="false">IF(B610+0.01&lt;=T_ini+ROUNDUP(Temps_fin_propu,0), 0.01, IF(K610&gt;0, 0.1, 0.0001))</f>
        <v>0.0001</v>
      </c>
      <c r="B611" s="418" t="n">
        <f aca="false">B610+pas</f>
        <v>16.5261999999999</v>
      </c>
      <c r="C611" s="402"/>
      <c r="D611" s="419" t="n">
        <f aca="false">IF(AND(L610&lt;L_rampe,Poussee&lt;Poids*SIN(M610)),0,(-W610+Poussee)/m*COS(M610)-U610/m*SIN(M610))</f>
        <v>-0.536785582525323</v>
      </c>
      <c r="E611" s="420" t="n">
        <f aca="false">IF(AND(L610&lt;L_rampe,Poussee&lt;Poids*SIN(M610)),0,(-W610+Poussee)/m*SIN(M610)+U610/m*COS(M610)-Poids/m)</f>
        <v>-6.09817956034922</v>
      </c>
      <c r="F611" s="418" t="n">
        <f aca="false">SQRT(acc_x^2+acc_z^2)</f>
        <v>6.12175895571428</v>
      </c>
      <c r="G611" s="419" t="n">
        <f aca="false">G610+acc_x*pas</f>
        <v>10.2731777843545</v>
      </c>
      <c r="H611" s="420" t="n">
        <f aca="false">H610+acc_z*pas</f>
        <v>-71.0390127979839</v>
      </c>
      <c r="I611" s="418" t="n">
        <f aca="false">SQRT(vit_x^2+vit_z^2)</f>
        <v>71.7779877197813</v>
      </c>
      <c r="J611" s="419" t="n">
        <f aca="false">J610+0.5*(vit_x+G610)*pas*(K610&gt;=0)</f>
        <v>211.791153319536</v>
      </c>
      <c r="K611" s="420" t="n">
        <f aca="false">K610+0.5*(vit_z+H610)*pas</f>
        <v>-6.29198919443199</v>
      </c>
      <c r="L611" s="418" t="n">
        <f aca="false">SQRT(pos_x^2+pos_z^2)</f>
        <v>211.884595363708</v>
      </c>
      <c r="M611" s="419" t="n">
        <f aca="false">IF(AND(L610&gt;L_rampe,G611&gt;0),ATAN2(G611,H611),$M$4)</f>
        <v>-1.42717877716</v>
      </c>
      <c r="N611" s="418" t="n">
        <f aca="false">DEGREES(Beta)</f>
        <v>-81.7713205419097</v>
      </c>
      <c r="O611" s="402"/>
      <c r="P611" s="421" t="n">
        <f aca="false">MATCH(t-pas/2-T_ini,CdP_t)</f>
        <v>23</v>
      </c>
      <c r="Q611" s="418" t="n">
        <f aca="false">(INDEX(CdP,2,i_P+1)-INDEX(CdP,2,i_P+0))/(INDEX(CdP,1,i_P+1)-INDEX(CdP,1,i_P+0))*(t-pas/2-T_ini-INDEX(CdP,1,i_P+0))+INDEX(CdP,2,i_P+0)</f>
        <v>0</v>
      </c>
      <c r="R611" s="419" t="n">
        <f aca="false">Poussee/(g*ISP)</f>
        <v>0</v>
      </c>
      <c r="S611" s="420" t="n">
        <f aca="false">S610-Débit*pas</f>
        <v>1.4843</v>
      </c>
      <c r="T611" s="418" t="n">
        <f aca="false">m*g</f>
        <v>14.560983</v>
      </c>
      <c r="U611" s="422" t="n">
        <f aca="false">IF(pos_xz&lt;L_rampe,Poids*COS(Beta),0)</f>
        <v>0</v>
      </c>
      <c r="V611" s="419" t="n">
        <f aca="false">Rho_moyen*(20000-Alt_rampe-pos_z)/(20000+Alt_rampe+pos_z)</f>
        <v>1.22577101123604</v>
      </c>
      <c r="W611" s="418" t="n">
        <f aca="false">1/2*Rho*Sref*Cx*vit_xz^2</f>
        <v>5.56686448719871</v>
      </c>
      <c r="X611" s="402"/>
      <c r="Y611" s="423" t="str">
        <f aca="false">IF(AND(pos_z&lt;=0,K610&gt;0),"Impact balistique","") &amp; IF(AND(H612&lt;0,vit_z&gt;=0),"Apogée","") &amp; IF(AND(Poussee=0,Q610&gt;0),"Fin de propulsion","") &amp; IF(AND(L612&gt;L_rampe,pos_xz&lt;=L_rampe),"Sortie de rampe","")</f>
        <v/>
      </c>
      <c r="Z611" s="424" t="str">
        <f aca="false">IF(ABS(t-T_para)&lt;pas/2,"Para","")</f>
        <v/>
      </c>
      <c r="AA611" s="425" t="str">
        <f aca="false">IF(ABS(t-T_satellite)&lt;pas/2,"Satellite","")</f>
        <v/>
      </c>
      <c r="AB611" s="413"/>
      <c r="AC611" s="421" t="e">
        <f aca="false">IF(ABS(t-ROUND(t,0))&lt;0.001,t,NA())</f>
        <v>#N/A</v>
      </c>
      <c r="AD611" s="426" t="e">
        <f aca="false">IF(ABS(t-ROUND(t,0))&lt;0.001,pos_x,NA())</f>
        <v>#N/A</v>
      </c>
      <c r="AE611" s="427" t="e">
        <f aca="false">IF(t&lt;T_para, pos_z, NA())</f>
        <v>#N/A</v>
      </c>
      <c r="AF611" s="413"/>
      <c r="AG611" s="419" t="n">
        <f aca="false">IF(AND(L610&lt;L_rampe,Poussee&lt;Poids*SIN(M610)),0,(-W610+Poussee)/m-Poids*SIN(M610)/m)</f>
        <v>5.95856722314751</v>
      </c>
      <c r="AH611" s="418" t="n">
        <f aca="false">IF(AND(L610&lt;L_rampe,Poussee&lt;Poids*SIN(M610)), g*SIN(M610), (-W610+Poussee)/m)</f>
        <v>-3.75043327334541</v>
      </c>
    </row>
    <row r="612" customFormat="false" ht="12" hidden="false" customHeight="false" outlineLevel="0" collapsed="false">
      <c r="A612" s="417" t="n">
        <f aca="false">IF(B611+0.01&lt;=T_ini+ROUNDUP(Temps_fin_propu,0), 0.01, IF(K611&gt;0, 0.1, 0.0001))</f>
        <v>0.0001</v>
      </c>
      <c r="B612" s="418" t="n">
        <f aca="false">B611+pas</f>
        <v>16.5262999999999</v>
      </c>
      <c r="C612" s="402"/>
      <c r="D612" s="419" t="n">
        <f aca="false">IF(AND(L611&lt;L_rampe,Poussee&lt;Poids*SIN(M611)),0,(-W611+Poussee)/m*COS(M611)-U611/m*SIN(M611))</f>
        <v>-0.536787615177876</v>
      </c>
      <c r="E612" s="420" t="n">
        <f aca="false">IF(AND(L611&lt;L_rampe,Poussee&lt;Poids*SIN(M611)),0,(-W611+Poussee)/m*SIN(M611)+U611/m*COS(M611)-Poids/m)</f>
        <v>-6.09811424615907</v>
      </c>
      <c r="F612" s="418" t="n">
        <f aca="false">SQRT(acc_x^2+acc_z^2)</f>
        <v>6.12169407133488</v>
      </c>
      <c r="G612" s="419" t="n">
        <f aca="false">G611+acc_x*pas</f>
        <v>10.2731241055929</v>
      </c>
      <c r="H612" s="420" t="n">
        <f aca="false">H611+acc_z*pas</f>
        <v>-71.0396226094085</v>
      </c>
      <c r="I612" s="418" t="n">
        <f aca="false">SQRT(vit_x^2+vit_z^2)</f>
        <v>71.7785835704223</v>
      </c>
      <c r="J612" s="419" t="n">
        <f aca="false">J611+0.5*(vit_x+G611)*pas*(K611&gt;=0)</f>
        <v>211.791153319536</v>
      </c>
      <c r="K612" s="420" t="n">
        <f aca="false">K611+0.5*(vit_z+H611)*pas</f>
        <v>-6.29909312620236</v>
      </c>
      <c r="L612" s="418" t="n">
        <f aca="false">SQRT(pos_x^2+pos_z^2)</f>
        <v>211.884806436497</v>
      </c>
      <c r="M612" s="419" t="n">
        <f aca="false">IF(AND(L611&gt;L_rampe,G612&gt;0),ATAN2(G612,H612),$M$4)</f>
        <v>-1.42718073324466</v>
      </c>
      <c r="N612" s="418" t="n">
        <f aca="false">DEGREES(Beta)</f>
        <v>-81.7714326173054</v>
      </c>
      <c r="O612" s="402"/>
      <c r="P612" s="421" t="n">
        <f aca="false">MATCH(t-pas/2-T_ini,CdP_t)</f>
        <v>23</v>
      </c>
      <c r="Q612" s="418" t="n">
        <f aca="false">(INDEX(CdP,2,i_P+1)-INDEX(CdP,2,i_P+0))/(INDEX(CdP,1,i_P+1)-INDEX(CdP,1,i_P+0))*(t-pas/2-T_ini-INDEX(CdP,1,i_P+0))+INDEX(CdP,2,i_P+0)</f>
        <v>0</v>
      </c>
      <c r="R612" s="419" t="n">
        <f aca="false">Poussee/(g*ISP)</f>
        <v>0</v>
      </c>
      <c r="S612" s="420" t="n">
        <f aca="false">S611-Débit*pas</f>
        <v>1.4843</v>
      </c>
      <c r="T612" s="418" t="n">
        <f aca="false">m*g</f>
        <v>14.560983</v>
      </c>
      <c r="U612" s="422" t="n">
        <f aca="false">IF(pos_xz&lt;L_rampe,Poids*COS(Beta),0)</f>
        <v>0</v>
      </c>
      <c r="V612" s="419" t="n">
        <f aca="false">Rho_moyen*(20000-Alt_rampe-pos_z)/(20000+Alt_rampe+pos_z)</f>
        <v>1.2257718820158</v>
      </c>
      <c r="W612" s="418" t="n">
        <f aca="false">1/2*Rho*Sref*Cx*vit_xz^2</f>
        <v>5.56696086674157</v>
      </c>
      <c r="X612" s="402"/>
      <c r="Y612" s="423" t="str">
        <f aca="false">IF(AND(pos_z&lt;=0,K611&gt;0),"Impact balistique","") &amp; IF(AND(H613&lt;0,vit_z&gt;=0),"Apogée","") &amp; IF(AND(Poussee=0,Q611&gt;0),"Fin de propulsion","") &amp; IF(AND(L613&gt;L_rampe,pos_xz&lt;=L_rampe),"Sortie de rampe","")</f>
        <v/>
      </c>
      <c r="Z612" s="424" t="str">
        <f aca="false">IF(ABS(t-T_para)&lt;pas/2,"Para","")</f>
        <v/>
      </c>
      <c r="AA612" s="425" t="str">
        <f aca="false">IF(ABS(t-T_satellite)&lt;pas/2,"Satellite","")</f>
        <v/>
      </c>
      <c r="AB612" s="413"/>
      <c r="AC612" s="421" t="e">
        <f aca="false">IF(ABS(t-ROUND(t,0))&lt;0.001,t,NA())</f>
        <v>#N/A</v>
      </c>
      <c r="AD612" s="426" t="e">
        <f aca="false">IF(ABS(t-ROUND(t,0))&lt;0.001,pos_x,NA())</f>
        <v>#N/A</v>
      </c>
      <c r="AE612" s="427" t="e">
        <f aca="false">IF(t&lt;T_para, pos_z, NA())</f>
        <v>#N/A</v>
      </c>
      <c r="AF612" s="413"/>
      <c r="AG612" s="419" t="n">
        <f aca="false">IF(AND(L611&lt;L_rampe,Poussee&lt;Poids*SIN(M611)),0,(-W611+Poussee)/m-Poids*SIN(M611)/m)</f>
        <v>5.95850503698968</v>
      </c>
      <c r="AH612" s="418" t="n">
        <f aca="false">IF(AND(L611&lt;L_rampe,Poussee&lt;Poids*SIN(M611)), g*SIN(M611), (-W611+Poussee)/m)</f>
        <v>-3.75049820602218</v>
      </c>
    </row>
    <row r="613" customFormat="false" ht="12" hidden="false" customHeight="false" outlineLevel="0" collapsed="false">
      <c r="A613" s="417" t="n">
        <f aca="false">IF(B612+0.01&lt;=T_ini+ROUNDUP(Temps_fin_propu,0), 0.01, IF(K612&gt;0, 0.1, 0.0001))</f>
        <v>0.0001</v>
      </c>
      <c r="B613" s="418" t="n">
        <f aca="false">B612+pas</f>
        <v>16.5263999999999</v>
      </c>
      <c r="C613" s="402"/>
      <c r="D613" s="419" t="n">
        <f aca="false">IF(AND(L612&lt;L_rampe,Poussee&lt;Poids*SIN(M612)),0,(-W612+Poussee)/m*COS(M612)-U612/m*SIN(M612))</f>
        <v>-0.536789647732627</v>
      </c>
      <c r="E613" s="420" t="n">
        <f aca="false">IF(AND(L612&lt;L_rampe,Poussee&lt;Poids*SIN(M612)),0,(-W612+Poussee)/m*SIN(M612)+U612/m*COS(M612)-Poids/m)</f>
        <v>-6.09804893198921</v>
      </c>
      <c r="F613" s="418" t="n">
        <f aca="false">SQRT(acc_x^2+acc_z^2)</f>
        <v>6.12162918697692</v>
      </c>
      <c r="G613" s="419" t="n">
        <f aca="false">G612+acc_x*pas</f>
        <v>10.2730704266282</v>
      </c>
      <c r="H613" s="420" t="n">
        <f aca="false">H612+acc_z*pas</f>
        <v>-71.0402324143017</v>
      </c>
      <c r="I613" s="418" t="n">
        <f aca="false">SQRT(vit_x^2+vit_z^2)</f>
        <v>71.7791794148447</v>
      </c>
      <c r="J613" s="419" t="n">
        <f aca="false">J612+0.5*(vit_x+G612)*pas*(K612&gt;=0)</f>
        <v>211.791153319536</v>
      </c>
      <c r="K613" s="420" t="n">
        <f aca="false">K612+0.5*(vit_z+H612)*pas</f>
        <v>-6.30619711895355</v>
      </c>
      <c r="L613" s="418" t="n">
        <f aca="false">SQRT(pos_x^2+pos_z^2)</f>
        <v>211.885017749067</v>
      </c>
      <c r="M613" s="419" t="n">
        <f aca="false">IF(AND(L612&gt;L_rampe,G613&gt;0),ATAN2(G613,H613),$M$4)</f>
        <v>-1.42718268928663</v>
      </c>
      <c r="N613" s="418" t="n">
        <f aca="false">DEGREES(Beta)</f>
        <v>-81.7715446902548</v>
      </c>
      <c r="O613" s="402"/>
      <c r="P613" s="421" t="n">
        <f aca="false">MATCH(t-pas/2-T_ini,CdP_t)</f>
        <v>23</v>
      </c>
      <c r="Q613" s="418" t="n">
        <f aca="false">(INDEX(CdP,2,i_P+1)-INDEX(CdP,2,i_P+0))/(INDEX(CdP,1,i_P+1)-INDEX(CdP,1,i_P+0))*(t-pas/2-T_ini-INDEX(CdP,1,i_P+0))+INDEX(CdP,2,i_P+0)</f>
        <v>0</v>
      </c>
      <c r="R613" s="419" t="n">
        <f aca="false">Poussee/(g*ISP)</f>
        <v>0</v>
      </c>
      <c r="S613" s="420" t="n">
        <f aca="false">S612-Débit*pas</f>
        <v>1.4843</v>
      </c>
      <c r="T613" s="418" t="n">
        <f aca="false">m*g</f>
        <v>14.560983</v>
      </c>
      <c r="U613" s="422" t="n">
        <f aca="false">IF(pos_xz&lt;L_rampe,Poids*COS(Beta),0)</f>
        <v>0</v>
      </c>
      <c r="V613" s="419" t="n">
        <f aca="false">Rho_moyen*(20000-Alt_rampe-pos_z)/(20000+Alt_rampe+pos_z)</f>
        <v>1.22577275280365</v>
      </c>
      <c r="W613" s="418" t="n">
        <f aca="false">1/2*Rho*Sref*Cx*vit_xz^2</f>
        <v>5.56705724625513</v>
      </c>
      <c r="X613" s="402"/>
      <c r="Y613" s="423" t="str">
        <f aca="false">IF(AND(pos_z&lt;=0,K612&gt;0),"Impact balistique","") &amp; IF(AND(H614&lt;0,vit_z&gt;=0),"Apogée","") &amp; IF(AND(Poussee=0,Q612&gt;0),"Fin de propulsion","") &amp; IF(AND(L614&gt;L_rampe,pos_xz&lt;=L_rampe),"Sortie de rampe","")</f>
        <v/>
      </c>
      <c r="Z613" s="424" t="str">
        <f aca="false">IF(ABS(t-T_para)&lt;pas/2,"Para","")</f>
        <v/>
      </c>
      <c r="AA613" s="425" t="str">
        <f aca="false">IF(ABS(t-T_satellite)&lt;pas/2,"Satellite","")</f>
        <v/>
      </c>
      <c r="AB613" s="413"/>
      <c r="AC613" s="421" t="e">
        <f aca="false">IF(ABS(t-ROUND(t,0))&lt;0.001,t,NA())</f>
        <v>#N/A</v>
      </c>
      <c r="AD613" s="426" t="e">
        <f aca="false">IF(ABS(t-ROUND(t,0))&lt;0.001,pos_x,NA())</f>
        <v>#N/A</v>
      </c>
      <c r="AE613" s="427" t="e">
        <f aca="false">IF(t&lt;T_para, pos_z, NA())</f>
        <v>#N/A</v>
      </c>
      <c r="AF613" s="413"/>
      <c r="AG613" s="419" t="n">
        <f aca="false">IF(AND(L612&lt;L_rampe,Poussee&lt;Poids*SIN(M612)),0,(-W612+Poussee)/m-Poids*SIN(M612)/m)</f>
        <v>5.95844285075447</v>
      </c>
      <c r="AH613" s="418" t="n">
        <f aca="false">IF(AND(L612&lt;L_rampe,Poussee&lt;Poids*SIN(M612)), g*SIN(M612), (-W612+Poussee)/m)</f>
        <v>-3.75056313867923</v>
      </c>
    </row>
    <row r="614" customFormat="false" ht="12" hidden="false" customHeight="false" outlineLevel="0" collapsed="false">
      <c r="A614" s="417" t="n">
        <f aca="false">IF(B613+0.01&lt;=T_ini+ROUNDUP(Temps_fin_propu,0), 0.01, IF(K613&gt;0, 0.1, 0.0001))</f>
        <v>0.0001</v>
      </c>
      <c r="B614" s="418" t="n">
        <f aca="false">B613+pas</f>
        <v>16.5264999999999</v>
      </c>
      <c r="C614" s="402"/>
      <c r="D614" s="419" t="n">
        <f aca="false">IF(AND(L613&lt;L_rampe,Poussee&lt;Poids*SIN(M613)),0,(-W613+Poussee)/m*COS(M613)-U613/m*SIN(M613))</f>
        <v>-0.536791680189574</v>
      </c>
      <c r="E614" s="420" t="n">
        <f aca="false">IF(AND(L613&lt;L_rampe,Poussee&lt;Poids*SIN(M613)),0,(-W613+Poussee)/m*SIN(M613)+U613/m*COS(M613)-Poids/m)</f>
        <v>-6.09798361783964</v>
      </c>
      <c r="F614" s="418" t="n">
        <f aca="false">SQRT(acc_x^2+acc_z^2)</f>
        <v>6.12156430264041</v>
      </c>
      <c r="G614" s="419" t="n">
        <f aca="false">G613+acc_x*pas</f>
        <v>10.2730167474601</v>
      </c>
      <c r="H614" s="420" t="n">
        <f aca="false">H613+acc_z*pas</f>
        <v>-71.0408422126635</v>
      </c>
      <c r="I614" s="418" t="n">
        <f aca="false">SQRT(vit_x^2+vit_z^2)</f>
        <v>71.7797752530485</v>
      </c>
      <c r="J614" s="419" t="n">
        <f aca="false">J613+0.5*(vit_x+G613)*pas*(K613&gt;=0)</f>
        <v>211.791153319536</v>
      </c>
      <c r="K614" s="420" t="n">
        <f aca="false">K613+0.5*(vit_z+H613)*pas</f>
        <v>-6.3133011726849</v>
      </c>
      <c r="L614" s="418" t="n">
        <f aca="false">SQRT(pos_x^2+pos_z^2)</f>
        <v>211.885229301422</v>
      </c>
      <c r="M614" s="419" t="n">
        <f aca="false">IF(AND(L613&gt;L_rampe,G614&gt;0),ATAN2(G614,H614),$M$4)</f>
        <v>-1.42718464528591</v>
      </c>
      <c r="N614" s="418" t="n">
        <f aca="false">DEGREES(Beta)</f>
        <v>-81.771656760758</v>
      </c>
      <c r="O614" s="402"/>
      <c r="P614" s="421" t="n">
        <f aca="false">MATCH(t-pas/2-T_ini,CdP_t)</f>
        <v>23</v>
      </c>
      <c r="Q614" s="418" t="n">
        <f aca="false">(INDEX(CdP,2,i_P+1)-INDEX(CdP,2,i_P+0))/(INDEX(CdP,1,i_P+1)-INDEX(CdP,1,i_P+0))*(t-pas/2-T_ini-INDEX(CdP,1,i_P+0))+INDEX(CdP,2,i_P+0)</f>
        <v>0</v>
      </c>
      <c r="R614" s="419" t="n">
        <f aca="false">Poussee/(g*ISP)</f>
        <v>0</v>
      </c>
      <c r="S614" s="420" t="n">
        <f aca="false">S613-Débit*pas</f>
        <v>1.4843</v>
      </c>
      <c r="T614" s="418" t="n">
        <f aca="false">m*g</f>
        <v>14.560983</v>
      </c>
      <c r="U614" s="422" t="n">
        <f aca="false">IF(pos_xz&lt;L_rampe,Poids*COS(Beta),0)</f>
        <v>0</v>
      </c>
      <c r="V614" s="419" t="n">
        <f aca="false">Rho_moyen*(20000-Alt_rampe-pos_z)/(20000+Alt_rampe+pos_z)</f>
        <v>1.22577362359959</v>
      </c>
      <c r="W614" s="418" t="n">
        <f aca="false">1/2*Rho*Sref*Cx*vit_xz^2</f>
        <v>5.56715362573938</v>
      </c>
      <c r="X614" s="402"/>
      <c r="Y614" s="423" t="str">
        <f aca="false">IF(AND(pos_z&lt;=0,K613&gt;0),"Impact balistique","") &amp; IF(AND(H615&lt;0,vit_z&gt;=0),"Apogée","") &amp; IF(AND(Poussee=0,Q613&gt;0),"Fin de propulsion","") &amp; IF(AND(L615&gt;L_rampe,pos_xz&lt;=L_rampe),"Sortie de rampe","")</f>
        <v/>
      </c>
      <c r="Z614" s="424" t="str">
        <f aca="false">IF(ABS(t-T_para)&lt;pas/2,"Para","")</f>
        <v/>
      </c>
      <c r="AA614" s="425" t="str">
        <f aca="false">IF(ABS(t-T_satellite)&lt;pas/2,"Satellite","")</f>
        <v/>
      </c>
      <c r="AB614" s="413"/>
      <c r="AC614" s="421" t="e">
        <f aca="false">IF(ABS(t-ROUND(t,0))&lt;0.001,t,NA())</f>
        <v>#N/A</v>
      </c>
      <c r="AD614" s="426" t="e">
        <f aca="false">IF(ABS(t-ROUND(t,0))&lt;0.001,pos_x,NA())</f>
        <v>#N/A</v>
      </c>
      <c r="AE614" s="427" t="e">
        <f aca="false">IF(t&lt;T_para, pos_z, NA())</f>
        <v>#N/A</v>
      </c>
      <c r="AF614" s="413"/>
      <c r="AG614" s="419" t="n">
        <f aca="false">IF(AND(L613&lt;L_rampe,Poussee&lt;Poids*SIN(M613)),0,(-W613+Poussee)/m-Poids*SIN(M613)/m)</f>
        <v>5.9583806644419</v>
      </c>
      <c r="AH614" s="418" t="n">
        <f aca="false">IF(AND(L613&lt;L_rampe,Poussee&lt;Poids*SIN(M613)), g*SIN(M613), (-W613+Poussee)/m)</f>
        <v>-3.75062807131654</v>
      </c>
    </row>
    <row r="615" customFormat="false" ht="12" hidden="false" customHeight="false" outlineLevel="0" collapsed="false">
      <c r="A615" s="417" t="n">
        <f aca="false">IF(B614+0.01&lt;=T_ini+ROUNDUP(Temps_fin_propu,0), 0.01, IF(K614&gt;0, 0.1, 0.0001))</f>
        <v>0.0001</v>
      </c>
      <c r="B615" s="418" t="n">
        <f aca="false">B614+pas</f>
        <v>16.5265999999999</v>
      </c>
      <c r="C615" s="402"/>
      <c r="D615" s="419" t="n">
        <f aca="false">IF(AND(L614&lt;L_rampe,Poussee&lt;Poids*SIN(M614)),0,(-W614+Poussee)/m*COS(M614)-U614/m*SIN(M614))</f>
        <v>-0.53679371254872</v>
      </c>
      <c r="E615" s="420" t="n">
        <f aca="false">IF(AND(L614&lt;L_rampe,Poussee&lt;Poids*SIN(M614)),0,(-W614+Poussee)/m*SIN(M614)+U614/m*COS(M614)-Poids/m)</f>
        <v>-6.09791830371039</v>
      </c>
      <c r="F615" s="418" t="n">
        <f aca="false">SQRT(acc_x^2+acc_z^2)</f>
        <v>6.12149941832538</v>
      </c>
      <c r="G615" s="419" t="n">
        <f aca="false">G614+acc_x*pas</f>
        <v>10.2729630680889</v>
      </c>
      <c r="H615" s="420" t="n">
        <f aca="false">H614+acc_z*pas</f>
        <v>-71.0414520044939</v>
      </c>
      <c r="I615" s="418" t="n">
        <f aca="false">SQRT(vit_x^2+vit_z^2)</f>
        <v>71.7803710850336</v>
      </c>
      <c r="J615" s="419" t="n">
        <f aca="false">J614+0.5*(vit_x+G614)*pas*(K614&gt;=0)</f>
        <v>211.791153319536</v>
      </c>
      <c r="K615" s="420" t="n">
        <f aca="false">K614+0.5*(vit_z+H614)*pas</f>
        <v>-6.32040528739575</v>
      </c>
      <c r="L615" s="418" t="n">
        <f aca="false">SQRT(pos_x^2+pos_z^2)</f>
        <v>211.885441093569</v>
      </c>
      <c r="M615" s="419" t="n">
        <f aca="false">IF(AND(L614&gt;L_rampe,G615&gt;0),ATAN2(G615,H615),$M$4)</f>
        <v>-1.42718660124249</v>
      </c>
      <c r="N615" s="418" t="n">
        <f aca="false">DEGREES(Beta)</f>
        <v>-81.771768828815</v>
      </c>
      <c r="O615" s="402"/>
      <c r="P615" s="421" t="n">
        <f aca="false">MATCH(t-pas/2-T_ini,CdP_t)</f>
        <v>23</v>
      </c>
      <c r="Q615" s="418" t="n">
        <f aca="false">(INDEX(CdP,2,i_P+1)-INDEX(CdP,2,i_P+0))/(INDEX(CdP,1,i_P+1)-INDEX(CdP,1,i_P+0))*(t-pas/2-T_ini-INDEX(CdP,1,i_P+0))+INDEX(CdP,2,i_P+0)</f>
        <v>0</v>
      </c>
      <c r="R615" s="419" t="n">
        <f aca="false">Poussee/(g*ISP)</f>
        <v>0</v>
      </c>
      <c r="S615" s="420" t="n">
        <f aca="false">S614-Débit*pas</f>
        <v>1.4843</v>
      </c>
      <c r="T615" s="418" t="n">
        <f aca="false">m*g</f>
        <v>14.560983</v>
      </c>
      <c r="U615" s="422" t="n">
        <f aca="false">IF(pos_xz&lt;L_rampe,Poids*COS(Beta),0)</f>
        <v>0</v>
      </c>
      <c r="V615" s="419" t="n">
        <f aca="false">Rho_moyen*(20000-Alt_rampe-pos_z)/(20000+Alt_rampe+pos_z)</f>
        <v>1.22577449440363</v>
      </c>
      <c r="W615" s="418" t="n">
        <f aca="false">1/2*Rho*Sref*Cx*vit_xz^2</f>
        <v>5.56725000519429</v>
      </c>
      <c r="X615" s="402"/>
      <c r="Y615" s="423" t="str">
        <f aca="false">IF(AND(pos_z&lt;=0,K614&gt;0),"Impact balistique","") &amp; IF(AND(H616&lt;0,vit_z&gt;=0),"Apogée","") &amp; IF(AND(Poussee=0,Q614&gt;0),"Fin de propulsion","") &amp; IF(AND(L616&gt;L_rampe,pos_xz&lt;=L_rampe),"Sortie de rampe","")</f>
        <v/>
      </c>
      <c r="Z615" s="424" t="str">
        <f aca="false">IF(ABS(t-T_para)&lt;pas/2,"Para","")</f>
        <v/>
      </c>
      <c r="AA615" s="425" t="str">
        <f aca="false">IF(ABS(t-T_satellite)&lt;pas/2,"Satellite","")</f>
        <v/>
      </c>
      <c r="AB615" s="413"/>
      <c r="AC615" s="421" t="e">
        <f aca="false">IF(ABS(t-ROUND(t,0))&lt;0.001,t,NA())</f>
        <v>#N/A</v>
      </c>
      <c r="AD615" s="426" t="e">
        <f aca="false">IF(ABS(t-ROUND(t,0))&lt;0.001,pos_x,NA())</f>
        <v>#N/A</v>
      </c>
      <c r="AE615" s="427" t="e">
        <f aca="false">IF(t&lt;T_para, pos_z, NA())</f>
        <v>#N/A</v>
      </c>
      <c r="AF615" s="413"/>
      <c r="AG615" s="419" t="n">
        <f aca="false">IF(AND(L614&lt;L_rampe,Poussee&lt;Poids*SIN(M614)),0,(-W614+Poussee)/m-Poids*SIN(M614)/m)</f>
        <v>5.95831847805199</v>
      </c>
      <c r="AH615" s="418" t="n">
        <f aca="false">IF(AND(L614&lt;L_rampe,Poussee&lt;Poids*SIN(M614)), g*SIN(M614), (-W614+Poussee)/m)</f>
        <v>-3.7506930039341</v>
      </c>
    </row>
    <row r="616" customFormat="false" ht="12" hidden="false" customHeight="false" outlineLevel="0" collapsed="false">
      <c r="A616" s="417" t="n">
        <f aca="false">IF(B615+0.01&lt;=T_ini+ROUNDUP(Temps_fin_propu,0), 0.01, IF(K615&gt;0, 0.1, 0.0001))</f>
        <v>0.0001</v>
      </c>
      <c r="B616" s="418" t="n">
        <f aca="false">B615+pas</f>
        <v>16.5266999999999</v>
      </c>
      <c r="C616" s="402"/>
      <c r="D616" s="419" t="n">
        <f aca="false">IF(AND(L615&lt;L_rampe,Poussee&lt;Poids*SIN(M615)),0,(-W615+Poussee)/m*COS(M615)-U615/m*SIN(M615))</f>
        <v>-0.536795744810065</v>
      </c>
      <c r="E616" s="420" t="n">
        <f aca="false">IF(AND(L615&lt;L_rampe,Poussee&lt;Poids*SIN(M615)),0,(-W615+Poussee)/m*SIN(M615)+U615/m*COS(M615)-Poids/m)</f>
        <v>-6.09785298960146</v>
      </c>
      <c r="F616" s="418" t="n">
        <f aca="false">SQRT(acc_x^2+acc_z^2)</f>
        <v>6.12143453403184</v>
      </c>
      <c r="G616" s="419" t="n">
        <f aca="false">G615+acc_x*pas</f>
        <v>10.2729093885144</v>
      </c>
      <c r="H616" s="420" t="n">
        <f aca="false">H615+acc_z*pas</f>
        <v>-71.0420617897928</v>
      </c>
      <c r="I616" s="418" t="n">
        <f aca="false">SQRT(vit_x^2+vit_z^2)</f>
        <v>71.7809669108001</v>
      </c>
      <c r="J616" s="419" t="n">
        <f aca="false">J615+0.5*(vit_x+G615)*pas*(K615&gt;=0)</f>
        <v>211.791153319536</v>
      </c>
      <c r="K616" s="420" t="n">
        <f aca="false">K615+0.5*(vit_z+H615)*pas</f>
        <v>-6.32750946308547</v>
      </c>
      <c r="L616" s="418" t="n">
        <f aca="false">SQRT(pos_x^2+pos_z^2)</f>
        <v>211.885653125512</v>
      </c>
      <c r="M616" s="419" t="n">
        <f aca="false">IF(AND(L615&gt;L_rampe,G616&gt;0),ATAN2(G616,H616),$M$4)</f>
        <v>-1.42718855715638</v>
      </c>
      <c r="N616" s="418" t="n">
        <f aca="false">DEGREES(Beta)</f>
        <v>-81.771880894426</v>
      </c>
      <c r="O616" s="402"/>
      <c r="P616" s="421" t="n">
        <f aca="false">MATCH(t-pas/2-T_ini,CdP_t)</f>
        <v>23</v>
      </c>
      <c r="Q616" s="418" t="n">
        <f aca="false">(INDEX(CdP,2,i_P+1)-INDEX(CdP,2,i_P+0))/(INDEX(CdP,1,i_P+1)-INDEX(CdP,1,i_P+0))*(t-pas/2-T_ini-INDEX(CdP,1,i_P+0))+INDEX(CdP,2,i_P+0)</f>
        <v>0</v>
      </c>
      <c r="R616" s="419" t="n">
        <f aca="false">Poussee/(g*ISP)</f>
        <v>0</v>
      </c>
      <c r="S616" s="420" t="n">
        <f aca="false">S615-Débit*pas</f>
        <v>1.4843</v>
      </c>
      <c r="T616" s="418" t="n">
        <f aca="false">m*g</f>
        <v>14.560983</v>
      </c>
      <c r="U616" s="422" t="n">
        <f aca="false">IF(pos_xz&lt;L_rampe,Poids*COS(Beta),0)</f>
        <v>0</v>
      </c>
      <c r="V616" s="419" t="n">
        <f aca="false">Rho_moyen*(20000-Alt_rampe-pos_z)/(20000+Alt_rampe+pos_z)</f>
        <v>1.22577536521576</v>
      </c>
      <c r="W616" s="418" t="n">
        <f aca="false">1/2*Rho*Sref*Cx*vit_xz^2</f>
        <v>5.56734638461983</v>
      </c>
      <c r="X616" s="402"/>
      <c r="Y616" s="423" t="str">
        <f aca="false">IF(AND(pos_z&lt;=0,K615&gt;0),"Impact balistique","") &amp; IF(AND(H617&lt;0,vit_z&gt;=0),"Apogée","") &amp; IF(AND(Poussee=0,Q615&gt;0),"Fin de propulsion","") &amp; IF(AND(L617&gt;L_rampe,pos_xz&lt;=L_rampe),"Sortie de rampe","")</f>
        <v/>
      </c>
      <c r="Z616" s="424" t="str">
        <f aca="false">IF(ABS(t-T_para)&lt;pas/2,"Para","")</f>
        <v/>
      </c>
      <c r="AA616" s="425" t="str">
        <f aca="false">IF(ABS(t-T_satellite)&lt;pas/2,"Satellite","")</f>
        <v/>
      </c>
      <c r="AB616" s="413"/>
      <c r="AC616" s="421" t="e">
        <f aca="false">IF(ABS(t-ROUND(t,0))&lt;0.001,t,NA())</f>
        <v>#N/A</v>
      </c>
      <c r="AD616" s="426" t="e">
        <f aca="false">IF(ABS(t-ROUND(t,0))&lt;0.001,pos_x,NA())</f>
        <v>#N/A</v>
      </c>
      <c r="AE616" s="427" t="e">
        <f aca="false">IF(t&lt;T_para, pos_z, NA())</f>
        <v>#N/A</v>
      </c>
      <c r="AF616" s="413"/>
      <c r="AG616" s="419" t="n">
        <f aca="false">IF(AND(L615&lt;L_rampe,Poussee&lt;Poids*SIN(M615)),0,(-W615+Poussee)/m-Poids*SIN(M615)/m)</f>
        <v>5.95825629158477</v>
      </c>
      <c r="AH616" s="418" t="n">
        <f aca="false">IF(AND(L615&lt;L_rampe,Poussee&lt;Poids*SIN(M615)), g*SIN(M615), (-W615+Poussee)/m)</f>
        <v>-3.7507579365319</v>
      </c>
    </row>
    <row r="617" customFormat="false" ht="12" hidden="false" customHeight="false" outlineLevel="0" collapsed="false">
      <c r="A617" s="417" t="n">
        <f aca="false">IF(B616+0.01&lt;=T_ini+ROUNDUP(Temps_fin_propu,0), 0.01, IF(K616&gt;0, 0.1, 0.0001))</f>
        <v>0.0001</v>
      </c>
      <c r="B617" s="418" t="n">
        <f aca="false">B616+pas</f>
        <v>16.5267999999999</v>
      </c>
      <c r="C617" s="402"/>
      <c r="D617" s="419" t="n">
        <f aca="false">IF(AND(L616&lt;L_rampe,Poussee&lt;Poids*SIN(M616)),0,(-W616+Poussee)/m*COS(M616)-U616/m*SIN(M616))</f>
        <v>-0.53679777697361</v>
      </c>
      <c r="E617" s="420" t="n">
        <f aca="false">IF(AND(L616&lt;L_rampe,Poussee&lt;Poids*SIN(M616)),0,(-W616+Poussee)/m*SIN(M616)+U616/m*COS(M616)-Poids/m)</f>
        <v>-6.09778767551288</v>
      </c>
      <c r="F617" s="418" t="n">
        <f aca="false">SQRT(acc_x^2+acc_z^2)</f>
        <v>6.12136964975981</v>
      </c>
      <c r="G617" s="419" t="n">
        <f aca="false">G616+acc_x*pas</f>
        <v>10.2728557087367</v>
      </c>
      <c r="H617" s="420" t="n">
        <f aca="false">H616+acc_z*pas</f>
        <v>-71.0426715685604</v>
      </c>
      <c r="I617" s="418" t="n">
        <f aca="false">SQRT(vit_x^2+vit_z^2)</f>
        <v>71.7815627303479</v>
      </c>
      <c r="J617" s="419" t="n">
        <f aca="false">J616+0.5*(vit_x+G616)*pas*(K616&gt;=0)</f>
        <v>211.791153319536</v>
      </c>
      <c r="K617" s="420" t="n">
        <f aca="false">K616+0.5*(vit_z+H616)*pas</f>
        <v>-6.33461369975338</v>
      </c>
      <c r="L617" s="418" t="n">
        <f aca="false">SQRT(pos_x^2+pos_z^2)</f>
        <v>211.885865397257</v>
      </c>
      <c r="M617" s="419" t="n">
        <f aca="false">IF(AND(L616&gt;L_rampe,G617&gt;0),ATAN2(G617,H617),$M$4)</f>
        <v>-1.42719051302758</v>
      </c>
      <c r="N617" s="418" t="n">
        <f aca="false">DEGREES(Beta)</f>
        <v>-81.771992957591</v>
      </c>
      <c r="O617" s="402"/>
      <c r="P617" s="421" t="n">
        <f aca="false">MATCH(t-pas/2-T_ini,CdP_t)</f>
        <v>23</v>
      </c>
      <c r="Q617" s="418" t="n">
        <f aca="false">(INDEX(CdP,2,i_P+1)-INDEX(CdP,2,i_P+0))/(INDEX(CdP,1,i_P+1)-INDEX(CdP,1,i_P+0))*(t-pas/2-T_ini-INDEX(CdP,1,i_P+0))+INDEX(CdP,2,i_P+0)</f>
        <v>0</v>
      </c>
      <c r="R617" s="419" t="n">
        <f aca="false">Poussee/(g*ISP)</f>
        <v>0</v>
      </c>
      <c r="S617" s="420" t="n">
        <f aca="false">S616-Débit*pas</f>
        <v>1.4843</v>
      </c>
      <c r="T617" s="418" t="n">
        <f aca="false">m*g</f>
        <v>14.560983</v>
      </c>
      <c r="U617" s="422" t="n">
        <f aca="false">IF(pos_xz&lt;L_rampe,Poids*COS(Beta),0)</f>
        <v>0</v>
      </c>
      <c r="V617" s="419" t="n">
        <f aca="false">Rho_moyen*(20000-Alt_rampe-pos_z)/(20000+Alt_rampe+pos_z)</f>
        <v>1.22577623603599</v>
      </c>
      <c r="W617" s="418" t="n">
        <f aca="false">1/2*Rho*Sref*Cx*vit_xz^2</f>
        <v>5.567442764016</v>
      </c>
      <c r="X617" s="402"/>
      <c r="Y617" s="423" t="str">
        <f aca="false">IF(AND(pos_z&lt;=0,K616&gt;0),"Impact balistique","") &amp; IF(AND(H618&lt;0,vit_z&gt;=0),"Apogée","") &amp; IF(AND(Poussee=0,Q616&gt;0),"Fin de propulsion","") &amp; IF(AND(L618&gt;L_rampe,pos_xz&lt;=L_rampe),"Sortie de rampe","")</f>
        <v/>
      </c>
      <c r="Z617" s="424" t="str">
        <f aca="false">IF(ABS(t-T_para)&lt;pas/2,"Para","")</f>
        <v/>
      </c>
      <c r="AA617" s="425" t="str">
        <f aca="false">IF(ABS(t-T_satellite)&lt;pas/2,"Satellite","")</f>
        <v/>
      </c>
      <c r="AB617" s="413"/>
      <c r="AC617" s="421" t="e">
        <f aca="false">IF(ABS(t-ROUND(t,0))&lt;0.001,t,NA())</f>
        <v>#N/A</v>
      </c>
      <c r="AD617" s="426" t="e">
        <f aca="false">IF(ABS(t-ROUND(t,0))&lt;0.001,pos_x,NA())</f>
        <v>#N/A</v>
      </c>
      <c r="AE617" s="427" t="e">
        <f aca="false">IF(t&lt;T_para, pos_z, NA())</f>
        <v>#N/A</v>
      </c>
      <c r="AF617" s="413"/>
      <c r="AG617" s="419" t="n">
        <f aca="false">IF(AND(L616&lt;L_rampe,Poussee&lt;Poids*SIN(M616)),0,(-W616+Poussee)/m-Poids*SIN(M616)/m)</f>
        <v>5.95819410504024</v>
      </c>
      <c r="AH617" s="418" t="n">
        <f aca="false">IF(AND(L616&lt;L_rampe,Poussee&lt;Poids*SIN(M616)), g*SIN(M616), (-W616+Poussee)/m)</f>
        <v>-3.75082286910991</v>
      </c>
    </row>
    <row r="618" customFormat="false" ht="12" hidden="false" customHeight="false" outlineLevel="0" collapsed="false">
      <c r="A618" s="417" t="n">
        <f aca="false">IF(B617+0.01&lt;=T_ini+ROUNDUP(Temps_fin_propu,0), 0.01, IF(K617&gt;0, 0.1, 0.0001))</f>
        <v>0.0001</v>
      </c>
      <c r="B618" s="418" t="n">
        <f aca="false">B617+pas</f>
        <v>16.5268999999999</v>
      </c>
      <c r="C618" s="402"/>
      <c r="D618" s="419" t="n">
        <f aca="false">IF(AND(L617&lt;L_rampe,Poussee&lt;Poids*SIN(M617)),0,(-W617+Poussee)/m*COS(M617)-U617/m*SIN(M617))</f>
        <v>-0.536799809039357</v>
      </c>
      <c r="E618" s="420" t="n">
        <f aca="false">IF(AND(L617&lt;L_rampe,Poussee&lt;Poids*SIN(M617)),0,(-W617+Poussee)/m*SIN(M617)+U617/m*COS(M617)-Poids/m)</f>
        <v>-6.09772236144465</v>
      </c>
      <c r="F618" s="418" t="n">
        <f aca="false">SQRT(acc_x^2+acc_z^2)</f>
        <v>6.1213047655093</v>
      </c>
      <c r="G618" s="419" t="n">
        <f aca="false">G617+acc_x*pas</f>
        <v>10.2728020287558</v>
      </c>
      <c r="H618" s="420" t="n">
        <f aca="false">H617+acc_z*pas</f>
        <v>-71.0432813407965</v>
      </c>
      <c r="I618" s="418" t="n">
        <f aca="false">SQRT(vit_x^2+vit_z^2)</f>
        <v>71.782158543677</v>
      </c>
      <c r="J618" s="419" t="n">
        <f aca="false">J617+0.5*(vit_x+G617)*pas*(K617&gt;=0)</f>
        <v>211.791153319536</v>
      </c>
      <c r="K618" s="420" t="n">
        <f aca="false">K617+0.5*(vit_z+H617)*pas</f>
        <v>-6.34171799739885</v>
      </c>
      <c r="L618" s="418" t="n">
        <f aca="false">SQRT(pos_x^2+pos_z^2)</f>
        <v>211.886077908809</v>
      </c>
      <c r="M618" s="419" t="n">
        <f aca="false">IF(AND(L617&gt;L_rampe,G618&gt;0),ATAN2(G618,H618),$M$4)</f>
        <v>-1.42719246885609</v>
      </c>
      <c r="N618" s="418" t="n">
        <f aca="false">DEGREES(Beta)</f>
        <v>-81.7721050183102</v>
      </c>
      <c r="O618" s="402"/>
      <c r="P618" s="421" t="n">
        <f aca="false">MATCH(t-pas/2-T_ini,CdP_t)</f>
        <v>23</v>
      </c>
      <c r="Q618" s="418" t="n">
        <f aca="false">(INDEX(CdP,2,i_P+1)-INDEX(CdP,2,i_P+0))/(INDEX(CdP,1,i_P+1)-INDEX(CdP,1,i_P+0))*(t-pas/2-T_ini-INDEX(CdP,1,i_P+0))+INDEX(CdP,2,i_P+0)</f>
        <v>0</v>
      </c>
      <c r="R618" s="419" t="n">
        <f aca="false">Poussee/(g*ISP)</f>
        <v>0</v>
      </c>
      <c r="S618" s="420" t="n">
        <f aca="false">S617-Débit*pas</f>
        <v>1.4843</v>
      </c>
      <c r="T618" s="418" t="n">
        <f aca="false">m*g</f>
        <v>14.560983</v>
      </c>
      <c r="U618" s="422" t="n">
        <f aca="false">IF(pos_xz&lt;L_rampe,Poids*COS(Beta),0)</f>
        <v>0</v>
      </c>
      <c r="V618" s="419" t="n">
        <f aca="false">Rho_moyen*(20000-Alt_rampe-pos_z)/(20000+Alt_rampe+pos_z)</f>
        <v>1.22577710686431</v>
      </c>
      <c r="W618" s="418" t="n">
        <f aca="false">1/2*Rho*Sref*Cx*vit_xz^2</f>
        <v>5.56753914338274</v>
      </c>
      <c r="X618" s="402"/>
      <c r="Y618" s="423" t="str">
        <f aca="false">IF(AND(pos_z&lt;=0,K617&gt;0),"Impact balistique","") &amp; IF(AND(H619&lt;0,vit_z&gt;=0),"Apogée","") &amp; IF(AND(Poussee=0,Q617&gt;0),"Fin de propulsion","") &amp; IF(AND(L619&gt;L_rampe,pos_xz&lt;=L_rampe),"Sortie de rampe","")</f>
        <v/>
      </c>
      <c r="Z618" s="424" t="str">
        <f aca="false">IF(ABS(t-T_para)&lt;pas/2,"Para","")</f>
        <v/>
      </c>
      <c r="AA618" s="425" t="str">
        <f aca="false">IF(ABS(t-T_satellite)&lt;pas/2,"Satellite","")</f>
        <v/>
      </c>
      <c r="AB618" s="413"/>
      <c r="AC618" s="421" t="e">
        <f aca="false">IF(ABS(t-ROUND(t,0))&lt;0.001,t,NA())</f>
        <v>#N/A</v>
      </c>
      <c r="AD618" s="426" t="e">
        <f aca="false">IF(ABS(t-ROUND(t,0))&lt;0.001,pos_x,NA())</f>
        <v>#N/A</v>
      </c>
      <c r="AE618" s="427" t="e">
        <f aca="false">IF(t&lt;T_para, pos_z, NA())</f>
        <v>#N/A</v>
      </c>
      <c r="AF618" s="413"/>
      <c r="AG618" s="419" t="n">
        <f aca="false">IF(AND(L617&lt;L_rampe,Poussee&lt;Poids*SIN(M617)),0,(-W617+Poussee)/m-Poids*SIN(M617)/m)</f>
        <v>5.95813191841843</v>
      </c>
      <c r="AH618" s="418" t="n">
        <f aca="false">IF(AND(L617&lt;L_rampe,Poussee&lt;Poids*SIN(M617)), g*SIN(M617), (-W617+Poussee)/m)</f>
        <v>-3.75088780166813</v>
      </c>
    </row>
    <row r="619" customFormat="false" ht="12" hidden="false" customHeight="false" outlineLevel="0" collapsed="false">
      <c r="A619" s="417" t="n">
        <f aca="false">IF(B618+0.01&lt;=T_ini+ROUNDUP(Temps_fin_propu,0), 0.01, IF(K618&gt;0, 0.1, 0.0001))</f>
        <v>0.0001</v>
      </c>
      <c r="B619" s="418" t="n">
        <f aca="false">B618+pas</f>
        <v>16.5269999999999</v>
      </c>
      <c r="C619" s="402"/>
      <c r="D619" s="419" t="n">
        <f aca="false">IF(AND(L618&lt;L_rampe,Poussee&lt;Poids*SIN(M618)),0,(-W618+Poussee)/m*COS(M618)-U618/m*SIN(M618))</f>
        <v>-0.536801841007304</v>
      </c>
      <c r="E619" s="420" t="n">
        <f aca="false">IF(AND(L618&lt;L_rampe,Poussee&lt;Poids*SIN(M618)),0,(-W618+Poussee)/m*SIN(M618)+U618/m*COS(M618)-Poids/m)</f>
        <v>-6.09765704739681</v>
      </c>
      <c r="F619" s="418" t="n">
        <f aca="false">SQRT(acc_x^2+acc_z^2)</f>
        <v>6.12123988128033</v>
      </c>
      <c r="G619" s="419" t="n">
        <f aca="false">G618+acc_x*pas</f>
        <v>10.2727483485717</v>
      </c>
      <c r="H619" s="420" t="n">
        <f aca="false">H618+acc_z*pas</f>
        <v>-71.0438911065013</v>
      </c>
      <c r="I619" s="418" t="n">
        <f aca="false">SQRT(vit_x^2+vit_z^2)</f>
        <v>71.7827543507874</v>
      </c>
      <c r="J619" s="419" t="n">
        <f aca="false">J618+0.5*(vit_x+G618)*pas*(K618&gt;=0)</f>
        <v>211.791153319536</v>
      </c>
      <c r="K619" s="420" t="n">
        <f aca="false">K618+0.5*(vit_z+H618)*pas</f>
        <v>-6.34882235602122</v>
      </c>
      <c r="L619" s="418" t="n">
        <f aca="false">SQRT(pos_x^2+pos_z^2)</f>
        <v>211.886290660174</v>
      </c>
      <c r="M619" s="419" t="n">
        <f aca="false">IF(AND(L618&gt;L_rampe,G619&gt;0),ATAN2(G619,H619),$M$4)</f>
        <v>-1.42719442464191</v>
      </c>
      <c r="N619" s="418" t="n">
        <f aca="false">DEGREES(Beta)</f>
        <v>-81.7722170765835</v>
      </c>
      <c r="O619" s="402"/>
      <c r="P619" s="421" t="n">
        <f aca="false">MATCH(t-pas/2-T_ini,CdP_t)</f>
        <v>23</v>
      </c>
      <c r="Q619" s="418" t="n">
        <f aca="false">(INDEX(CdP,2,i_P+1)-INDEX(CdP,2,i_P+0))/(INDEX(CdP,1,i_P+1)-INDEX(CdP,1,i_P+0))*(t-pas/2-T_ini-INDEX(CdP,1,i_P+0))+INDEX(CdP,2,i_P+0)</f>
        <v>0</v>
      </c>
      <c r="R619" s="419" t="n">
        <f aca="false">Poussee/(g*ISP)</f>
        <v>0</v>
      </c>
      <c r="S619" s="420" t="n">
        <f aca="false">S618-Débit*pas</f>
        <v>1.4843</v>
      </c>
      <c r="T619" s="418" t="n">
        <f aca="false">m*g</f>
        <v>14.560983</v>
      </c>
      <c r="U619" s="422" t="n">
        <f aca="false">IF(pos_xz&lt;L_rampe,Poids*COS(Beta),0)</f>
        <v>0</v>
      </c>
      <c r="V619" s="419" t="n">
        <f aca="false">Rho_moyen*(20000-Alt_rampe-pos_z)/(20000+Alt_rampe+pos_z)</f>
        <v>1.22577797770072</v>
      </c>
      <c r="W619" s="418" t="n">
        <f aca="false">1/2*Rho*Sref*Cx*vit_xz^2</f>
        <v>5.56763552272005</v>
      </c>
      <c r="X619" s="402"/>
      <c r="Y619" s="423" t="str">
        <f aca="false">IF(AND(pos_z&lt;=0,K618&gt;0),"Impact balistique","") &amp; IF(AND(H620&lt;0,vit_z&gt;=0),"Apogée","") &amp; IF(AND(Poussee=0,Q618&gt;0),"Fin de propulsion","") &amp; IF(AND(L620&gt;L_rampe,pos_xz&lt;=L_rampe),"Sortie de rampe","")</f>
        <v/>
      </c>
      <c r="Z619" s="424" t="str">
        <f aca="false">IF(ABS(t-T_para)&lt;pas/2,"Para","")</f>
        <v/>
      </c>
      <c r="AA619" s="425" t="str">
        <f aca="false">IF(ABS(t-T_satellite)&lt;pas/2,"Satellite","")</f>
        <v/>
      </c>
      <c r="AB619" s="413"/>
      <c r="AC619" s="421" t="e">
        <f aca="false">IF(ABS(t-ROUND(t,0))&lt;0.001,t,NA())</f>
        <v>#N/A</v>
      </c>
      <c r="AD619" s="426" t="e">
        <f aca="false">IF(ABS(t-ROUND(t,0))&lt;0.001,pos_x,NA())</f>
        <v>#N/A</v>
      </c>
      <c r="AE619" s="427" t="e">
        <f aca="false">IF(t&lt;T_para, pos_z, NA())</f>
        <v>#N/A</v>
      </c>
      <c r="AF619" s="413"/>
      <c r="AG619" s="419" t="n">
        <f aca="false">IF(AND(L618&lt;L_rampe,Poussee&lt;Poids*SIN(M618)),0,(-W618+Poussee)/m-Poids*SIN(M618)/m)</f>
        <v>5.95806973171936</v>
      </c>
      <c r="AH619" s="418" t="n">
        <f aca="false">IF(AND(L618&lt;L_rampe,Poussee&lt;Poids*SIN(M618)), g*SIN(M618), (-W618+Poussee)/m)</f>
        <v>-3.75095273420653</v>
      </c>
    </row>
    <row r="620" customFormat="false" ht="12" hidden="false" customHeight="false" outlineLevel="0" collapsed="false">
      <c r="A620" s="417" t="n">
        <f aca="false">IF(B619+0.01&lt;=T_ini+ROUNDUP(Temps_fin_propu,0), 0.01, IF(K619&gt;0, 0.1, 0.0001))</f>
        <v>0.0001</v>
      </c>
      <c r="B620" s="418" t="n">
        <f aca="false">B619+pas</f>
        <v>16.5270999999999</v>
      </c>
      <c r="C620" s="402"/>
      <c r="D620" s="419" t="n">
        <f aca="false">IF(AND(L619&lt;L_rampe,Poussee&lt;Poids*SIN(M619)),0,(-W619+Poussee)/m*COS(M619)-U619/m*SIN(M619))</f>
        <v>-0.536803872877453</v>
      </c>
      <c r="E620" s="420" t="n">
        <f aca="false">IF(AND(L619&lt;L_rampe,Poussee&lt;Poids*SIN(M619)),0,(-W619+Poussee)/m*SIN(M619)+U619/m*COS(M619)-Poids/m)</f>
        <v>-6.09759173336936</v>
      </c>
      <c r="F620" s="418" t="n">
        <f aca="false">SQRT(acc_x^2+acc_z^2)</f>
        <v>6.12117499707291</v>
      </c>
      <c r="G620" s="419" t="n">
        <f aca="false">G619+acc_x*pas</f>
        <v>10.2726946681844</v>
      </c>
      <c r="H620" s="420" t="n">
        <f aca="false">H619+acc_z*pas</f>
        <v>-71.0445008656746</v>
      </c>
      <c r="I620" s="418" t="n">
        <f aca="false">SQRT(vit_x^2+vit_z^2)</f>
        <v>71.7833501516792</v>
      </c>
      <c r="J620" s="419" t="n">
        <f aca="false">J619+0.5*(vit_x+G619)*pas*(K619&gt;=0)</f>
        <v>211.791153319536</v>
      </c>
      <c r="K620" s="420" t="n">
        <f aca="false">K619+0.5*(vit_z+H619)*pas</f>
        <v>-6.35592677561983</v>
      </c>
      <c r="L620" s="418" t="n">
        <f aca="false">SQRT(pos_x^2+pos_z^2)</f>
        <v>211.886503651356</v>
      </c>
      <c r="M620" s="419" t="n">
        <f aca="false">IF(AND(L619&gt;L_rampe,G620&gt;0),ATAN2(G620,H620),$M$4)</f>
        <v>-1.42719638038505</v>
      </c>
      <c r="N620" s="418" t="n">
        <f aca="false">DEGREES(Beta)</f>
        <v>-81.7723291324111</v>
      </c>
      <c r="O620" s="402"/>
      <c r="P620" s="421" t="n">
        <f aca="false">MATCH(t-pas/2-T_ini,CdP_t)</f>
        <v>23</v>
      </c>
      <c r="Q620" s="418" t="n">
        <f aca="false">(INDEX(CdP,2,i_P+1)-INDEX(CdP,2,i_P+0))/(INDEX(CdP,1,i_P+1)-INDEX(CdP,1,i_P+0))*(t-pas/2-T_ini-INDEX(CdP,1,i_P+0))+INDEX(CdP,2,i_P+0)</f>
        <v>0</v>
      </c>
      <c r="R620" s="419" t="n">
        <f aca="false">Poussee/(g*ISP)</f>
        <v>0</v>
      </c>
      <c r="S620" s="420" t="n">
        <f aca="false">S619-Débit*pas</f>
        <v>1.4843</v>
      </c>
      <c r="T620" s="418" t="n">
        <f aca="false">m*g</f>
        <v>14.560983</v>
      </c>
      <c r="U620" s="422" t="n">
        <f aca="false">IF(pos_xz&lt;L_rampe,Poids*COS(Beta),0)</f>
        <v>0</v>
      </c>
      <c r="V620" s="419" t="n">
        <f aca="false">Rho_moyen*(20000-Alt_rampe-pos_z)/(20000+Alt_rampe+pos_z)</f>
        <v>1.22577884854523</v>
      </c>
      <c r="W620" s="418" t="n">
        <f aca="false">1/2*Rho*Sref*Cx*vit_xz^2</f>
        <v>5.5677319020279</v>
      </c>
      <c r="X620" s="402"/>
      <c r="Y620" s="423" t="str">
        <f aca="false">IF(AND(pos_z&lt;=0,K619&gt;0),"Impact balistique","") &amp; IF(AND(H621&lt;0,vit_z&gt;=0),"Apogée","") &amp; IF(AND(Poussee=0,Q619&gt;0),"Fin de propulsion","") &amp; IF(AND(L621&gt;L_rampe,pos_xz&lt;=L_rampe),"Sortie de rampe","")</f>
        <v/>
      </c>
      <c r="Z620" s="424" t="str">
        <f aca="false">IF(ABS(t-T_para)&lt;pas/2,"Para","")</f>
        <v/>
      </c>
      <c r="AA620" s="425" t="str">
        <f aca="false">IF(ABS(t-T_satellite)&lt;pas/2,"Satellite","")</f>
        <v/>
      </c>
      <c r="AB620" s="413"/>
      <c r="AC620" s="421" t="e">
        <f aca="false">IF(ABS(t-ROUND(t,0))&lt;0.001,t,NA())</f>
        <v>#N/A</v>
      </c>
      <c r="AD620" s="426" t="e">
        <f aca="false">IF(ABS(t-ROUND(t,0))&lt;0.001,pos_x,NA())</f>
        <v>#N/A</v>
      </c>
      <c r="AE620" s="427" t="e">
        <f aca="false">IF(t&lt;T_para, pos_z, NA())</f>
        <v>#N/A</v>
      </c>
      <c r="AF620" s="413"/>
      <c r="AG620" s="419" t="n">
        <f aca="false">IF(AND(L619&lt;L_rampe,Poussee&lt;Poids*SIN(M619)),0,(-W619+Poussee)/m-Poids*SIN(M619)/m)</f>
        <v>5.95800754494307</v>
      </c>
      <c r="AH620" s="418" t="n">
        <f aca="false">IF(AND(L619&lt;L_rampe,Poussee&lt;Poids*SIN(M619)), g*SIN(M619), (-W619+Poussee)/m)</f>
        <v>-3.75101766672509</v>
      </c>
    </row>
    <row r="621" customFormat="false" ht="12" hidden="false" customHeight="false" outlineLevel="0" collapsed="false">
      <c r="A621" s="417" t="n">
        <f aca="false">IF(B620+0.01&lt;=T_ini+ROUNDUP(Temps_fin_propu,0), 0.01, IF(K620&gt;0, 0.1, 0.0001))</f>
        <v>0.0001</v>
      </c>
      <c r="B621" s="418" t="n">
        <f aca="false">B620+pas</f>
        <v>16.5271999999999</v>
      </c>
      <c r="C621" s="402"/>
      <c r="D621" s="419" t="n">
        <f aca="false">IF(AND(L620&lt;L_rampe,Poussee&lt;Poids*SIN(M620)),0,(-W620+Poussee)/m*COS(M620)-U620/m*SIN(M620))</f>
        <v>-0.536805904649805</v>
      </c>
      <c r="E621" s="420" t="n">
        <f aca="false">IF(AND(L620&lt;L_rampe,Poussee&lt;Poids*SIN(M620)),0,(-W620+Poussee)/m*SIN(M620)+U620/m*COS(M620)-Poids/m)</f>
        <v>-6.09752641936231</v>
      </c>
      <c r="F621" s="418" t="n">
        <f aca="false">SQRT(acc_x^2+acc_z^2)</f>
        <v>6.12111011288707</v>
      </c>
      <c r="G621" s="419" t="n">
        <f aca="false">G620+acc_x*pas</f>
        <v>10.272640987594</v>
      </c>
      <c r="H621" s="420" t="n">
        <f aca="false">H620+acc_z*pas</f>
        <v>-71.0451106183166</v>
      </c>
      <c r="I621" s="418" t="n">
        <f aca="false">SQRT(vit_x^2+vit_z^2)</f>
        <v>71.7839459463523</v>
      </c>
      <c r="J621" s="419" t="n">
        <f aca="false">J620+0.5*(vit_x+G620)*pas*(K620&gt;=0)</f>
        <v>211.791153319536</v>
      </c>
      <c r="K621" s="420" t="n">
        <f aca="false">K620+0.5*(vit_z+H620)*pas</f>
        <v>-6.36303125619403</v>
      </c>
      <c r="L621" s="418" t="n">
        <f aca="false">SQRT(pos_x^2+pos_z^2)</f>
        <v>211.886716882363</v>
      </c>
      <c r="M621" s="419" t="n">
        <f aca="false">IF(AND(L620&gt;L_rampe,G621&gt;0),ATAN2(G621,H621),$M$4)</f>
        <v>-1.42719833608551</v>
      </c>
      <c r="N621" s="418" t="n">
        <f aca="false">DEGREES(Beta)</f>
        <v>-81.7724411857931</v>
      </c>
      <c r="O621" s="402"/>
      <c r="P621" s="421" t="n">
        <f aca="false">MATCH(t-pas/2-T_ini,CdP_t)</f>
        <v>23</v>
      </c>
      <c r="Q621" s="418" t="n">
        <f aca="false">(INDEX(CdP,2,i_P+1)-INDEX(CdP,2,i_P+0))/(INDEX(CdP,1,i_P+1)-INDEX(CdP,1,i_P+0))*(t-pas/2-T_ini-INDEX(CdP,1,i_P+0))+INDEX(CdP,2,i_P+0)</f>
        <v>0</v>
      </c>
      <c r="R621" s="419" t="n">
        <f aca="false">Poussee/(g*ISP)</f>
        <v>0</v>
      </c>
      <c r="S621" s="420" t="n">
        <f aca="false">S620-Débit*pas</f>
        <v>1.4843</v>
      </c>
      <c r="T621" s="418" t="n">
        <f aca="false">m*g</f>
        <v>14.560983</v>
      </c>
      <c r="U621" s="422" t="n">
        <f aca="false">IF(pos_xz&lt;L_rampe,Poids*COS(Beta),0)</f>
        <v>0</v>
      </c>
      <c r="V621" s="419" t="n">
        <f aca="false">Rho_moyen*(20000-Alt_rampe-pos_z)/(20000+Alt_rampe+pos_z)</f>
        <v>1.22577971939783</v>
      </c>
      <c r="W621" s="418" t="n">
        <f aca="false">1/2*Rho*Sref*Cx*vit_xz^2</f>
        <v>5.56782828130627</v>
      </c>
      <c r="X621" s="402"/>
      <c r="Y621" s="423" t="str">
        <f aca="false">IF(AND(pos_z&lt;=0,K620&gt;0),"Impact balistique","") &amp; IF(AND(H622&lt;0,vit_z&gt;=0),"Apogée","") &amp; IF(AND(Poussee=0,Q620&gt;0),"Fin de propulsion","") &amp; IF(AND(L622&gt;L_rampe,pos_xz&lt;=L_rampe),"Sortie de rampe","")</f>
        <v/>
      </c>
      <c r="Z621" s="424" t="str">
        <f aca="false">IF(ABS(t-T_para)&lt;pas/2,"Para","")</f>
        <v/>
      </c>
      <c r="AA621" s="425" t="str">
        <f aca="false">IF(ABS(t-T_satellite)&lt;pas/2,"Satellite","")</f>
        <v/>
      </c>
      <c r="AB621" s="413"/>
      <c r="AC621" s="421" t="e">
        <f aca="false">IF(ABS(t-ROUND(t,0))&lt;0.001,t,NA())</f>
        <v>#N/A</v>
      </c>
      <c r="AD621" s="426" t="e">
        <f aca="false">IF(ABS(t-ROUND(t,0))&lt;0.001,pos_x,NA())</f>
        <v>#N/A</v>
      </c>
      <c r="AE621" s="427" t="e">
        <f aca="false">IF(t&lt;T_para, pos_z, NA())</f>
        <v>#N/A</v>
      </c>
      <c r="AF621" s="413"/>
      <c r="AG621" s="419" t="n">
        <f aca="false">IF(AND(L620&lt;L_rampe,Poussee&lt;Poids*SIN(M620)),0,(-W620+Poussee)/m-Poids*SIN(M620)/m)</f>
        <v>5.95794535808955</v>
      </c>
      <c r="AH621" s="418" t="n">
        <f aca="false">IF(AND(L620&lt;L_rampe,Poussee&lt;Poids*SIN(M620)), g*SIN(M620), (-W620+Poussee)/m)</f>
        <v>-3.75108259922382</v>
      </c>
    </row>
    <row r="622" customFormat="false" ht="12" hidden="false" customHeight="false" outlineLevel="0" collapsed="false">
      <c r="A622" s="417" t="n">
        <f aca="false">IF(B621+0.01&lt;=T_ini+ROUNDUP(Temps_fin_propu,0), 0.01, IF(K621&gt;0, 0.1, 0.0001))</f>
        <v>0.0001</v>
      </c>
      <c r="B622" s="418" t="n">
        <f aca="false">B621+pas</f>
        <v>16.5272999999999</v>
      </c>
      <c r="C622" s="402"/>
      <c r="D622" s="419" t="n">
        <f aca="false">IF(AND(L621&lt;L_rampe,Poussee&lt;Poids*SIN(M621)),0,(-W621+Poussee)/m*COS(M621)-U621/m*SIN(M621))</f>
        <v>-0.536807936324359</v>
      </c>
      <c r="E622" s="420" t="n">
        <f aca="false">IF(AND(L621&lt;L_rampe,Poussee&lt;Poids*SIN(M621)),0,(-W621+Poussee)/m*SIN(M621)+U621/m*COS(M621)-Poids/m)</f>
        <v>-6.0974611053757</v>
      </c>
      <c r="F622" s="418" t="n">
        <f aca="false">SQRT(acc_x^2+acc_z^2)</f>
        <v>6.12104522872281</v>
      </c>
      <c r="G622" s="419" t="n">
        <f aca="false">G621+acc_x*pas</f>
        <v>10.2725873068003</v>
      </c>
      <c r="H622" s="420" t="n">
        <f aca="false">H621+acc_z*pas</f>
        <v>-71.0457203644271</v>
      </c>
      <c r="I622" s="418" t="n">
        <f aca="false">SQRT(vit_x^2+vit_z^2)</f>
        <v>71.7845417348067</v>
      </c>
      <c r="J622" s="419" t="n">
        <f aca="false">J621+0.5*(vit_x+G621)*pas*(K621&gt;=0)</f>
        <v>211.791153319536</v>
      </c>
      <c r="K622" s="420" t="n">
        <f aca="false">K621+0.5*(vit_z+H621)*pas</f>
        <v>-6.37013579774316</v>
      </c>
      <c r="L622" s="418" t="n">
        <f aca="false">SQRT(pos_x^2+pos_z^2)</f>
        <v>211.886930353198</v>
      </c>
      <c r="M622" s="419" t="n">
        <f aca="false">IF(AND(L621&gt;L_rampe,G622&gt;0),ATAN2(G622,H622),$M$4)</f>
        <v>-1.42720029174328</v>
      </c>
      <c r="N622" s="418" t="n">
        <f aca="false">DEGREES(Beta)</f>
        <v>-81.7725532367295</v>
      </c>
      <c r="O622" s="402"/>
      <c r="P622" s="421" t="n">
        <f aca="false">MATCH(t-pas/2-T_ini,CdP_t)</f>
        <v>23</v>
      </c>
      <c r="Q622" s="418" t="n">
        <f aca="false">(INDEX(CdP,2,i_P+1)-INDEX(CdP,2,i_P+0))/(INDEX(CdP,1,i_P+1)-INDEX(CdP,1,i_P+0))*(t-pas/2-T_ini-INDEX(CdP,1,i_P+0))+INDEX(CdP,2,i_P+0)</f>
        <v>0</v>
      </c>
      <c r="R622" s="419" t="n">
        <f aca="false">Poussee/(g*ISP)</f>
        <v>0</v>
      </c>
      <c r="S622" s="420" t="n">
        <f aca="false">S621-Débit*pas</f>
        <v>1.4843</v>
      </c>
      <c r="T622" s="418" t="n">
        <f aca="false">m*g</f>
        <v>14.560983</v>
      </c>
      <c r="U622" s="422" t="n">
        <f aca="false">IF(pos_xz&lt;L_rampe,Poids*COS(Beta),0)</f>
        <v>0</v>
      </c>
      <c r="V622" s="419" t="n">
        <f aca="false">Rho_moyen*(20000-Alt_rampe-pos_z)/(20000+Alt_rampe+pos_z)</f>
        <v>1.22578059025852</v>
      </c>
      <c r="W622" s="418" t="n">
        <f aca="false">1/2*Rho*Sref*Cx*vit_xz^2</f>
        <v>5.56792466055513</v>
      </c>
      <c r="X622" s="402"/>
      <c r="Y622" s="423" t="str">
        <f aca="false">IF(AND(pos_z&lt;=0,K621&gt;0),"Impact balistique","") &amp; IF(AND(H623&lt;0,vit_z&gt;=0),"Apogée","") &amp; IF(AND(Poussee=0,Q621&gt;0),"Fin de propulsion","") &amp; IF(AND(L623&gt;L_rampe,pos_xz&lt;=L_rampe),"Sortie de rampe","")</f>
        <v/>
      </c>
      <c r="Z622" s="424" t="str">
        <f aca="false">IF(ABS(t-T_para)&lt;pas/2,"Para","")</f>
        <v/>
      </c>
      <c r="AA622" s="425" t="str">
        <f aca="false">IF(ABS(t-T_satellite)&lt;pas/2,"Satellite","")</f>
        <v/>
      </c>
      <c r="AB622" s="413"/>
      <c r="AC622" s="421" t="e">
        <f aca="false">IF(ABS(t-ROUND(t,0))&lt;0.001,t,NA())</f>
        <v>#N/A</v>
      </c>
      <c r="AD622" s="426" t="e">
        <f aca="false">IF(ABS(t-ROUND(t,0))&lt;0.001,pos_x,NA())</f>
        <v>#N/A</v>
      </c>
      <c r="AE622" s="427" t="e">
        <f aca="false">IF(t&lt;T_para, pos_z, NA())</f>
        <v>#N/A</v>
      </c>
      <c r="AF622" s="413"/>
      <c r="AG622" s="419" t="n">
        <f aca="false">IF(AND(L621&lt;L_rampe,Poussee&lt;Poids*SIN(M621)),0,(-W621+Poussee)/m-Poids*SIN(M621)/m)</f>
        <v>5.95788317115883</v>
      </c>
      <c r="AH622" s="418" t="n">
        <f aca="false">IF(AND(L621&lt;L_rampe,Poussee&lt;Poids*SIN(M621)), g*SIN(M621), (-W621+Poussee)/m)</f>
        <v>-3.75114753170267</v>
      </c>
    </row>
    <row r="623" customFormat="false" ht="12" hidden="false" customHeight="false" outlineLevel="0" collapsed="false">
      <c r="A623" s="417" t="n">
        <f aca="false">IF(B622+0.01&lt;=T_ini+ROUNDUP(Temps_fin_propu,0), 0.01, IF(K622&gt;0, 0.1, 0.0001))</f>
        <v>0.0001</v>
      </c>
      <c r="B623" s="418" t="n">
        <f aca="false">B622+pas</f>
        <v>16.5273999999999</v>
      </c>
      <c r="C623" s="402"/>
      <c r="D623" s="419" t="n">
        <f aca="false">IF(AND(L622&lt;L_rampe,Poussee&lt;Poids*SIN(M622)),0,(-W622+Poussee)/m*COS(M622)-U622/m*SIN(M622))</f>
        <v>-0.536809967901119</v>
      </c>
      <c r="E623" s="420" t="n">
        <f aca="false">IF(AND(L622&lt;L_rampe,Poussee&lt;Poids*SIN(M622)),0,(-W622+Poussee)/m*SIN(M622)+U622/m*COS(M622)-Poids/m)</f>
        <v>-6.09739579140953</v>
      </c>
      <c r="F623" s="418" t="n">
        <f aca="false">SQRT(acc_x^2+acc_z^2)</f>
        <v>6.12098034458016</v>
      </c>
      <c r="G623" s="419" t="n">
        <f aca="false">G622+acc_x*pas</f>
        <v>10.2725336258035</v>
      </c>
      <c r="H623" s="420" t="n">
        <f aca="false">H622+acc_z*pas</f>
        <v>-71.0463301040062</v>
      </c>
      <c r="I623" s="418" t="n">
        <f aca="false">SQRT(vit_x^2+vit_z^2)</f>
        <v>71.7851375170424</v>
      </c>
      <c r="J623" s="419" t="n">
        <f aca="false">J622+0.5*(vit_x+G622)*pas*(K622&gt;=0)</f>
        <v>211.791153319536</v>
      </c>
      <c r="K623" s="420" t="n">
        <f aca="false">K622+0.5*(vit_z+H622)*pas</f>
        <v>-6.37724040026659</v>
      </c>
      <c r="L623" s="418" t="n">
        <f aca="false">SQRT(pos_x^2+pos_z^2)</f>
        <v>211.887144063867</v>
      </c>
      <c r="M623" s="419" t="n">
        <f aca="false">IF(AND(L622&gt;L_rampe,G623&gt;0),ATAN2(G623,H623),$M$4)</f>
        <v>-1.42720224735837</v>
      </c>
      <c r="N623" s="418" t="n">
        <f aca="false">DEGREES(Beta)</f>
        <v>-81.7726652852205</v>
      </c>
      <c r="O623" s="402"/>
      <c r="P623" s="421" t="n">
        <f aca="false">MATCH(t-pas/2-T_ini,CdP_t)</f>
        <v>23</v>
      </c>
      <c r="Q623" s="418" t="n">
        <f aca="false">(INDEX(CdP,2,i_P+1)-INDEX(CdP,2,i_P+0))/(INDEX(CdP,1,i_P+1)-INDEX(CdP,1,i_P+0))*(t-pas/2-T_ini-INDEX(CdP,1,i_P+0))+INDEX(CdP,2,i_P+0)</f>
        <v>0</v>
      </c>
      <c r="R623" s="419" t="n">
        <f aca="false">Poussee/(g*ISP)</f>
        <v>0</v>
      </c>
      <c r="S623" s="420" t="n">
        <f aca="false">S622-Débit*pas</f>
        <v>1.4843</v>
      </c>
      <c r="T623" s="418" t="n">
        <f aca="false">m*g</f>
        <v>14.560983</v>
      </c>
      <c r="U623" s="422" t="n">
        <f aca="false">IF(pos_xz&lt;L_rampe,Poids*COS(Beta),0)</f>
        <v>0</v>
      </c>
      <c r="V623" s="419" t="n">
        <f aca="false">Rho_moyen*(20000-Alt_rampe-pos_z)/(20000+Alt_rampe+pos_z)</f>
        <v>1.22578146112731</v>
      </c>
      <c r="W623" s="418" t="n">
        <f aca="false">1/2*Rho*Sref*Cx*vit_xz^2</f>
        <v>5.56802103977446</v>
      </c>
      <c r="X623" s="402"/>
      <c r="Y623" s="423" t="str">
        <f aca="false">IF(AND(pos_z&lt;=0,K622&gt;0),"Impact balistique","") &amp; IF(AND(H624&lt;0,vit_z&gt;=0),"Apogée","") &amp; IF(AND(Poussee=0,Q622&gt;0),"Fin de propulsion","") &amp; IF(AND(L624&gt;L_rampe,pos_xz&lt;=L_rampe),"Sortie de rampe","")</f>
        <v/>
      </c>
      <c r="Z623" s="424" t="str">
        <f aca="false">IF(ABS(t-T_para)&lt;pas/2,"Para","")</f>
        <v/>
      </c>
      <c r="AA623" s="425" t="str">
        <f aca="false">IF(ABS(t-T_satellite)&lt;pas/2,"Satellite","")</f>
        <v/>
      </c>
      <c r="AB623" s="413"/>
      <c r="AC623" s="421" t="e">
        <f aca="false">IF(ABS(t-ROUND(t,0))&lt;0.001,t,NA())</f>
        <v>#N/A</v>
      </c>
      <c r="AD623" s="426" t="e">
        <f aca="false">IF(ABS(t-ROUND(t,0))&lt;0.001,pos_x,NA())</f>
        <v>#N/A</v>
      </c>
      <c r="AE623" s="427" t="e">
        <f aca="false">IF(t&lt;T_para, pos_z, NA())</f>
        <v>#N/A</v>
      </c>
      <c r="AF623" s="413"/>
      <c r="AG623" s="419" t="n">
        <f aca="false">IF(AND(L622&lt;L_rampe,Poussee&lt;Poids*SIN(M622)),0,(-W622+Poussee)/m-Poids*SIN(M622)/m)</f>
        <v>5.95782098415095</v>
      </c>
      <c r="AH623" s="418" t="n">
        <f aca="false">IF(AND(L622&lt;L_rampe,Poussee&lt;Poids*SIN(M622)), g*SIN(M622), (-W622+Poussee)/m)</f>
        <v>-3.75121246416165</v>
      </c>
    </row>
    <row r="624" customFormat="false" ht="12" hidden="false" customHeight="false" outlineLevel="0" collapsed="false">
      <c r="A624" s="417" t="n">
        <f aca="false">IF(B623+0.01&lt;=T_ini+ROUNDUP(Temps_fin_propu,0), 0.01, IF(K623&gt;0, 0.1, 0.0001))</f>
        <v>0.0001</v>
      </c>
      <c r="B624" s="418" t="n">
        <f aca="false">B623+pas</f>
        <v>16.5274999999999</v>
      </c>
      <c r="C624" s="402"/>
      <c r="D624" s="419" t="n">
        <f aca="false">IF(AND(L623&lt;L_rampe,Poussee&lt;Poids*SIN(M623)),0,(-W623+Poussee)/m*COS(M623)-U623/m*SIN(M623))</f>
        <v>-0.536811999380083</v>
      </c>
      <c r="E624" s="420" t="n">
        <f aca="false">IF(AND(L623&lt;L_rampe,Poussee&lt;Poids*SIN(M623)),0,(-W623+Poussee)/m*SIN(M623)+U623/m*COS(M623)-Poids/m)</f>
        <v>-6.09733047746381</v>
      </c>
      <c r="F624" s="418" t="n">
        <f aca="false">SQRT(acc_x^2+acc_z^2)</f>
        <v>6.12091546045912</v>
      </c>
      <c r="G624" s="419" t="n">
        <f aca="false">G623+acc_x*pas</f>
        <v>10.2724799446036</v>
      </c>
      <c r="H624" s="420" t="n">
        <f aca="false">H623+acc_z*pas</f>
        <v>-71.046939837054</v>
      </c>
      <c r="I624" s="418" t="n">
        <f aca="false">SQRT(vit_x^2+vit_z^2)</f>
        <v>71.7857332930594</v>
      </c>
      <c r="J624" s="419" t="n">
        <f aca="false">J623+0.5*(vit_x+G623)*pas*(K623&gt;=0)</f>
        <v>211.791153319536</v>
      </c>
      <c r="K624" s="420" t="n">
        <f aca="false">K623+0.5*(vit_z+H623)*pas</f>
        <v>-6.38434506376364</v>
      </c>
      <c r="L624" s="418" t="n">
        <f aca="false">SQRT(pos_x^2+pos_z^2)</f>
        <v>211.887358014376</v>
      </c>
      <c r="M624" s="419" t="n">
        <f aca="false">IF(AND(L623&gt;L_rampe,G624&gt;0),ATAN2(G624,H624),$M$4)</f>
        <v>-1.42720420293077</v>
      </c>
      <c r="N624" s="418" t="n">
        <f aca="false">DEGREES(Beta)</f>
        <v>-81.772777331266</v>
      </c>
      <c r="O624" s="402"/>
      <c r="P624" s="421" t="n">
        <f aca="false">MATCH(t-pas/2-T_ini,CdP_t)</f>
        <v>23</v>
      </c>
      <c r="Q624" s="418" t="n">
        <f aca="false">(INDEX(CdP,2,i_P+1)-INDEX(CdP,2,i_P+0))/(INDEX(CdP,1,i_P+1)-INDEX(CdP,1,i_P+0))*(t-pas/2-T_ini-INDEX(CdP,1,i_P+0))+INDEX(CdP,2,i_P+0)</f>
        <v>0</v>
      </c>
      <c r="R624" s="419" t="n">
        <f aca="false">Poussee/(g*ISP)</f>
        <v>0</v>
      </c>
      <c r="S624" s="420" t="n">
        <f aca="false">S623-Débit*pas</f>
        <v>1.4843</v>
      </c>
      <c r="T624" s="418" t="n">
        <f aca="false">m*g</f>
        <v>14.560983</v>
      </c>
      <c r="U624" s="422" t="n">
        <f aca="false">IF(pos_xz&lt;L_rampe,Poids*COS(Beta),0)</f>
        <v>0</v>
      </c>
      <c r="V624" s="419" t="n">
        <f aca="false">Rho_moyen*(20000-Alt_rampe-pos_z)/(20000+Alt_rampe+pos_z)</f>
        <v>1.22578233200418</v>
      </c>
      <c r="W624" s="418" t="n">
        <f aca="false">1/2*Rho*Sref*Cx*vit_xz^2</f>
        <v>5.56811741896423</v>
      </c>
      <c r="X624" s="402"/>
      <c r="Y624" s="423" t="str">
        <f aca="false">IF(AND(pos_z&lt;=0,K623&gt;0),"Impact balistique","") &amp; IF(AND(H625&lt;0,vit_z&gt;=0),"Apogée","") &amp; IF(AND(Poussee=0,Q623&gt;0),"Fin de propulsion","") &amp; IF(AND(L625&gt;L_rampe,pos_xz&lt;=L_rampe),"Sortie de rampe","")</f>
        <v/>
      </c>
      <c r="Z624" s="424" t="str">
        <f aca="false">IF(ABS(t-T_para)&lt;pas/2,"Para","")</f>
        <v/>
      </c>
      <c r="AA624" s="425" t="str">
        <f aca="false">IF(ABS(t-T_satellite)&lt;pas/2,"Satellite","")</f>
        <v/>
      </c>
      <c r="AB624" s="413"/>
      <c r="AC624" s="421" t="e">
        <f aca="false">IF(ABS(t-ROUND(t,0))&lt;0.001,t,NA())</f>
        <v>#N/A</v>
      </c>
      <c r="AD624" s="426" t="e">
        <f aca="false">IF(ABS(t-ROUND(t,0))&lt;0.001,pos_x,NA())</f>
        <v>#N/A</v>
      </c>
      <c r="AE624" s="427" t="e">
        <f aca="false">IF(t&lt;T_para, pos_z, NA())</f>
        <v>#N/A</v>
      </c>
      <c r="AF624" s="413"/>
      <c r="AG624" s="419" t="n">
        <f aca="false">IF(AND(L623&lt;L_rampe,Poussee&lt;Poids*SIN(M623)),0,(-W623+Poussee)/m-Poids*SIN(M623)/m)</f>
        <v>5.9577587970659</v>
      </c>
      <c r="AH624" s="418" t="n">
        <f aca="false">IF(AND(L623&lt;L_rampe,Poussee&lt;Poids*SIN(M623)), g*SIN(M623), (-W623+Poussee)/m)</f>
        <v>-3.75127739660073</v>
      </c>
    </row>
    <row r="625" customFormat="false" ht="12" hidden="false" customHeight="false" outlineLevel="0" collapsed="false">
      <c r="A625" s="417" t="n">
        <f aca="false">IF(B624+0.01&lt;=T_ini+ROUNDUP(Temps_fin_propu,0), 0.01, IF(K624&gt;0, 0.1, 0.0001))</f>
        <v>0.0001</v>
      </c>
      <c r="B625" s="418" t="n">
        <f aca="false">B624+pas</f>
        <v>16.5275999999999</v>
      </c>
      <c r="C625" s="402"/>
      <c r="D625" s="419" t="n">
        <f aca="false">IF(AND(L624&lt;L_rampe,Poussee&lt;Poids*SIN(M624)),0,(-W624+Poussee)/m*COS(M624)-U624/m*SIN(M624))</f>
        <v>-0.536814030761253</v>
      </c>
      <c r="E625" s="420" t="n">
        <f aca="false">IF(AND(L624&lt;L_rampe,Poussee&lt;Poids*SIN(M624)),0,(-W624+Poussee)/m*SIN(M624)+U624/m*COS(M624)-Poids/m)</f>
        <v>-6.09726516353857</v>
      </c>
      <c r="F625" s="418" t="n">
        <f aca="false">SQRT(acc_x^2+acc_z^2)</f>
        <v>6.12085057635972</v>
      </c>
      <c r="G625" s="419" t="n">
        <f aca="false">G624+acc_x*pas</f>
        <v>10.2724262632005</v>
      </c>
      <c r="H625" s="420" t="n">
        <f aca="false">H624+acc_z*pas</f>
        <v>-71.0475495635704</v>
      </c>
      <c r="I625" s="418" t="n">
        <f aca="false">SQRT(vit_x^2+vit_z^2)</f>
        <v>71.7863290628576</v>
      </c>
      <c r="J625" s="419" t="n">
        <f aca="false">J624+0.5*(vit_x+G624)*pas*(K624&gt;=0)</f>
        <v>211.791153319536</v>
      </c>
      <c r="K625" s="420" t="n">
        <f aca="false">K624+0.5*(vit_z+H624)*pas</f>
        <v>-6.39144978823367</v>
      </c>
      <c r="L625" s="418" t="n">
        <f aca="false">SQRT(pos_x^2+pos_z^2)</f>
        <v>211.88757220473</v>
      </c>
      <c r="M625" s="419" t="n">
        <f aca="false">IF(AND(L624&gt;L_rampe,G625&gt;0),ATAN2(G625,H625),$M$4)</f>
        <v>-1.4272061584605</v>
      </c>
      <c r="N625" s="418" t="n">
        <f aca="false">DEGREES(Beta)</f>
        <v>-81.7728893748663</v>
      </c>
      <c r="O625" s="402"/>
      <c r="P625" s="421" t="n">
        <f aca="false">MATCH(t-pas/2-T_ini,CdP_t)</f>
        <v>23</v>
      </c>
      <c r="Q625" s="418" t="n">
        <f aca="false">(INDEX(CdP,2,i_P+1)-INDEX(CdP,2,i_P+0))/(INDEX(CdP,1,i_P+1)-INDEX(CdP,1,i_P+0))*(t-pas/2-T_ini-INDEX(CdP,1,i_P+0))+INDEX(CdP,2,i_P+0)</f>
        <v>0</v>
      </c>
      <c r="R625" s="419" t="n">
        <f aca="false">Poussee/(g*ISP)</f>
        <v>0</v>
      </c>
      <c r="S625" s="420" t="n">
        <f aca="false">S624-Débit*pas</f>
        <v>1.4843</v>
      </c>
      <c r="T625" s="418" t="n">
        <f aca="false">m*g</f>
        <v>14.560983</v>
      </c>
      <c r="U625" s="422" t="n">
        <f aca="false">IF(pos_xz&lt;L_rampe,Poids*COS(Beta),0)</f>
        <v>0</v>
      </c>
      <c r="V625" s="419" t="n">
        <f aca="false">Rho_moyen*(20000-Alt_rampe-pos_z)/(20000+Alt_rampe+pos_z)</f>
        <v>1.22578320288916</v>
      </c>
      <c r="W625" s="418" t="n">
        <f aca="false">1/2*Rho*Sref*Cx*vit_xz^2</f>
        <v>5.56821379812442</v>
      </c>
      <c r="X625" s="402"/>
      <c r="Y625" s="423" t="str">
        <f aca="false">IF(AND(pos_z&lt;=0,K624&gt;0),"Impact balistique","") &amp; IF(AND(H626&lt;0,vit_z&gt;=0),"Apogée","") &amp; IF(AND(Poussee=0,Q624&gt;0),"Fin de propulsion","") &amp; IF(AND(L626&gt;L_rampe,pos_xz&lt;=L_rampe),"Sortie de rampe","")</f>
        <v/>
      </c>
      <c r="Z625" s="424" t="str">
        <f aca="false">IF(ABS(t-T_para)&lt;pas/2,"Para","")</f>
        <v/>
      </c>
      <c r="AA625" s="425" t="str">
        <f aca="false">IF(ABS(t-T_satellite)&lt;pas/2,"Satellite","")</f>
        <v/>
      </c>
      <c r="AB625" s="413"/>
      <c r="AC625" s="421" t="e">
        <f aca="false">IF(ABS(t-ROUND(t,0))&lt;0.001,t,NA())</f>
        <v>#N/A</v>
      </c>
      <c r="AD625" s="426" t="e">
        <f aca="false">IF(ABS(t-ROUND(t,0))&lt;0.001,pos_x,NA())</f>
        <v>#N/A</v>
      </c>
      <c r="AE625" s="427" t="e">
        <f aca="false">IF(t&lt;T_para, pos_z, NA())</f>
        <v>#N/A</v>
      </c>
      <c r="AF625" s="413"/>
      <c r="AG625" s="419" t="n">
        <f aca="false">IF(AND(L624&lt;L_rampe,Poussee&lt;Poids*SIN(M624)),0,(-W624+Poussee)/m-Poids*SIN(M624)/m)</f>
        <v>5.95769660990373</v>
      </c>
      <c r="AH625" s="418" t="n">
        <f aca="false">IF(AND(L624&lt;L_rampe,Poussee&lt;Poids*SIN(M624)), g*SIN(M624), (-W624+Poussee)/m)</f>
        <v>-3.7513423290199</v>
      </c>
    </row>
    <row r="626" customFormat="false" ht="12" hidden="false" customHeight="false" outlineLevel="0" collapsed="false">
      <c r="A626" s="417" t="n">
        <f aca="false">IF(B625+0.01&lt;=T_ini+ROUNDUP(Temps_fin_propu,0), 0.01, IF(K625&gt;0, 0.1, 0.0001))</f>
        <v>0.0001</v>
      </c>
      <c r="B626" s="418" t="n">
        <f aca="false">B625+pas</f>
        <v>16.5276999999999</v>
      </c>
      <c r="C626" s="402"/>
      <c r="D626" s="419" t="n">
        <f aca="false">IF(AND(L625&lt;L_rampe,Poussee&lt;Poids*SIN(M625)),0,(-W625+Poussee)/m*COS(M625)-U625/m*SIN(M625))</f>
        <v>-0.536816062044628</v>
      </c>
      <c r="E626" s="420" t="n">
        <f aca="false">IF(AND(L625&lt;L_rampe,Poussee&lt;Poids*SIN(M625)),0,(-W625+Poussee)/m*SIN(M625)+U625/m*COS(M625)-Poids/m)</f>
        <v>-6.09719984963382</v>
      </c>
      <c r="F626" s="418" t="n">
        <f aca="false">SQRT(acc_x^2+acc_z^2)</f>
        <v>6.12078569228198</v>
      </c>
      <c r="G626" s="419" t="n">
        <f aca="false">G625+acc_x*pas</f>
        <v>10.2723725815943</v>
      </c>
      <c r="H626" s="420" t="n">
        <f aca="false">H625+acc_z*pas</f>
        <v>-71.0481592835553</v>
      </c>
      <c r="I626" s="418" t="n">
        <f aca="false">SQRT(vit_x^2+vit_z^2)</f>
        <v>71.7869248264371</v>
      </c>
      <c r="J626" s="419" t="n">
        <f aca="false">J625+0.5*(vit_x+G625)*pas*(K625&gt;=0)</f>
        <v>211.791153319536</v>
      </c>
      <c r="K626" s="420" t="n">
        <f aca="false">K625+0.5*(vit_z+H625)*pas</f>
        <v>-6.39855457367603</v>
      </c>
      <c r="L626" s="418" t="n">
        <f aca="false">SQRT(pos_x^2+pos_z^2)</f>
        <v>211.887786634935</v>
      </c>
      <c r="M626" s="419" t="n">
        <f aca="false">IF(AND(L625&gt;L_rampe,G626&gt;0),ATAN2(G626,H626),$M$4)</f>
        <v>-1.42720811394756</v>
      </c>
      <c r="N626" s="418" t="n">
        <f aca="false">DEGREES(Beta)</f>
        <v>-81.7730014160213</v>
      </c>
      <c r="O626" s="402"/>
      <c r="P626" s="421" t="n">
        <f aca="false">MATCH(t-pas/2-T_ini,CdP_t)</f>
        <v>23</v>
      </c>
      <c r="Q626" s="418" t="n">
        <f aca="false">(INDEX(CdP,2,i_P+1)-INDEX(CdP,2,i_P+0))/(INDEX(CdP,1,i_P+1)-INDEX(CdP,1,i_P+0))*(t-pas/2-T_ini-INDEX(CdP,1,i_P+0))+INDEX(CdP,2,i_P+0)</f>
        <v>0</v>
      </c>
      <c r="R626" s="419" t="n">
        <f aca="false">Poussee/(g*ISP)</f>
        <v>0</v>
      </c>
      <c r="S626" s="420" t="n">
        <f aca="false">S625-Débit*pas</f>
        <v>1.4843</v>
      </c>
      <c r="T626" s="418" t="n">
        <f aca="false">m*g</f>
        <v>14.560983</v>
      </c>
      <c r="U626" s="422" t="n">
        <f aca="false">IF(pos_xz&lt;L_rampe,Poids*COS(Beta),0)</f>
        <v>0</v>
      </c>
      <c r="V626" s="419" t="n">
        <f aca="false">Rho_moyen*(20000-Alt_rampe-pos_z)/(20000+Alt_rampe+pos_z)</f>
        <v>1.22578407378222</v>
      </c>
      <c r="W626" s="418" t="n">
        <f aca="false">1/2*Rho*Sref*Cx*vit_xz^2</f>
        <v>5.568310177255</v>
      </c>
      <c r="X626" s="402"/>
      <c r="Y626" s="423" t="str">
        <f aca="false">IF(AND(pos_z&lt;=0,K625&gt;0),"Impact balistique","") &amp; IF(AND(H627&lt;0,vit_z&gt;=0),"Apogée","") &amp; IF(AND(Poussee=0,Q625&gt;0),"Fin de propulsion","") &amp; IF(AND(L627&gt;L_rampe,pos_xz&lt;=L_rampe),"Sortie de rampe","")</f>
        <v/>
      </c>
      <c r="Z626" s="424" t="str">
        <f aca="false">IF(ABS(t-T_para)&lt;pas/2,"Para","")</f>
        <v/>
      </c>
      <c r="AA626" s="425" t="str">
        <f aca="false">IF(ABS(t-T_satellite)&lt;pas/2,"Satellite","")</f>
        <v/>
      </c>
      <c r="AB626" s="413"/>
      <c r="AC626" s="421" t="e">
        <f aca="false">IF(ABS(t-ROUND(t,0))&lt;0.001,t,NA())</f>
        <v>#N/A</v>
      </c>
      <c r="AD626" s="426" t="e">
        <f aca="false">IF(ABS(t-ROUND(t,0))&lt;0.001,pos_x,NA())</f>
        <v>#N/A</v>
      </c>
      <c r="AE626" s="427" t="e">
        <f aca="false">IF(t&lt;T_para, pos_z, NA())</f>
        <v>#N/A</v>
      </c>
      <c r="AF626" s="413"/>
      <c r="AG626" s="419" t="n">
        <f aca="false">IF(AND(L625&lt;L_rampe,Poussee&lt;Poids*SIN(M625)),0,(-W625+Poussee)/m-Poids*SIN(M625)/m)</f>
        <v>5.95763442266444</v>
      </c>
      <c r="AH626" s="418" t="n">
        <f aca="false">IF(AND(L625&lt;L_rampe,Poussee&lt;Poids*SIN(M625)), g*SIN(M625), (-W625+Poussee)/m)</f>
        <v>-3.75140726141914</v>
      </c>
    </row>
    <row r="627" customFormat="false" ht="12" hidden="false" customHeight="false" outlineLevel="0" collapsed="false">
      <c r="A627" s="417" t="n">
        <f aca="false">IF(B626+0.01&lt;=T_ini+ROUNDUP(Temps_fin_propu,0), 0.01, IF(K626&gt;0, 0.1, 0.0001))</f>
        <v>0.0001</v>
      </c>
      <c r="B627" s="418" t="n">
        <f aca="false">B626+pas</f>
        <v>16.5277999999999</v>
      </c>
      <c r="C627" s="402"/>
      <c r="D627" s="419" t="n">
        <f aca="false">IF(AND(L626&lt;L_rampe,Poussee&lt;Poids*SIN(M626)),0,(-W626+Poussee)/m*COS(M626)-U626/m*SIN(M626))</f>
        <v>-0.53681809323021</v>
      </c>
      <c r="E627" s="420" t="n">
        <f aca="false">IF(AND(L626&lt;L_rampe,Poussee&lt;Poids*SIN(M626)),0,(-W626+Poussee)/m*SIN(M626)+U626/m*COS(M626)-Poids/m)</f>
        <v>-6.09713453574958</v>
      </c>
      <c r="F627" s="418" t="n">
        <f aca="false">SQRT(acc_x^2+acc_z^2)</f>
        <v>6.12072080822591</v>
      </c>
      <c r="G627" s="419" t="n">
        <f aca="false">G626+acc_x*pas</f>
        <v>10.272318899785</v>
      </c>
      <c r="H627" s="420" t="n">
        <f aca="false">H626+acc_z*pas</f>
        <v>-71.0487689970089</v>
      </c>
      <c r="I627" s="418" t="n">
        <f aca="false">SQRT(vit_x^2+vit_z^2)</f>
        <v>71.7875205837979</v>
      </c>
      <c r="J627" s="419" t="n">
        <f aca="false">J626+0.5*(vit_x+G626)*pas*(K626&gt;=0)</f>
        <v>211.791153319536</v>
      </c>
      <c r="K627" s="420" t="n">
        <f aca="false">K626+0.5*(vit_z+H626)*pas</f>
        <v>-6.40565942009005</v>
      </c>
      <c r="L627" s="418" t="n">
        <f aca="false">SQRT(pos_x^2+pos_z^2)</f>
        <v>211.888001304995</v>
      </c>
      <c r="M627" s="419" t="n">
        <f aca="false">IF(AND(L626&gt;L_rampe,G627&gt;0),ATAN2(G627,H627),$M$4)</f>
        <v>-1.42721006939193</v>
      </c>
      <c r="N627" s="418" t="n">
        <f aca="false">DEGREES(Beta)</f>
        <v>-81.7731134547312</v>
      </c>
      <c r="O627" s="402"/>
      <c r="P627" s="421" t="n">
        <f aca="false">MATCH(t-pas/2-T_ini,CdP_t)</f>
        <v>23</v>
      </c>
      <c r="Q627" s="418" t="n">
        <f aca="false">(INDEX(CdP,2,i_P+1)-INDEX(CdP,2,i_P+0))/(INDEX(CdP,1,i_P+1)-INDEX(CdP,1,i_P+0))*(t-pas/2-T_ini-INDEX(CdP,1,i_P+0))+INDEX(CdP,2,i_P+0)</f>
        <v>0</v>
      </c>
      <c r="R627" s="419" t="n">
        <f aca="false">Poussee/(g*ISP)</f>
        <v>0</v>
      </c>
      <c r="S627" s="420" t="n">
        <f aca="false">S626-Débit*pas</f>
        <v>1.4843</v>
      </c>
      <c r="T627" s="418" t="n">
        <f aca="false">m*g</f>
        <v>14.560983</v>
      </c>
      <c r="U627" s="422" t="n">
        <f aca="false">IF(pos_xz&lt;L_rampe,Poids*COS(Beta),0)</f>
        <v>0</v>
      </c>
      <c r="V627" s="419" t="n">
        <f aca="false">Rho_moyen*(20000-Alt_rampe-pos_z)/(20000+Alt_rampe+pos_z)</f>
        <v>1.22578494468338</v>
      </c>
      <c r="W627" s="418" t="n">
        <f aca="false">1/2*Rho*Sref*Cx*vit_xz^2</f>
        <v>5.56840655635596</v>
      </c>
      <c r="X627" s="402"/>
      <c r="Y627" s="423" t="str">
        <f aca="false">IF(AND(pos_z&lt;=0,K626&gt;0),"Impact balistique","") &amp; IF(AND(H628&lt;0,vit_z&gt;=0),"Apogée","") &amp; IF(AND(Poussee=0,Q626&gt;0),"Fin de propulsion","") &amp; IF(AND(L628&gt;L_rampe,pos_xz&lt;=L_rampe),"Sortie de rampe","")</f>
        <v/>
      </c>
      <c r="Z627" s="424" t="str">
        <f aca="false">IF(ABS(t-T_para)&lt;pas/2,"Para","")</f>
        <v/>
      </c>
      <c r="AA627" s="425" t="str">
        <f aca="false">IF(ABS(t-T_satellite)&lt;pas/2,"Satellite","")</f>
        <v/>
      </c>
      <c r="AB627" s="413"/>
      <c r="AC627" s="421" t="e">
        <f aca="false">IF(ABS(t-ROUND(t,0))&lt;0.001,t,NA())</f>
        <v>#N/A</v>
      </c>
      <c r="AD627" s="426" t="e">
        <f aca="false">IF(ABS(t-ROUND(t,0))&lt;0.001,pos_x,NA())</f>
        <v>#N/A</v>
      </c>
      <c r="AE627" s="427" t="e">
        <f aca="false">IF(t&lt;T_para, pos_z, NA())</f>
        <v>#N/A</v>
      </c>
      <c r="AF627" s="413"/>
      <c r="AG627" s="419" t="n">
        <f aca="false">IF(AND(L626&lt;L_rampe,Poussee&lt;Poids*SIN(M626)),0,(-W626+Poussee)/m-Poids*SIN(M626)/m)</f>
        <v>5.95757223534807</v>
      </c>
      <c r="AH627" s="418" t="n">
        <f aca="false">IF(AND(L626&lt;L_rampe,Poussee&lt;Poids*SIN(M626)), g*SIN(M626), (-W626+Poussee)/m)</f>
        <v>-3.75147219379843</v>
      </c>
    </row>
    <row r="628" customFormat="false" ht="12" hidden="false" customHeight="false" outlineLevel="0" collapsed="false">
      <c r="A628" s="417" t="n">
        <f aca="false">IF(B627+0.01&lt;=T_ini+ROUNDUP(Temps_fin_propu,0), 0.01, IF(K627&gt;0, 0.1, 0.0001))</f>
        <v>0.0001</v>
      </c>
      <c r="B628" s="418" t="n">
        <f aca="false">B627+pas</f>
        <v>16.5278999999999</v>
      </c>
      <c r="C628" s="402"/>
      <c r="D628" s="419" t="n">
        <f aca="false">IF(AND(L627&lt;L_rampe,Poussee&lt;Poids*SIN(M627)),0,(-W627+Poussee)/m*COS(M627)-U627/m*SIN(M627))</f>
        <v>-0.536820124318001</v>
      </c>
      <c r="E628" s="420" t="n">
        <f aca="false">IF(AND(L627&lt;L_rampe,Poussee&lt;Poids*SIN(M627)),0,(-W627+Poussee)/m*SIN(M627)+U627/m*COS(M627)-Poids/m)</f>
        <v>-6.09706922188587</v>
      </c>
      <c r="F628" s="418" t="n">
        <f aca="false">SQRT(acc_x^2+acc_z^2)</f>
        <v>6.12065592419152</v>
      </c>
      <c r="G628" s="419" t="n">
        <f aca="false">G627+acc_x*pas</f>
        <v>10.2722652177726</v>
      </c>
      <c r="H628" s="420" t="n">
        <f aca="false">H627+acc_z*pas</f>
        <v>-71.0493787039311</v>
      </c>
      <c r="I628" s="418" t="n">
        <f aca="false">SQRT(vit_x^2+vit_z^2)</f>
        <v>71.78811633494</v>
      </c>
      <c r="J628" s="419" t="n">
        <f aca="false">J627+0.5*(vit_x+G627)*pas*(K627&gt;=0)</f>
        <v>211.791153319536</v>
      </c>
      <c r="K628" s="420" t="n">
        <f aca="false">K627+0.5*(vit_z+H627)*pas</f>
        <v>-6.4127643274751</v>
      </c>
      <c r="L628" s="418" t="n">
        <f aca="false">SQRT(pos_x^2+pos_z^2)</f>
        <v>211.888216214916</v>
      </c>
      <c r="M628" s="419" t="n">
        <f aca="false">IF(AND(L627&gt;L_rampe,G628&gt;0),ATAN2(G628,H628),$M$4)</f>
        <v>-1.42721202479364</v>
      </c>
      <c r="N628" s="418" t="n">
        <f aca="false">DEGREES(Beta)</f>
        <v>-81.773225490996</v>
      </c>
      <c r="O628" s="402"/>
      <c r="P628" s="421" t="n">
        <f aca="false">MATCH(t-pas/2-T_ini,CdP_t)</f>
        <v>23</v>
      </c>
      <c r="Q628" s="418" t="n">
        <f aca="false">(INDEX(CdP,2,i_P+1)-INDEX(CdP,2,i_P+0))/(INDEX(CdP,1,i_P+1)-INDEX(CdP,1,i_P+0))*(t-pas/2-T_ini-INDEX(CdP,1,i_P+0))+INDEX(CdP,2,i_P+0)</f>
        <v>0</v>
      </c>
      <c r="R628" s="419" t="n">
        <f aca="false">Poussee/(g*ISP)</f>
        <v>0</v>
      </c>
      <c r="S628" s="420" t="n">
        <f aca="false">S627-Débit*pas</f>
        <v>1.4843</v>
      </c>
      <c r="T628" s="418" t="n">
        <f aca="false">m*g</f>
        <v>14.560983</v>
      </c>
      <c r="U628" s="422" t="n">
        <f aca="false">IF(pos_xz&lt;L_rampe,Poids*COS(Beta),0)</f>
        <v>0</v>
      </c>
      <c r="V628" s="419" t="n">
        <f aca="false">Rho_moyen*(20000-Alt_rampe-pos_z)/(20000+Alt_rampe+pos_z)</f>
        <v>1.22578581559263</v>
      </c>
      <c r="W628" s="418" t="n">
        <f aca="false">1/2*Rho*Sref*Cx*vit_xz^2</f>
        <v>5.56850293542726</v>
      </c>
      <c r="X628" s="402"/>
      <c r="Y628" s="423" t="str">
        <f aca="false">IF(AND(pos_z&lt;=0,K627&gt;0),"Impact balistique","") &amp; IF(AND(H629&lt;0,vit_z&gt;=0),"Apogée","") &amp; IF(AND(Poussee=0,Q627&gt;0),"Fin de propulsion","") &amp; IF(AND(L629&gt;L_rampe,pos_xz&lt;=L_rampe),"Sortie de rampe","")</f>
        <v/>
      </c>
      <c r="Z628" s="424" t="str">
        <f aca="false">IF(ABS(t-T_para)&lt;pas/2,"Para","")</f>
        <v/>
      </c>
      <c r="AA628" s="425" t="str">
        <f aca="false">IF(ABS(t-T_satellite)&lt;pas/2,"Satellite","")</f>
        <v/>
      </c>
      <c r="AB628" s="413"/>
      <c r="AC628" s="421" t="e">
        <f aca="false">IF(ABS(t-ROUND(t,0))&lt;0.001,t,NA())</f>
        <v>#N/A</v>
      </c>
      <c r="AD628" s="426" t="e">
        <f aca="false">IF(ABS(t-ROUND(t,0))&lt;0.001,pos_x,NA())</f>
        <v>#N/A</v>
      </c>
      <c r="AE628" s="427" t="e">
        <f aca="false">IF(t&lt;T_para, pos_z, NA())</f>
        <v>#N/A</v>
      </c>
      <c r="AF628" s="413"/>
      <c r="AG628" s="419" t="n">
        <f aca="false">IF(AND(L627&lt;L_rampe,Poussee&lt;Poids*SIN(M627)),0,(-W627+Poussee)/m-Poids*SIN(M627)/m)</f>
        <v>5.95751004795461</v>
      </c>
      <c r="AH628" s="418" t="n">
        <f aca="false">IF(AND(L627&lt;L_rampe,Poussee&lt;Poids*SIN(M627)), g*SIN(M627), (-W627+Poussee)/m)</f>
        <v>-3.75153712615776</v>
      </c>
    </row>
    <row r="629" customFormat="false" ht="12" hidden="false" customHeight="false" outlineLevel="0" collapsed="false">
      <c r="A629" s="417" t="n">
        <f aca="false">IF(B628+0.01&lt;=T_ini+ROUNDUP(Temps_fin_propu,0), 0.01, IF(K628&gt;0, 0.1, 0.0001))</f>
        <v>0.0001</v>
      </c>
      <c r="B629" s="418" t="n">
        <f aca="false">B628+pas</f>
        <v>16.5279999999999</v>
      </c>
      <c r="C629" s="402"/>
      <c r="D629" s="419" t="n">
        <f aca="false">IF(AND(L628&lt;L_rampe,Poussee&lt;Poids*SIN(M628)),0,(-W628+Poussee)/m*COS(M628)-U628/m*SIN(M628))</f>
        <v>-0.536822155307999</v>
      </c>
      <c r="E629" s="420" t="n">
        <f aca="false">IF(AND(L628&lt;L_rampe,Poussee&lt;Poids*SIN(M628)),0,(-W628+Poussee)/m*SIN(M628)+U628/m*COS(M628)-Poids/m)</f>
        <v>-6.09700390804269</v>
      </c>
      <c r="F629" s="418" t="n">
        <f aca="false">SQRT(acc_x^2+acc_z^2)</f>
        <v>6.12059104017883</v>
      </c>
      <c r="G629" s="419" t="n">
        <f aca="false">G628+acc_x*pas</f>
        <v>10.272211535557</v>
      </c>
      <c r="H629" s="420" t="n">
        <f aca="false">H628+acc_z*pas</f>
        <v>-71.0499884043219</v>
      </c>
      <c r="I629" s="418" t="n">
        <f aca="false">SQRT(vit_x^2+vit_z^2)</f>
        <v>71.7887120798633</v>
      </c>
      <c r="J629" s="419" t="n">
        <f aca="false">J628+0.5*(vit_x+G628)*pas*(K628&gt;=0)</f>
        <v>211.791153319536</v>
      </c>
      <c r="K629" s="420" t="n">
        <f aca="false">K628+0.5*(vit_z+H628)*pas</f>
        <v>-6.41986929583051</v>
      </c>
      <c r="L629" s="418" t="n">
        <f aca="false">SQRT(pos_x^2+pos_z^2)</f>
        <v>211.888431364704</v>
      </c>
      <c r="M629" s="419" t="n">
        <f aca="false">IF(AND(L628&gt;L_rampe,G629&gt;0),ATAN2(G629,H629),$M$4)</f>
        <v>-1.42721398015267</v>
      </c>
      <c r="N629" s="418" t="n">
        <f aca="false">DEGREES(Beta)</f>
        <v>-81.7733375248159</v>
      </c>
      <c r="O629" s="402"/>
      <c r="P629" s="421" t="n">
        <f aca="false">MATCH(t-pas/2-T_ini,CdP_t)</f>
        <v>23</v>
      </c>
      <c r="Q629" s="418" t="n">
        <f aca="false">(INDEX(CdP,2,i_P+1)-INDEX(CdP,2,i_P+0))/(INDEX(CdP,1,i_P+1)-INDEX(CdP,1,i_P+0))*(t-pas/2-T_ini-INDEX(CdP,1,i_P+0))+INDEX(CdP,2,i_P+0)</f>
        <v>0</v>
      </c>
      <c r="R629" s="419" t="n">
        <f aca="false">Poussee/(g*ISP)</f>
        <v>0</v>
      </c>
      <c r="S629" s="420" t="n">
        <f aca="false">S628-Débit*pas</f>
        <v>1.4843</v>
      </c>
      <c r="T629" s="418" t="n">
        <f aca="false">m*g</f>
        <v>14.560983</v>
      </c>
      <c r="U629" s="422" t="n">
        <f aca="false">IF(pos_xz&lt;L_rampe,Poids*COS(Beta),0)</f>
        <v>0</v>
      </c>
      <c r="V629" s="419" t="n">
        <f aca="false">Rho_moyen*(20000-Alt_rampe-pos_z)/(20000+Alt_rampe+pos_z)</f>
        <v>1.22578668650997</v>
      </c>
      <c r="W629" s="418" t="n">
        <f aca="false">1/2*Rho*Sref*Cx*vit_xz^2</f>
        <v>5.56859931446889</v>
      </c>
      <c r="X629" s="402"/>
      <c r="Y629" s="423" t="str">
        <f aca="false">IF(AND(pos_z&lt;=0,K628&gt;0),"Impact balistique","") &amp; IF(AND(H630&lt;0,vit_z&gt;=0),"Apogée","") &amp; IF(AND(Poussee=0,Q628&gt;0),"Fin de propulsion","") &amp; IF(AND(L630&gt;L_rampe,pos_xz&lt;=L_rampe),"Sortie de rampe","")</f>
        <v/>
      </c>
      <c r="Z629" s="424" t="str">
        <f aca="false">IF(ABS(t-T_para)&lt;pas/2,"Para","")</f>
        <v/>
      </c>
      <c r="AA629" s="425" t="str">
        <f aca="false">IF(ABS(t-T_satellite)&lt;pas/2,"Satellite","")</f>
        <v/>
      </c>
      <c r="AB629" s="413"/>
      <c r="AC629" s="421" t="e">
        <f aca="false">IF(ABS(t-ROUND(t,0))&lt;0.001,t,NA())</f>
        <v>#N/A</v>
      </c>
      <c r="AD629" s="426" t="e">
        <f aca="false">IF(ABS(t-ROUND(t,0))&lt;0.001,pos_x,NA())</f>
        <v>#N/A</v>
      </c>
      <c r="AE629" s="427" t="e">
        <f aca="false">IF(t&lt;T_para, pos_z, NA())</f>
        <v>#N/A</v>
      </c>
      <c r="AF629" s="413"/>
      <c r="AG629" s="419" t="n">
        <f aca="false">IF(AND(L628&lt;L_rampe,Poussee&lt;Poids*SIN(M628)),0,(-W628+Poussee)/m-Poids*SIN(M628)/m)</f>
        <v>5.95744786048411</v>
      </c>
      <c r="AH629" s="418" t="n">
        <f aca="false">IF(AND(L628&lt;L_rampe,Poussee&lt;Poids*SIN(M628)), g*SIN(M628), (-W628+Poussee)/m)</f>
        <v>-3.75160205849711</v>
      </c>
    </row>
    <row r="630" customFormat="false" ht="12" hidden="false" customHeight="false" outlineLevel="0" collapsed="false">
      <c r="A630" s="417" t="n">
        <f aca="false">IF(B629+0.01&lt;=T_ini+ROUNDUP(Temps_fin_propu,0), 0.01, IF(K629&gt;0, 0.1, 0.0001))</f>
        <v>0.0001</v>
      </c>
      <c r="B630" s="418" t="n">
        <f aca="false">B629+pas</f>
        <v>16.5280999999999</v>
      </c>
      <c r="C630" s="402"/>
      <c r="D630" s="419" t="n">
        <f aca="false">IF(AND(L629&lt;L_rampe,Poussee&lt;Poids*SIN(M629)),0,(-W629+Poussee)/m*COS(M629)-U629/m*SIN(M629))</f>
        <v>-0.536824186200206</v>
      </c>
      <c r="E630" s="420" t="n">
        <f aca="false">IF(AND(L629&lt;L_rampe,Poussee&lt;Poids*SIN(M629)),0,(-W629+Poussee)/m*SIN(M629)+U629/m*COS(M629)-Poids/m)</f>
        <v>-6.09693859422007</v>
      </c>
      <c r="F630" s="418" t="n">
        <f aca="false">SQRT(acc_x^2+acc_z^2)</f>
        <v>6.12052615618786</v>
      </c>
      <c r="G630" s="419" t="n">
        <f aca="false">G629+acc_x*pas</f>
        <v>10.2721578531384</v>
      </c>
      <c r="H630" s="420" t="n">
        <f aca="false">H629+acc_z*pas</f>
        <v>-71.0505980981813</v>
      </c>
      <c r="I630" s="418" t="n">
        <f aca="false">SQRT(vit_x^2+vit_z^2)</f>
        <v>71.7893078185678</v>
      </c>
      <c r="J630" s="419" t="n">
        <f aca="false">J629+0.5*(vit_x+G629)*pas*(K629&gt;=0)</f>
        <v>211.791153319536</v>
      </c>
      <c r="K630" s="420" t="n">
        <f aca="false">K629+0.5*(vit_z+H629)*pas</f>
        <v>-6.42697432515564</v>
      </c>
      <c r="L630" s="418" t="n">
        <f aca="false">SQRT(pos_x^2+pos_z^2)</f>
        <v>211.888646754364</v>
      </c>
      <c r="M630" s="419" t="n">
        <f aca="false">IF(AND(L629&gt;L_rampe,G630&gt;0),ATAN2(G630,H630),$M$4)</f>
        <v>-1.42721593546903</v>
      </c>
      <c r="N630" s="418" t="n">
        <f aca="false">DEGREES(Beta)</f>
        <v>-81.7734495561908</v>
      </c>
      <c r="O630" s="402"/>
      <c r="P630" s="421" t="n">
        <f aca="false">MATCH(t-pas/2-T_ini,CdP_t)</f>
        <v>23</v>
      </c>
      <c r="Q630" s="418" t="n">
        <f aca="false">(INDEX(CdP,2,i_P+1)-INDEX(CdP,2,i_P+0))/(INDEX(CdP,1,i_P+1)-INDEX(CdP,1,i_P+0))*(t-pas/2-T_ini-INDEX(CdP,1,i_P+0))+INDEX(CdP,2,i_P+0)</f>
        <v>0</v>
      </c>
      <c r="R630" s="419" t="n">
        <f aca="false">Poussee/(g*ISP)</f>
        <v>0</v>
      </c>
      <c r="S630" s="420" t="n">
        <f aca="false">S629-Débit*pas</f>
        <v>1.4843</v>
      </c>
      <c r="T630" s="418" t="n">
        <f aca="false">m*g</f>
        <v>14.560983</v>
      </c>
      <c r="U630" s="422" t="n">
        <f aca="false">IF(pos_xz&lt;L_rampe,Poids*COS(Beta),0)</f>
        <v>0</v>
      </c>
      <c r="V630" s="419" t="n">
        <f aca="false">Rho_moyen*(20000-Alt_rampe-pos_z)/(20000+Alt_rampe+pos_z)</f>
        <v>1.2257875574354</v>
      </c>
      <c r="W630" s="418" t="n">
        <f aca="false">1/2*Rho*Sref*Cx*vit_xz^2</f>
        <v>5.56869569348081</v>
      </c>
      <c r="X630" s="402"/>
      <c r="Y630" s="423" t="str">
        <f aca="false">IF(AND(pos_z&lt;=0,K629&gt;0),"Impact balistique","") &amp; IF(AND(H631&lt;0,vit_z&gt;=0),"Apogée","") &amp; IF(AND(Poussee=0,Q629&gt;0),"Fin de propulsion","") &amp; IF(AND(L631&gt;L_rampe,pos_xz&lt;=L_rampe),"Sortie de rampe","")</f>
        <v/>
      </c>
      <c r="Z630" s="424" t="str">
        <f aca="false">IF(ABS(t-T_para)&lt;pas/2,"Para","")</f>
        <v/>
      </c>
      <c r="AA630" s="425" t="str">
        <f aca="false">IF(ABS(t-T_satellite)&lt;pas/2,"Satellite","")</f>
        <v/>
      </c>
      <c r="AB630" s="413"/>
      <c r="AC630" s="421" t="e">
        <f aca="false">IF(ABS(t-ROUND(t,0))&lt;0.001,t,NA())</f>
        <v>#N/A</v>
      </c>
      <c r="AD630" s="426" t="e">
        <f aca="false">IF(ABS(t-ROUND(t,0))&lt;0.001,pos_x,NA())</f>
        <v>#N/A</v>
      </c>
      <c r="AE630" s="427" t="e">
        <f aca="false">IF(t&lt;T_para, pos_z, NA())</f>
        <v>#N/A</v>
      </c>
      <c r="AF630" s="413"/>
      <c r="AG630" s="419" t="n">
        <f aca="false">IF(AND(L629&lt;L_rampe,Poussee&lt;Poids*SIN(M629)),0,(-W629+Poussee)/m-Poids*SIN(M629)/m)</f>
        <v>5.95738567293658</v>
      </c>
      <c r="AH630" s="418" t="n">
        <f aca="false">IF(AND(L629&lt;L_rampe,Poussee&lt;Poids*SIN(M629)), g*SIN(M629), (-W629+Poussee)/m)</f>
        <v>-3.75166699081647</v>
      </c>
    </row>
    <row r="631" customFormat="false" ht="12" hidden="false" customHeight="false" outlineLevel="0" collapsed="false">
      <c r="A631" s="417" t="n">
        <f aca="false">IF(B630+0.01&lt;=T_ini+ROUNDUP(Temps_fin_propu,0), 0.01, IF(K630&gt;0, 0.1, 0.0001))</f>
        <v>0.0001</v>
      </c>
      <c r="B631" s="418" t="n">
        <f aca="false">B630+pas</f>
        <v>16.5281999999999</v>
      </c>
      <c r="C631" s="402"/>
      <c r="D631" s="419" t="n">
        <f aca="false">IF(AND(L630&lt;L_rampe,Poussee&lt;Poids*SIN(M630)),0,(-W630+Poussee)/m*COS(M630)-U630/m*SIN(M630))</f>
        <v>-0.536826216994623</v>
      </c>
      <c r="E631" s="420" t="n">
        <f aca="false">IF(AND(L630&lt;L_rampe,Poussee&lt;Poids*SIN(M630)),0,(-W630+Poussee)/m*SIN(M630)+U630/m*COS(M630)-Poids/m)</f>
        <v>-6.09687328041803</v>
      </c>
      <c r="F631" s="418" t="n">
        <f aca="false">SQRT(acc_x^2+acc_z^2)</f>
        <v>6.12046127221862</v>
      </c>
      <c r="G631" s="419" t="n">
        <f aca="false">G630+acc_x*pas</f>
        <v>10.2721041705167</v>
      </c>
      <c r="H631" s="420" t="n">
        <f aca="false">H630+acc_z*pas</f>
        <v>-71.0512077855094</v>
      </c>
      <c r="I631" s="418" t="n">
        <f aca="false">SQRT(vit_x^2+vit_z^2)</f>
        <v>71.7899035510536</v>
      </c>
      <c r="J631" s="419" t="n">
        <f aca="false">J630+0.5*(vit_x+G630)*pas*(K630&gt;=0)</f>
        <v>211.791153319536</v>
      </c>
      <c r="K631" s="420" t="n">
        <f aca="false">K630+0.5*(vit_z+H630)*pas</f>
        <v>-6.43407941544982</v>
      </c>
      <c r="L631" s="418" t="n">
        <f aca="false">SQRT(pos_x^2+pos_z^2)</f>
        <v>211.888862383901</v>
      </c>
      <c r="M631" s="419" t="n">
        <f aca="false">IF(AND(L630&gt;L_rampe,G631&gt;0),ATAN2(G631,H631),$M$4)</f>
        <v>-1.42721789074271</v>
      </c>
      <c r="N631" s="418" t="n">
        <f aca="false">DEGREES(Beta)</f>
        <v>-81.773561585121</v>
      </c>
      <c r="O631" s="402"/>
      <c r="P631" s="421" t="n">
        <f aca="false">MATCH(t-pas/2-T_ini,CdP_t)</f>
        <v>23</v>
      </c>
      <c r="Q631" s="418" t="n">
        <f aca="false">(INDEX(CdP,2,i_P+1)-INDEX(CdP,2,i_P+0))/(INDEX(CdP,1,i_P+1)-INDEX(CdP,1,i_P+0))*(t-pas/2-T_ini-INDEX(CdP,1,i_P+0))+INDEX(CdP,2,i_P+0)</f>
        <v>0</v>
      </c>
      <c r="R631" s="419" t="n">
        <f aca="false">Poussee/(g*ISP)</f>
        <v>0</v>
      </c>
      <c r="S631" s="420" t="n">
        <f aca="false">S630-Débit*pas</f>
        <v>1.4843</v>
      </c>
      <c r="T631" s="418" t="n">
        <f aca="false">m*g</f>
        <v>14.560983</v>
      </c>
      <c r="U631" s="422" t="n">
        <f aca="false">IF(pos_xz&lt;L_rampe,Poids*COS(Beta),0)</f>
        <v>0</v>
      </c>
      <c r="V631" s="419" t="n">
        <f aca="false">Rho_moyen*(20000-Alt_rampe-pos_z)/(20000+Alt_rampe+pos_z)</f>
        <v>1.22578842836893</v>
      </c>
      <c r="W631" s="418" t="n">
        <f aca="false">1/2*Rho*Sref*Cx*vit_xz^2</f>
        <v>5.56879207246301</v>
      </c>
      <c r="X631" s="402"/>
      <c r="Y631" s="423" t="str">
        <f aca="false">IF(AND(pos_z&lt;=0,K630&gt;0),"Impact balistique","") &amp; IF(AND(H632&lt;0,vit_z&gt;=0),"Apogée","") &amp; IF(AND(Poussee=0,Q630&gt;0),"Fin de propulsion","") &amp; IF(AND(L632&gt;L_rampe,pos_xz&lt;=L_rampe),"Sortie de rampe","")</f>
        <v/>
      </c>
      <c r="Z631" s="424" t="str">
        <f aca="false">IF(ABS(t-T_para)&lt;pas/2,"Para","")</f>
        <v/>
      </c>
      <c r="AA631" s="425" t="str">
        <f aca="false">IF(ABS(t-T_satellite)&lt;pas/2,"Satellite","")</f>
        <v/>
      </c>
      <c r="AB631" s="413"/>
      <c r="AC631" s="421" t="e">
        <f aca="false">IF(ABS(t-ROUND(t,0))&lt;0.001,t,NA())</f>
        <v>#N/A</v>
      </c>
      <c r="AD631" s="426" t="e">
        <f aca="false">IF(ABS(t-ROUND(t,0))&lt;0.001,pos_x,NA())</f>
        <v>#N/A</v>
      </c>
      <c r="AE631" s="427" t="e">
        <f aca="false">IF(t&lt;T_para, pos_z, NA())</f>
        <v>#N/A</v>
      </c>
      <c r="AF631" s="413"/>
      <c r="AG631" s="419" t="n">
        <f aca="false">IF(AND(L630&lt;L_rampe,Poussee&lt;Poids*SIN(M630)),0,(-W630+Poussee)/m-Poids*SIN(M630)/m)</f>
        <v>5.95732348531205</v>
      </c>
      <c r="AH631" s="418" t="n">
        <f aca="false">IF(AND(L630&lt;L_rampe,Poussee&lt;Poids*SIN(M630)), g*SIN(M630), (-W630+Poussee)/m)</f>
        <v>-3.75173192311582</v>
      </c>
    </row>
    <row r="632" customFormat="false" ht="12" hidden="false" customHeight="false" outlineLevel="0" collapsed="false">
      <c r="A632" s="417" t="n">
        <f aca="false">IF(B631+0.01&lt;=T_ini+ROUNDUP(Temps_fin_propu,0), 0.01, IF(K631&gt;0, 0.1, 0.0001))</f>
        <v>0.0001</v>
      </c>
      <c r="B632" s="418" t="n">
        <f aca="false">B631+pas</f>
        <v>16.5282999999999</v>
      </c>
      <c r="C632" s="402"/>
      <c r="D632" s="419" t="n">
        <f aca="false">IF(AND(L631&lt;L_rampe,Poussee&lt;Poids*SIN(M631)),0,(-W631+Poussee)/m*COS(M631)-U631/m*SIN(M631))</f>
        <v>-0.536828247691251</v>
      </c>
      <c r="E632" s="420" t="n">
        <f aca="false">IF(AND(L631&lt;L_rampe,Poussee&lt;Poids*SIN(M631)),0,(-W631+Poussee)/m*SIN(M631)+U631/m*COS(M631)-Poids/m)</f>
        <v>-6.09680796663657</v>
      </c>
      <c r="F632" s="418" t="n">
        <f aca="false">SQRT(acc_x^2+acc_z^2)</f>
        <v>6.12039638827114</v>
      </c>
      <c r="G632" s="419" t="n">
        <f aca="false">G631+acc_x*pas</f>
        <v>10.2720504876919</v>
      </c>
      <c r="H632" s="420" t="n">
        <f aca="false">H631+acc_z*pas</f>
        <v>-71.051817466306</v>
      </c>
      <c r="I632" s="418" t="n">
        <f aca="false">SQRT(vit_x^2+vit_z^2)</f>
        <v>71.7904992773205</v>
      </c>
      <c r="J632" s="419" t="n">
        <f aca="false">J631+0.5*(vit_x+G631)*pas*(K631&gt;=0)</f>
        <v>211.791153319536</v>
      </c>
      <c r="K632" s="420" t="n">
        <f aca="false">K631+0.5*(vit_z+H631)*pas</f>
        <v>-6.44118456671242</v>
      </c>
      <c r="L632" s="418" t="n">
        <f aca="false">SQRT(pos_x^2+pos_z^2)</f>
        <v>211.88907825332</v>
      </c>
      <c r="M632" s="419" t="n">
        <f aca="false">IF(AND(L631&gt;L_rampe,G632&gt;0),ATAN2(G632,H632),$M$4)</f>
        <v>-1.42721984597373</v>
      </c>
      <c r="N632" s="418" t="n">
        <f aca="false">DEGREES(Beta)</f>
        <v>-81.7736736116064</v>
      </c>
      <c r="O632" s="402"/>
      <c r="P632" s="421" t="n">
        <f aca="false">MATCH(t-pas/2-T_ini,CdP_t)</f>
        <v>23</v>
      </c>
      <c r="Q632" s="418" t="n">
        <f aca="false">(INDEX(CdP,2,i_P+1)-INDEX(CdP,2,i_P+0))/(INDEX(CdP,1,i_P+1)-INDEX(CdP,1,i_P+0))*(t-pas/2-T_ini-INDEX(CdP,1,i_P+0))+INDEX(CdP,2,i_P+0)</f>
        <v>0</v>
      </c>
      <c r="R632" s="419" t="n">
        <f aca="false">Poussee/(g*ISP)</f>
        <v>0</v>
      </c>
      <c r="S632" s="420" t="n">
        <f aca="false">S631-Débit*pas</f>
        <v>1.4843</v>
      </c>
      <c r="T632" s="418" t="n">
        <f aca="false">m*g</f>
        <v>14.560983</v>
      </c>
      <c r="U632" s="422" t="n">
        <f aca="false">IF(pos_xz&lt;L_rampe,Poids*COS(Beta),0)</f>
        <v>0</v>
      </c>
      <c r="V632" s="419" t="n">
        <f aca="false">Rho_moyen*(20000-Alt_rampe-pos_z)/(20000+Alt_rampe+pos_z)</f>
        <v>1.22578929931055</v>
      </c>
      <c r="W632" s="418" t="n">
        <f aca="false">1/2*Rho*Sref*Cx*vit_xz^2</f>
        <v>5.56888845141546</v>
      </c>
      <c r="X632" s="402"/>
      <c r="Y632" s="423" t="str">
        <f aca="false">IF(AND(pos_z&lt;=0,K631&gt;0),"Impact balistique","") &amp; IF(AND(H633&lt;0,vit_z&gt;=0),"Apogée","") &amp; IF(AND(Poussee=0,Q631&gt;0),"Fin de propulsion","") &amp; IF(AND(L633&gt;L_rampe,pos_xz&lt;=L_rampe),"Sortie de rampe","")</f>
        <v/>
      </c>
      <c r="Z632" s="424" t="str">
        <f aca="false">IF(ABS(t-T_para)&lt;pas/2,"Para","")</f>
        <v/>
      </c>
      <c r="AA632" s="425" t="str">
        <f aca="false">IF(ABS(t-T_satellite)&lt;pas/2,"Satellite","")</f>
        <v/>
      </c>
      <c r="AB632" s="413"/>
      <c r="AC632" s="421" t="e">
        <f aca="false">IF(ABS(t-ROUND(t,0))&lt;0.001,t,NA())</f>
        <v>#N/A</v>
      </c>
      <c r="AD632" s="426" t="e">
        <f aca="false">IF(ABS(t-ROUND(t,0))&lt;0.001,pos_x,NA())</f>
        <v>#N/A</v>
      </c>
      <c r="AE632" s="427" t="e">
        <f aca="false">IF(t&lt;T_para, pos_z, NA())</f>
        <v>#N/A</v>
      </c>
      <c r="AF632" s="413"/>
      <c r="AG632" s="419" t="n">
        <f aca="false">IF(AND(L631&lt;L_rampe,Poussee&lt;Poids*SIN(M631)),0,(-W631+Poussee)/m-Poids*SIN(M631)/m)</f>
        <v>5.95726129761052</v>
      </c>
      <c r="AH632" s="418" t="n">
        <f aca="false">IF(AND(L631&lt;L_rampe,Poussee&lt;Poids*SIN(M631)), g*SIN(M631), (-W631+Poussee)/m)</f>
        <v>-3.75179685539515</v>
      </c>
    </row>
    <row r="633" customFormat="false" ht="12" hidden="false" customHeight="false" outlineLevel="0" collapsed="false">
      <c r="A633" s="417" t="n">
        <f aca="false">IF(B632+0.01&lt;=T_ini+ROUNDUP(Temps_fin_propu,0), 0.01, IF(K632&gt;0, 0.1, 0.0001))</f>
        <v>0.0001</v>
      </c>
      <c r="B633" s="418" t="n">
        <f aca="false">B632+pas</f>
        <v>16.5283999999999</v>
      </c>
      <c r="C633" s="402"/>
      <c r="D633" s="419" t="n">
        <f aca="false">IF(AND(L632&lt;L_rampe,Poussee&lt;Poids*SIN(M632)),0,(-W632+Poussee)/m*COS(M632)-U632/m*SIN(M632))</f>
        <v>-0.536830278290089</v>
      </c>
      <c r="E633" s="420" t="n">
        <f aca="false">IF(AND(L632&lt;L_rampe,Poussee&lt;Poids*SIN(M632)),0,(-W632+Poussee)/m*SIN(M632)+U632/m*COS(M632)-Poids/m)</f>
        <v>-6.09674265287572</v>
      </c>
      <c r="F633" s="418" t="n">
        <f aca="false">SQRT(acc_x^2+acc_z^2)</f>
        <v>6.12033150434542</v>
      </c>
      <c r="G633" s="419" t="n">
        <f aca="false">G632+acc_x*pas</f>
        <v>10.2719968046641</v>
      </c>
      <c r="H633" s="420" t="n">
        <f aca="false">H632+acc_z*pas</f>
        <v>-71.0524271405713</v>
      </c>
      <c r="I633" s="418" t="n">
        <f aca="false">SQRT(vit_x^2+vit_z^2)</f>
        <v>71.7910949973688</v>
      </c>
      <c r="J633" s="419" t="n">
        <f aca="false">J632+0.5*(vit_x+G632)*pas*(K632&gt;=0)</f>
        <v>211.791153319536</v>
      </c>
      <c r="K633" s="420" t="n">
        <f aca="false">K632+0.5*(vit_z+H632)*pas</f>
        <v>-6.44828977894276</v>
      </c>
      <c r="L633" s="418" t="n">
        <f aca="false">SQRT(pos_x^2+pos_z^2)</f>
        <v>211.889294362628</v>
      </c>
      <c r="M633" s="419" t="n">
        <f aca="false">IF(AND(L632&gt;L_rampe,G633&gt;0),ATAN2(G633,H633),$M$4)</f>
        <v>-1.42722180116209</v>
      </c>
      <c r="N633" s="418" t="n">
        <f aca="false">DEGREES(Beta)</f>
        <v>-81.7737856356472</v>
      </c>
      <c r="O633" s="402"/>
      <c r="P633" s="421" t="n">
        <f aca="false">MATCH(t-pas/2-T_ini,CdP_t)</f>
        <v>23</v>
      </c>
      <c r="Q633" s="418" t="n">
        <f aca="false">(INDEX(CdP,2,i_P+1)-INDEX(CdP,2,i_P+0))/(INDEX(CdP,1,i_P+1)-INDEX(CdP,1,i_P+0))*(t-pas/2-T_ini-INDEX(CdP,1,i_P+0))+INDEX(CdP,2,i_P+0)</f>
        <v>0</v>
      </c>
      <c r="R633" s="419" t="n">
        <f aca="false">Poussee/(g*ISP)</f>
        <v>0</v>
      </c>
      <c r="S633" s="420" t="n">
        <f aca="false">S632-Débit*pas</f>
        <v>1.4843</v>
      </c>
      <c r="T633" s="418" t="n">
        <f aca="false">m*g</f>
        <v>14.560983</v>
      </c>
      <c r="U633" s="422" t="n">
        <f aca="false">IF(pos_xz&lt;L_rampe,Poids*COS(Beta),0)</f>
        <v>0</v>
      </c>
      <c r="V633" s="419" t="n">
        <f aca="false">Rho_moyen*(20000-Alt_rampe-pos_z)/(20000+Alt_rampe+pos_z)</f>
        <v>1.22579017026026</v>
      </c>
      <c r="W633" s="418" t="n">
        <f aca="false">1/2*Rho*Sref*Cx*vit_xz^2</f>
        <v>5.56898483033814</v>
      </c>
      <c r="X633" s="402"/>
      <c r="Y633" s="423" t="str">
        <f aca="false">IF(AND(pos_z&lt;=0,K632&gt;0),"Impact balistique","") &amp; IF(AND(H634&lt;0,vit_z&gt;=0),"Apogée","") &amp; IF(AND(Poussee=0,Q632&gt;0),"Fin de propulsion","") &amp; IF(AND(L634&gt;L_rampe,pos_xz&lt;=L_rampe),"Sortie de rampe","")</f>
        <v/>
      </c>
      <c r="Z633" s="424" t="str">
        <f aca="false">IF(ABS(t-T_para)&lt;pas/2,"Para","")</f>
        <v/>
      </c>
      <c r="AA633" s="425" t="str">
        <f aca="false">IF(ABS(t-T_satellite)&lt;pas/2,"Satellite","")</f>
        <v/>
      </c>
      <c r="AB633" s="413"/>
      <c r="AC633" s="421" t="e">
        <f aca="false">IF(ABS(t-ROUND(t,0))&lt;0.001,t,NA())</f>
        <v>#N/A</v>
      </c>
      <c r="AD633" s="426" t="e">
        <f aca="false">IF(ABS(t-ROUND(t,0))&lt;0.001,pos_x,NA())</f>
        <v>#N/A</v>
      </c>
      <c r="AE633" s="427" t="e">
        <f aca="false">IF(t&lt;T_para, pos_z, NA())</f>
        <v>#N/A</v>
      </c>
      <c r="AF633" s="413"/>
      <c r="AG633" s="419" t="n">
        <f aca="false">IF(AND(L632&lt;L_rampe,Poussee&lt;Poids*SIN(M632)),0,(-W632+Poussee)/m-Poids*SIN(M632)/m)</f>
        <v>5.95719910983202</v>
      </c>
      <c r="AH633" s="418" t="n">
        <f aca="false">IF(AND(L632&lt;L_rampe,Poussee&lt;Poids*SIN(M632)), g*SIN(M632), (-W632+Poussee)/m)</f>
        <v>-3.75186178765443</v>
      </c>
    </row>
    <row r="634" customFormat="false" ht="12" hidden="false" customHeight="false" outlineLevel="0" collapsed="false">
      <c r="A634" s="417" t="n">
        <f aca="false">IF(B633+0.01&lt;=T_ini+ROUNDUP(Temps_fin_propu,0), 0.01, IF(K633&gt;0, 0.1, 0.0001))</f>
        <v>0.0001</v>
      </c>
      <c r="B634" s="418" t="n">
        <f aca="false">B633+pas</f>
        <v>16.5284999999999</v>
      </c>
      <c r="C634" s="402"/>
      <c r="D634" s="419" t="n">
        <f aca="false">IF(AND(L633&lt;L_rampe,Poussee&lt;Poids*SIN(M633)),0,(-W633+Poussee)/m*COS(M633)-U633/m*SIN(M633))</f>
        <v>-0.53683230879114</v>
      </c>
      <c r="E634" s="420" t="n">
        <f aca="false">IF(AND(L633&lt;L_rampe,Poussee&lt;Poids*SIN(M633)),0,(-W633+Poussee)/m*SIN(M633)+U633/m*COS(M633)-Poids/m)</f>
        <v>-6.09667733913549</v>
      </c>
      <c r="F634" s="418" t="n">
        <f aca="false">SQRT(acc_x^2+acc_z^2)</f>
        <v>6.12026662044148</v>
      </c>
      <c r="G634" s="419" t="n">
        <f aca="false">G633+acc_x*pas</f>
        <v>10.2719431214332</v>
      </c>
      <c r="H634" s="420" t="n">
        <f aca="false">H633+acc_z*pas</f>
        <v>-71.0530368083052</v>
      </c>
      <c r="I634" s="418" t="n">
        <f aca="false">SQRT(vit_x^2+vit_z^2)</f>
        <v>71.7916907111981</v>
      </c>
      <c r="J634" s="419" t="n">
        <f aca="false">J633+0.5*(vit_x+G633)*pas*(K633&gt;=0)</f>
        <v>211.791153319536</v>
      </c>
      <c r="K634" s="420" t="n">
        <f aca="false">K633+0.5*(vit_z+H633)*pas</f>
        <v>-6.4553950521402</v>
      </c>
      <c r="L634" s="418" t="n">
        <f aca="false">SQRT(pos_x^2+pos_z^2)</f>
        <v>211.889510711829</v>
      </c>
      <c r="M634" s="419" t="n">
        <f aca="false">IF(AND(L633&gt;L_rampe,G634&gt;0),ATAN2(G634,H634),$M$4)</f>
        <v>-1.42722375630778</v>
      </c>
      <c r="N634" s="418" t="n">
        <f aca="false">DEGREES(Beta)</f>
        <v>-81.7738976572434</v>
      </c>
      <c r="O634" s="402"/>
      <c r="P634" s="421" t="n">
        <f aca="false">MATCH(t-pas/2-T_ini,CdP_t)</f>
        <v>23</v>
      </c>
      <c r="Q634" s="418" t="n">
        <f aca="false">(INDEX(CdP,2,i_P+1)-INDEX(CdP,2,i_P+0))/(INDEX(CdP,1,i_P+1)-INDEX(CdP,1,i_P+0))*(t-pas/2-T_ini-INDEX(CdP,1,i_P+0))+INDEX(CdP,2,i_P+0)</f>
        <v>0</v>
      </c>
      <c r="R634" s="419" t="n">
        <f aca="false">Poussee/(g*ISP)</f>
        <v>0</v>
      </c>
      <c r="S634" s="420" t="n">
        <f aca="false">S633-Débit*pas</f>
        <v>1.4843</v>
      </c>
      <c r="T634" s="418" t="n">
        <f aca="false">m*g</f>
        <v>14.560983</v>
      </c>
      <c r="U634" s="422" t="n">
        <f aca="false">IF(pos_xz&lt;L_rampe,Poids*COS(Beta),0)</f>
        <v>0</v>
      </c>
      <c r="V634" s="419" t="n">
        <f aca="false">Rho_moyen*(20000-Alt_rampe-pos_z)/(20000+Alt_rampe+pos_z)</f>
        <v>1.22579104121807</v>
      </c>
      <c r="W634" s="418" t="n">
        <f aca="false">1/2*Rho*Sref*Cx*vit_xz^2</f>
        <v>5.56908120923102</v>
      </c>
      <c r="X634" s="402"/>
      <c r="Y634" s="423" t="str">
        <f aca="false">IF(AND(pos_z&lt;=0,K633&gt;0),"Impact balistique","") &amp; IF(AND(H635&lt;0,vit_z&gt;=0),"Apogée","") &amp; IF(AND(Poussee=0,Q633&gt;0),"Fin de propulsion","") &amp; IF(AND(L635&gt;L_rampe,pos_xz&lt;=L_rampe),"Sortie de rampe","")</f>
        <v/>
      </c>
      <c r="Z634" s="424" t="str">
        <f aca="false">IF(ABS(t-T_para)&lt;pas/2,"Para","")</f>
        <v/>
      </c>
      <c r="AA634" s="425" t="str">
        <f aca="false">IF(ABS(t-T_satellite)&lt;pas/2,"Satellite","")</f>
        <v/>
      </c>
      <c r="AB634" s="413"/>
      <c r="AC634" s="421" t="e">
        <f aca="false">IF(ABS(t-ROUND(t,0))&lt;0.001,t,NA())</f>
        <v>#N/A</v>
      </c>
      <c r="AD634" s="426" t="e">
        <f aca="false">IF(ABS(t-ROUND(t,0))&lt;0.001,pos_x,NA())</f>
        <v>#N/A</v>
      </c>
      <c r="AE634" s="427" t="e">
        <f aca="false">IF(t&lt;T_para, pos_z, NA())</f>
        <v>#N/A</v>
      </c>
      <c r="AF634" s="413"/>
      <c r="AG634" s="419" t="n">
        <f aca="false">IF(AND(L633&lt;L_rampe,Poussee&lt;Poids*SIN(M633)),0,(-W633+Poussee)/m-Poids*SIN(M633)/m)</f>
        <v>5.95713692197658</v>
      </c>
      <c r="AH634" s="418" t="n">
        <f aca="false">IF(AND(L633&lt;L_rampe,Poussee&lt;Poids*SIN(M633)), g*SIN(M633), (-W633+Poussee)/m)</f>
        <v>-3.75192671989365</v>
      </c>
    </row>
    <row r="635" customFormat="false" ht="12" hidden="false" customHeight="false" outlineLevel="0" collapsed="false">
      <c r="A635" s="417" t="n">
        <f aca="false">IF(B634+0.01&lt;=T_ini+ROUNDUP(Temps_fin_propu,0), 0.01, IF(K634&gt;0, 0.1, 0.0001))</f>
        <v>0.0001</v>
      </c>
      <c r="B635" s="418" t="n">
        <f aca="false">B634+pas</f>
        <v>16.5285999999999</v>
      </c>
      <c r="C635" s="402"/>
      <c r="D635" s="419" t="n">
        <f aca="false">IF(AND(L634&lt;L_rampe,Poussee&lt;Poids*SIN(M634)),0,(-W634+Poussee)/m*COS(M634)-U634/m*SIN(M634))</f>
        <v>-0.536834339194402</v>
      </c>
      <c r="E635" s="420" t="n">
        <f aca="false">IF(AND(L634&lt;L_rampe,Poussee&lt;Poids*SIN(M634)),0,(-W634+Poussee)/m*SIN(M634)+U634/m*COS(M634)-Poids/m)</f>
        <v>-6.0966120254159</v>
      </c>
      <c r="F635" s="418" t="n">
        <f aca="false">SQRT(acc_x^2+acc_z^2)</f>
        <v>6.12020173655935</v>
      </c>
      <c r="G635" s="419" t="n">
        <f aca="false">G634+acc_x*pas</f>
        <v>10.2718894379993</v>
      </c>
      <c r="H635" s="420" t="n">
        <f aca="false">H634+acc_z*pas</f>
        <v>-71.0536464695078</v>
      </c>
      <c r="I635" s="418" t="n">
        <f aca="false">SQRT(vit_x^2+vit_z^2)</f>
        <v>71.7922864188088</v>
      </c>
      <c r="J635" s="419" t="n">
        <f aca="false">J634+0.5*(vit_x+G634)*pas*(K634&gt;=0)</f>
        <v>211.791153319536</v>
      </c>
      <c r="K635" s="420" t="n">
        <f aca="false">K634+0.5*(vit_z+H634)*pas</f>
        <v>-6.46250038630409</v>
      </c>
      <c r="L635" s="418" t="n">
        <f aca="false">SQRT(pos_x^2+pos_z^2)</f>
        <v>211.889727300929</v>
      </c>
      <c r="M635" s="419" t="n">
        <f aca="false">IF(AND(L634&gt;L_rampe,G635&gt;0),ATAN2(G635,H635),$M$4)</f>
        <v>-1.4272257114108</v>
      </c>
      <c r="N635" s="418" t="n">
        <f aca="false">DEGREES(Beta)</f>
        <v>-81.7740096763952</v>
      </c>
      <c r="O635" s="402"/>
      <c r="P635" s="421" t="n">
        <f aca="false">MATCH(t-pas/2-T_ini,CdP_t)</f>
        <v>23</v>
      </c>
      <c r="Q635" s="418" t="n">
        <f aca="false">(INDEX(CdP,2,i_P+1)-INDEX(CdP,2,i_P+0))/(INDEX(CdP,1,i_P+1)-INDEX(CdP,1,i_P+0))*(t-pas/2-T_ini-INDEX(CdP,1,i_P+0))+INDEX(CdP,2,i_P+0)</f>
        <v>0</v>
      </c>
      <c r="R635" s="419" t="n">
        <f aca="false">Poussee/(g*ISP)</f>
        <v>0</v>
      </c>
      <c r="S635" s="420" t="n">
        <f aca="false">S634-Débit*pas</f>
        <v>1.4843</v>
      </c>
      <c r="T635" s="418" t="n">
        <f aca="false">m*g</f>
        <v>14.560983</v>
      </c>
      <c r="U635" s="422" t="n">
        <f aca="false">IF(pos_xz&lt;L_rampe,Poids*COS(Beta),0)</f>
        <v>0</v>
      </c>
      <c r="V635" s="419" t="n">
        <f aca="false">Rho_moyen*(20000-Alt_rampe-pos_z)/(20000+Alt_rampe+pos_z)</f>
        <v>1.22579191218396</v>
      </c>
      <c r="W635" s="418" t="n">
        <f aca="false">1/2*Rho*Sref*Cx*vit_xz^2</f>
        <v>5.56917758809408</v>
      </c>
      <c r="X635" s="402"/>
      <c r="Y635" s="423" t="str">
        <f aca="false">IF(AND(pos_z&lt;=0,K634&gt;0),"Impact balistique","") &amp; IF(AND(H636&lt;0,vit_z&gt;=0),"Apogée","") &amp; IF(AND(Poussee=0,Q634&gt;0),"Fin de propulsion","") &amp; IF(AND(L636&gt;L_rampe,pos_xz&lt;=L_rampe),"Sortie de rampe","")</f>
        <v/>
      </c>
      <c r="Z635" s="424" t="str">
        <f aca="false">IF(ABS(t-T_para)&lt;pas/2,"Para","")</f>
        <v/>
      </c>
      <c r="AA635" s="425" t="str">
        <f aca="false">IF(ABS(t-T_satellite)&lt;pas/2,"Satellite","")</f>
        <v/>
      </c>
      <c r="AB635" s="413"/>
      <c r="AC635" s="421" t="e">
        <f aca="false">IF(ABS(t-ROUND(t,0))&lt;0.001,t,NA())</f>
        <v>#N/A</v>
      </c>
      <c r="AD635" s="426" t="e">
        <f aca="false">IF(ABS(t-ROUND(t,0))&lt;0.001,pos_x,NA())</f>
        <v>#N/A</v>
      </c>
      <c r="AE635" s="427" t="e">
        <f aca="false">IF(t&lt;T_para, pos_z, NA())</f>
        <v>#N/A</v>
      </c>
      <c r="AF635" s="413"/>
      <c r="AG635" s="419" t="n">
        <f aca="false">IF(AND(L634&lt;L_rampe,Poussee&lt;Poids*SIN(M634)),0,(-W634+Poussee)/m-Poids*SIN(M634)/m)</f>
        <v>5.95707473404421</v>
      </c>
      <c r="AH635" s="418" t="n">
        <f aca="false">IF(AND(L634&lt;L_rampe,Poussee&lt;Poids*SIN(M634)), g*SIN(M634), (-W634+Poussee)/m)</f>
        <v>-3.7519916521128</v>
      </c>
    </row>
    <row r="636" customFormat="false" ht="12" hidden="false" customHeight="false" outlineLevel="0" collapsed="false">
      <c r="A636" s="417" t="n">
        <f aca="false">IF(B635+0.01&lt;=T_ini+ROUNDUP(Temps_fin_propu,0), 0.01, IF(K635&gt;0, 0.1, 0.0001))</f>
        <v>0.0001</v>
      </c>
      <c r="B636" s="418" t="n">
        <f aca="false">B635+pas</f>
        <v>16.5286999999999</v>
      </c>
      <c r="C636" s="402"/>
      <c r="D636" s="419" t="n">
        <f aca="false">IF(AND(L635&lt;L_rampe,Poussee&lt;Poids*SIN(M635)),0,(-W635+Poussee)/m*COS(M635)-U635/m*SIN(M635))</f>
        <v>-0.536836369499878</v>
      </c>
      <c r="E636" s="420" t="n">
        <f aca="false">IF(AND(L635&lt;L_rampe,Poussee&lt;Poids*SIN(M635)),0,(-W635+Poussee)/m*SIN(M635)+U635/m*COS(M635)-Poids/m)</f>
        <v>-6.09654671171696</v>
      </c>
      <c r="F636" s="418" t="n">
        <f aca="false">SQRT(acc_x^2+acc_z^2)</f>
        <v>6.12013685269902</v>
      </c>
      <c r="G636" s="419" t="n">
        <f aca="false">G635+acc_x*pas</f>
        <v>10.2718357543624</v>
      </c>
      <c r="H636" s="420" t="n">
        <f aca="false">H635+acc_z*pas</f>
        <v>-71.0542561241789</v>
      </c>
      <c r="I636" s="418" t="n">
        <f aca="false">SQRT(vit_x^2+vit_z^2)</f>
        <v>71.7928821202006</v>
      </c>
      <c r="J636" s="419" t="n">
        <f aca="false">J635+0.5*(vit_x+G635)*pas*(K635&gt;=0)</f>
        <v>211.791153319536</v>
      </c>
      <c r="K636" s="420" t="n">
        <f aca="false">K635+0.5*(vit_z+H635)*pas</f>
        <v>-6.46960578143378</v>
      </c>
      <c r="L636" s="418" t="n">
        <f aca="false">SQRT(pos_x^2+pos_z^2)</f>
        <v>211.889944129934</v>
      </c>
      <c r="M636" s="419" t="n">
        <f aca="false">IF(AND(L635&gt;L_rampe,G636&gt;0),ATAN2(G636,H636),$M$4)</f>
        <v>-1.42722766647116</v>
      </c>
      <c r="N636" s="418" t="n">
        <f aca="false">DEGREES(Beta)</f>
        <v>-81.7741216931025</v>
      </c>
      <c r="O636" s="402"/>
      <c r="P636" s="421" t="n">
        <f aca="false">MATCH(t-pas/2-T_ini,CdP_t)</f>
        <v>23</v>
      </c>
      <c r="Q636" s="418" t="n">
        <f aca="false">(INDEX(CdP,2,i_P+1)-INDEX(CdP,2,i_P+0))/(INDEX(CdP,1,i_P+1)-INDEX(CdP,1,i_P+0))*(t-pas/2-T_ini-INDEX(CdP,1,i_P+0))+INDEX(CdP,2,i_P+0)</f>
        <v>0</v>
      </c>
      <c r="R636" s="419" t="n">
        <f aca="false">Poussee/(g*ISP)</f>
        <v>0</v>
      </c>
      <c r="S636" s="420" t="n">
        <f aca="false">S635-Débit*pas</f>
        <v>1.4843</v>
      </c>
      <c r="T636" s="418" t="n">
        <f aca="false">m*g</f>
        <v>14.560983</v>
      </c>
      <c r="U636" s="422" t="n">
        <f aca="false">IF(pos_xz&lt;L_rampe,Poids*COS(Beta),0)</f>
        <v>0</v>
      </c>
      <c r="V636" s="419" t="n">
        <f aca="false">Rho_moyen*(20000-Alt_rampe-pos_z)/(20000+Alt_rampe+pos_z)</f>
        <v>1.22579278315795</v>
      </c>
      <c r="W636" s="418" t="n">
        <f aca="false">1/2*Rho*Sref*Cx*vit_xz^2</f>
        <v>5.56927396692729</v>
      </c>
      <c r="X636" s="402"/>
      <c r="Y636" s="423" t="str">
        <f aca="false">IF(AND(pos_z&lt;=0,K635&gt;0),"Impact balistique","") &amp; IF(AND(H637&lt;0,vit_z&gt;=0),"Apogée","") &amp; IF(AND(Poussee=0,Q635&gt;0),"Fin de propulsion","") &amp; IF(AND(L637&gt;L_rampe,pos_xz&lt;=L_rampe),"Sortie de rampe","")</f>
        <v/>
      </c>
      <c r="Z636" s="424" t="str">
        <f aca="false">IF(ABS(t-T_para)&lt;pas/2,"Para","")</f>
        <v/>
      </c>
      <c r="AA636" s="425" t="str">
        <f aca="false">IF(ABS(t-T_satellite)&lt;pas/2,"Satellite","")</f>
        <v/>
      </c>
      <c r="AB636" s="413"/>
      <c r="AC636" s="421" t="e">
        <f aca="false">IF(ABS(t-ROUND(t,0))&lt;0.001,t,NA())</f>
        <v>#N/A</v>
      </c>
      <c r="AD636" s="426" t="e">
        <f aca="false">IF(ABS(t-ROUND(t,0))&lt;0.001,pos_x,NA())</f>
        <v>#N/A</v>
      </c>
      <c r="AE636" s="427" t="e">
        <f aca="false">IF(t&lt;T_para, pos_z, NA())</f>
        <v>#N/A</v>
      </c>
      <c r="AF636" s="413"/>
      <c r="AG636" s="419" t="n">
        <f aca="false">IF(AND(L635&lt;L_rampe,Poussee&lt;Poids*SIN(M635)),0,(-W635+Poussee)/m-Poids*SIN(M635)/m)</f>
        <v>5.95701254603493</v>
      </c>
      <c r="AH636" s="418" t="n">
        <f aca="false">IF(AND(L635&lt;L_rampe,Poussee&lt;Poids*SIN(M635)), g*SIN(M635), (-W635+Poussee)/m)</f>
        <v>-3.75205658431185</v>
      </c>
    </row>
    <row r="637" customFormat="false" ht="12" hidden="false" customHeight="false" outlineLevel="0" collapsed="false">
      <c r="A637" s="417" t="n">
        <f aca="false">IF(B636+0.01&lt;=T_ini+ROUNDUP(Temps_fin_propu,0), 0.01, IF(K636&gt;0, 0.1, 0.0001))</f>
        <v>0.0001</v>
      </c>
      <c r="B637" s="418" t="n">
        <f aca="false">B636+pas</f>
        <v>16.5287999999999</v>
      </c>
      <c r="C637" s="402"/>
      <c r="D637" s="419" t="n">
        <f aca="false">IF(AND(L636&lt;L_rampe,Poussee&lt;Poids*SIN(M636)),0,(-W636+Poussee)/m*COS(M636)-U636/m*SIN(M636))</f>
        <v>-0.536838399707567</v>
      </c>
      <c r="E637" s="420" t="n">
        <f aca="false">IF(AND(L636&lt;L_rampe,Poussee&lt;Poids*SIN(M636)),0,(-W636+Poussee)/m*SIN(M636)+U636/m*COS(M636)-Poids/m)</f>
        <v>-6.0964813980387</v>
      </c>
      <c r="F637" s="418" t="n">
        <f aca="false">SQRT(acc_x^2+acc_z^2)</f>
        <v>6.12007196886053</v>
      </c>
      <c r="G637" s="419" t="n">
        <f aca="false">G636+acc_x*pas</f>
        <v>10.2717820705224</v>
      </c>
      <c r="H637" s="420" t="n">
        <f aca="false">H636+acc_z*pas</f>
        <v>-71.0548657723187</v>
      </c>
      <c r="I637" s="418" t="n">
        <f aca="false">SQRT(vit_x^2+vit_z^2)</f>
        <v>71.7934778153736</v>
      </c>
      <c r="J637" s="419" t="n">
        <f aca="false">J636+0.5*(vit_x+G636)*pas*(K636&gt;=0)</f>
        <v>211.791153319536</v>
      </c>
      <c r="K637" s="420" t="n">
        <f aca="false">K636+0.5*(vit_z+H636)*pas</f>
        <v>-6.4767112375286</v>
      </c>
      <c r="L637" s="418" t="n">
        <f aca="false">SQRT(pos_x^2+pos_z^2)</f>
        <v>211.890161198848</v>
      </c>
      <c r="M637" s="419" t="n">
        <f aca="false">IF(AND(L636&gt;L_rampe,G637&gt;0),ATAN2(G637,H637),$M$4)</f>
        <v>-1.42722962148886</v>
      </c>
      <c r="N637" s="418" t="n">
        <f aca="false">DEGREES(Beta)</f>
        <v>-81.7742337073655</v>
      </c>
      <c r="O637" s="402"/>
      <c r="P637" s="421" t="n">
        <f aca="false">MATCH(t-pas/2-T_ini,CdP_t)</f>
        <v>23</v>
      </c>
      <c r="Q637" s="418" t="n">
        <f aca="false">(INDEX(CdP,2,i_P+1)-INDEX(CdP,2,i_P+0))/(INDEX(CdP,1,i_P+1)-INDEX(CdP,1,i_P+0))*(t-pas/2-T_ini-INDEX(CdP,1,i_P+0))+INDEX(CdP,2,i_P+0)</f>
        <v>0</v>
      </c>
      <c r="R637" s="419" t="n">
        <f aca="false">Poussee/(g*ISP)</f>
        <v>0</v>
      </c>
      <c r="S637" s="420" t="n">
        <f aca="false">S636-Débit*pas</f>
        <v>1.4843</v>
      </c>
      <c r="T637" s="418" t="n">
        <f aca="false">m*g</f>
        <v>14.560983</v>
      </c>
      <c r="U637" s="422" t="n">
        <f aca="false">IF(pos_xz&lt;L_rampe,Poids*COS(Beta),0)</f>
        <v>0</v>
      </c>
      <c r="V637" s="419" t="n">
        <f aca="false">Rho_moyen*(20000-Alt_rampe-pos_z)/(20000+Alt_rampe+pos_z)</f>
        <v>1.22579365414003</v>
      </c>
      <c r="W637" s="418" t="n">
        <f aca="false">1/2*Rho*Sref*Cx*vit_xz^2</f>
        <v>5.56937034573063</v>
      </c>
      <c r="X637" s="402"/>
      <c r="Y637" s="423" t="str">
        <f aca="false">IF(AND(pos_z&lt;=0,K636&gt;0),"Impact balistique","") &amp; IF(AND(H638&lt;0,vit_z&gt;=0),"Apogée","") &amp; IF(AND(Poussee=0,Q636&gt;0),"Fin de propulsion","") &amp; IF(AND(L638&gt;L_rampe,pos_xz&lt;=L_rampe),"Sortie de rampe","")</f>
        <v/>
      </c>
      <c r="Z637" s="424" t="str">
        <f aca="false">IF(ABS(t-T_para)&lt;pas/2,"Para","")</f>
        <v/>
      </c>
      <c r="AA637" s="425" t="str">
        <f aca="false">IF(ABS(t-T_satellite)&lt;pas/2,"Satellite","")</f>
        <v/>
      </c>
      <c r="AB637" s="413"/>
      <c r="AC637" s="421" t="e">
        <f aca="false">IF(ABS(t-ROUND(t,0))&lt;0.001,t,NA())</f>
        <v>#N/A</v>
      </c>
      <c r="AD637" s="426" t="e">
        <f aca="false">IF(ABS(t-ROUND(t,0))&lt;0.001,pos_x,NA())</f>
        <v>#N/A</v>
      </c>
      <c r="AE637" s="427" t="e">
        <f aca="false">IF(t&lt;T_para, pos_z, NA())</f>
        <v>#N/A</v>
      </c>
      <c r="AF637" s="413"/>
      <c r="AG637" s="419" t="n">
        <f aca="false">IF(AND(L636&lt;L_rampe,Poussee&lt;Poids*SIN(M636)),0,(-W636+Poussee)/m-Poids*SIN(M636)/m)</f>
        <v>5.95695035794878</v>
      </c>
      <c r="AH637" s="418" t="n">
        <f aca="false">IF(AND(L636&lt;L_rampe,Poussee&lt;Poids*SIN(M636)), g*SIN(M636), (-W636+Poussee)/m)</f>
        <v>-3.7521215164908</v>
      </c>
    </row>
    <row r="638" customFormat="false" ht="12" hidden="false" customHeight="false" outlineLevel="0" collapsed="false">
      <c r="A638" s="417" t="n">
        <f aca="false">IF(B637+0.01&lt;=T_ini+ROUNDUP(Temps_fin_propu,0), 0.01, IF(K637&gt;0, 0.1, 0.0001))</f>
        <v>0.0001</v>
      </c>
      <c r="B638" s="418" t="n">
        <f aca="false">B637+pas</f>
        <v>16.5288999999999</v>
      </c>
      <c r="C638" s="402"/>
      <c r="D638" s="419" t="n">
        <f aca="false">IF(AND(L637&lt;L_rampe,Poussee&lt;Poids*SIN(M637)),0,(-W637+Poussee)/m*COS(M637)-U637/m*SIN(M637))</f>
        <v>-0.536840429817473</v>
      </c>
      <c r="E638" s="420" t="n">
        <f aca="false">IF(AND(L637&lt;L_rampe,Poussee&lt;Poids*SIN(M637)),0,(-W637+Poussee)/m*SIN(M637)+U637/m*COS(M637)-Poids/m)</f>
        <v>-6.09641608438112</v>
      </c>
      <c r="F638" s="418" t="n">
        <f aca="false">SQRT(acc_x^2+acc_z^2)</f>
        <v>6.12000708504389</v>
      </c>
      <c r="G638" s="419" t="n">
        <f aca="false">G637+acc_x*pas</f>
        <v>10.2717283864794</v>
      </c>
      <c r="H638" s="420" t="n">
        <f aca="false">H637+acc_z*pas</f>
        <v>-71.0554754139272</v>
      </c>
      <c r="I638" s="418" t="n">
        <f aca="false">SQRT(vit_x^2+vit_z^2)</f>
        <v>71.7940735043277</v>
      </c>
      <c r="J638" s="419" t="n">
        <f aca="false">J637+0.5*(vit_x+G637)*pas*(K637&gt;=0)</f>
        <v>211.791153319536</v>
      </c>
      <c r="K638" s="420" t="n">
        <f aca="false">K637+0.5*(vit_z+H637)*pas</f>
        <v>-6.48381675458792</v>
      </c>
      <c r="L638" s="418" t="n">
        <f aca="false">SQRT(pos_x^2+pos_z^2)</f>
        <v>211.890378507676</v>
      </c>
      <c r="M638" s="419" t="n">
        <f aca="false">IF(AND(L637&gt;L_rampe,G638&gt;0),ATAN2(G638,H638),$M$4)</f>
        <v>-1.4272315764639</v>
      </c>
      <c r="N638" s="418" t="n">
        <f aca="false">DEGREES(Beta)</f>
        <v>-81.7743457191844</v>
      </c>
      <c r="O638" s="402"/>
      <c r="P638" s="421" t="n">
        <f aca="false">MATCH(t-pas/2-T_ini,CdP_t)</f>
        <v>23</v>
      </c>
      <c r="Q638" s="418" t="n">
        <f aca="false">(INDEX(CdP,2,i_P+1)-INDEX(CdP,2,i_P+0))/(INDEX(CdP,1,i_P+1)-INDEX(CdP,1,i_P+0))*(t-pas/2-T_ini-INDEX(CdP,1,i_P+0))+INDEX(CdP,2,i_P+0)</f>
        <v>0</v>
      </c>
      <c r="R638" s="419" t="n">
        <f aca="false">Poussee/(g*ISP)</f>
        <v>0</v>
      </c>
      <c r="S638" s="420" t="n">
        <f aca="false">S637-Débit*pas</f>
        <v>1.4843</v>
      </c>
      <c r="T638" s="418" t="n">
        <f aca="false">m*g</f>
        <v>14.560983</v>
      </c>
      <c r="U638" s="422" t="n">
        <f aca="false">IF(pos_xz&lt;L_rampe,Poids*COS(Beta),0)</f>
        <v>0</v>
      </c>
      <c r="V638" s="419" t="n">
        <f aca="false">Rho_moyen*(20000-Alt_rampe-pos_z)/(20000+Alt_rampe+pos_z)</f>
        <v>1.22579452513021</v>
      </c>
      <c r="W638" s="418" t="n">
        <f aca="false">1/2*Rho*Sref*Cx*vit_xz^2</f>
        <v>5.56946672450408</v>
      </c>
      <c r="X638" s="402"/>
      <c r="Y638" s="423" t="str">
        <f aca="false">IF(AND(pos_z&lt;=0,K637&gt;0),"Impact balistique","") &amp; IF(AND(H639&lt;0,vit_z&gt;=0),"Apogée","") &amp; IF(AND(Poussee=0,Q637&gt;0),"Fin de propulsion","") &amp; IF(AND(L639&gt;L_rampe,pos_xz&lt;=L_rampe),"Sortie de rampe","")</f>
        <v/>
      </c>
      <c r="Z638" s="424" t="str">
        <f aca="false">IF(ABS(t-T_para)&lt;pas/2,"Para","")</f>
        <v/>
      </c>
      <c r="AA638" s="425" t="str">
        <f aca="false">IF(ABS(t-T_satellite)&lt;pas/2,"Satellite","")</f>
        <v/>
      </c>
      <c r="AB638" s="413"/>
      <c r="AC638" s="421" t="e">
        <f aca="false">IF(ABS(t-ROUND(t,0))&lt;0.001,t,NA())</f>
        <v>#N/A</v>
      </c>
      <c r="AD638" s="426" t="e">
        <f aca="false">IF(ABS(t-ROUND(t,0))&lt;0.001,pos_x,NA())</f>
        <v>#N/A</v>
      </c>
      <c r="AE638" s="427" t="e">
        <f aca="false">IF(t&lt;T_para, pos_z, NA())</f>
        <v>#N/A</v>
      </c>
      <c r="AF638" s="413"/>
      <c r="AG638" s="419" t="n">
        <f aca="false">IF(AND(L637&lt;L_rampe,Poussee&lt;Poids*SIN(M637)),0,(-W637+Poussee)/m-Poids*SIN(M637)/m)</f>
        <v>5.95688816978575</v>
      </c>
      <c r="AH638" s="418" t="n">
        <f aca="false">IF(AND(L637&lt;L_rampe,Poussee&lt;Poids*SIN(M637)), g*SIN(M637), (-W637+Poussee)/m)</f>
        <v>-3.75218644864963</v>
      </c>
    </row>
    <row r="639" customFormat="false" ht="12" hidden="false" customHeight="false" outlineLevel="0" collapsed="false">
      <c r="A639" s="417" t="n">
        <f aca="false">IF(B638+0.01&lt;=T_ini+ROUNDUP(Temps_fin_propu,0), 0.01, IF(K638&gt;0, 0.1, 0.0001))</f>
        <v>0.0001</v>
      </c>
      <c r="B639" s="418" t="n">
        <f aca="false">B638+pas</f>
        <v>16.5289999999999</v>
      </c>
      <c r="C639" s="402"/>
      <c r="D639" s="419" t="n">
        <f aca="false">IF(AND(L638&lt;L_rampe,Poussee&lt;Poids*SIN(M638)),0,(-W638+Poussee)/m*COS(M638)-U638/m*SIN(M638))</f>
        <v>-0.536842459829592</v>
      </c>
      <c r="E639" s="420" t="n">
        <f aca="false">IF(AND(L638&lt;L_rampe,Poussee&lt;Poids*SIN(M638)),0,(-W638+Poussee)/m*SIN(M638)+U638/m*COS(M638)-Poids/m)</f>
        <v>-6.09635077074424</v>
      </c>
      <c r="F639" s="418" t="n">
        <f aca="false">SQRT(acc_x^2+acc_z^2)</f>
        <v>6.11994220124911</v>
      </c>
      <c r="G639" s="419" t="n">
        <f aca="false">G638+acc_x*pas</f>
        <v>10.2716747022334</v>
      </c>
      <c r="H639" s="420" t="n">
        <f aca="false">H638+acc_z*pas</f>
        <v>-71.0560850490042</v>
      </c>
      <c r="I639" s="418" t="n">
        <f aca="false">SQRT(vit_x^2+vit_z^2)</f>
        <v>71.7946691870631</v>
      </c>
      <c r="J639" s="419" t="n">
        <f aca="false">J638+0.5*(vit_x+G638)*pas*(K638&gt;=0)</f>
        <v>211.791153319536</v>
      </c>
      <c r="K639" s="420" t="n">
        <f aca="false">K638+0.5*(vit_z+H638)*pas</f>
        <v>-6.49092233261106</v>
      </c>
      <c r="L639" s="418" t="n">
        <f aca="false">SQRT(pos_x^2+pos_z^2)</f>
        <v>211.890596056425</v>
      </c>
      <c r="M639" s="419" t="n">
        <f aca="false">IF(AND(L638&gt;L_rampe,G639&gt;0),ATAN2(G639,H639),$M$4)</f>
        <v>-1.42723353139628</v>
      </c>
      <c r="N639" s="418" t="n">
        <f aca="false">DEGREES(Beta)</f>
        <v>-81.774457728559</v>
      </c>
      <c r="O639" s="402"/>
      <c r="P639" s="421" t="n">
        <f aca="false">MATCH(t-pas/2-T_ini,CdP_t)</f>
        <v>23</v>
      </c>
      <c r="Q639" s="418" t="n">
        <f aca="false">(INDEX(CdP,2,i_P+1)-INDEX(CdP,2,i_P+0))/(INDEX(CdP,1,i_P+1)-INDEX(CdP,1,i_P+0))*(t-pas/2-T_ini-INDEX(CdP,1,i_P+0))+INDEX(CdP,2,i_P+0)</f>
        <v>0</v>
      </c>
      <c r="R639" s="419" t="n">
        <f aca="false">Poussee/(g*ISP)</f>
        <v>0</v>
      </c>
      <c r="S639" s="420" t="n">
        <f aca="false">S638-Débit*pas</f>
        <v>1.4843</v>
      </c>
      <c r="T639" s="418" t="n">
        <f aca="false">m*g</f>
        <v>14.560983</v>
      </c>
      <c r="U639" s="422" t="n">
        <f aca="false">IF(pos_xz&lt;L_rampe,Poids*COS(Beta),0)</f>
        <v>0</v>
      </c>
      <c r="V639" s="419" t="n">
        <f aca="false">Rho_moyen*(20000-Alt_rampe-pos_z)/(20000+Alt_rampe+pos_z)</f>
        <v>1.22579539612847</v>
      </c>
      <c r="W639" s="418" t="n">
        <f aca="false">1/2*Rho*Sref*Cx*vit_xz^2</f>
        <v>5.56956310324761</v>
      </c>
      <c r="X639" s="402"/>
      <c r="Y639" s="423" t="str">
        <f aca="false">IF(AND(pos_z&lt;=0,K638&gt;0),"Impact balistique","") &amp; IF(AND(H640&lt;0,vit_z&gt;=0),"Apogée","") &amp; IF(AND(Poussee=0,Q638&gt;0),"Fin de propulsion","") &amp; IF(AND(L640&gt;L_rampe,pos_xz&lt;=L_rampe),"Sortie de rampe","")</f>
        <v/>
      </c>
      <c r="Z639" s="424" t="str">
        <f aca="false">IF(ABS(t-T_para)&lt;pas/2,"Para","")</f>
        <v/>
      </c>
      <c r="AA639" s="425" t="str">
        <f aca="false">IF(ABS(t-T_satellite)&lt;pas/2,"Satellite","")</f>
        <v/>
      </c>
      <c r="AB639" s="413"/>
      <c r="AC639" s="421" t="e">
        <f aca="false">IF(ABS(t-ROUND(t,0))&lt;0.001,t,NA())</f>
        <v>#N/A</v>
      </c>
      <c r="AD639" s="426" t="e">
        <f aca="false">IF(ABS(t-ROUND(t,0))&lt;0.001,pos_x,NA())</f>
        <v>#N/A</v>
      </c>
      <c r="AE639" s="427" t="e">
        <f aca="false">IF(t&lt;T_para, pos_z, NA())</f>
        <v>#N/A</v>
      </c>
      <c r="AF639" s="413"/>
      <c r="AG639" s="419" t="n">
        <f aca="false">IF(AND(L638&lt;L_rampe,Poussee&lt;Poids*SIN(M638)),0,(-W638+Poussee)/m-Poids*SIN(M638)/m)</f>
        <v>5.95682598154588</v>
      </c>
      <c r="AH639" s="418" t="n">
        <f aca="false">IF(AND(L638&lt;L_rampe,Poussee&lt;Poids*SIN(M638)), g*SIN(M638), (-W638+Poussee)/m)</f>
        <v>-3.75225138078831</v>
      </c>
    </row>
    <row r="640" customFormat="false" ht="12" hidden="false" customHeight="false" outlineLevel="0" collapsed="false">
      <c r="A640" s="417" t="n">
        <f aca="false">IF(B639+0.01&lt;=T_ini+ROUNDUP(Temps_fin_propu,0), 0.01, IF(K639&gt;0, 0.1, 0.0001))</f>
        <v>0.0001</v>
      </c>
      <c r="B640" s="418" t="n">
        <f aca="false">B639+pas</f>
        <v>16.5290999999999</v>
      </c>
      <c r="C640" s="402"/>
      <c r="D640" s="419" t="n">
        <f aca="false">IF(AND(L639&lt;L_rampe,Poussee&lt;Poids*SIN(M639)),0,(-W639+Poussee)/m*COS(M639)-U639/m*SIN(M639))</f>
        <v>-0.536844489743928</v>
      </c>
      <c r="E640" s="420" t="n">
        <f aca="false">IF(AND(L639&lt;L_rampe,Poussee&lt;Poids*SIN(M639)),0,(-W639+Poussee)/m*SIN(M639)+U639/m*COS(M639)-Poids/m)</f>
        <v>-6.09628545712809</v>
      </c>
      <c r="F640" s="418" t="n">
        <f aca="false">SQRT(acc_x^2+acc_z^2)</f>
        <v>6.11987731747621</v>
      </c>
      <c r="G640" s="419" t="n">
        <f aca="false">G639+acc_x*pas</f>
        <v>10.2716210177845</v>
      </c>
      <c r="H640" s="420" t="n">
        <f aca="false">H639+acc_z*pas</f>
        <v>-71.0566946775499</v>
      </c>
      <c r="I640" s="418" t="n">
        <f aca="false">SQRT(vit_x^2+vit_z^2)</f>
        <v>71.7952648635796</v>
      </c>
      <c r="J640" s="419" t="n">
        <f aca="false">J639+0.5*(vit_x+G639)*pas*(K639&gt;=0)</f>
        <v>211.791153319536</v>
      </c>
      <c r="K640" s="420" t="n">
        <f aca="false">K639+0.5*(vit_z+H639)*pas</f>
        <v>-6.49802797159739</v>
      </c>
      <c r="L640" s="418" t="n">
        <f aca="false">SQRT(pos_x^2+pos_z^2)</f>
        <v>211.8908138451</v>
      </c>
      <c r="M640" s="419" t="n">
        <f aca="false">IF(AND(L639&gt;L_rampe,G640&gt;0),ATAN2(G640,H640),$M$4)</f>
        <v>-1.427235486286</v>
      </c>
      <c r="N640" s="418" t="n">
        <f aca="false">DEGREES(Beta)</f>
        <v>-81.7745697354896</v>
      </c>
      <c r="O640" s="402"/>
      <c r="P640" s="421" t="n">
        <f aca="false">MATCH(t-pas/2-T_ini,CdP_t)</f>
        <v>23</v>
      </c>
      <c r="Q640" s="418" t="n">
        <f aca="false">(INDEX(CdP,2,i_P+1)-INDEX(CdP,2,i_P+0))/(INDEX(CdP,1,i_P+1)-INDEX(CdP,1,i_P+0))*(t-pas/2-T_ini-INDEX(CdP,1,i_P+0))+INDEX(CdP,2,i_P+0)</f>
        <v>0</v>
      </c>
      <c r="R640" s="419" t="n">
        <f aca="false">Poussee/(g*ISP)</f>
        <v>0</v>
      </c>
      <c r="S640" s="420" t="n">
        <f aca="false">S639-Débit*pas</f>
        <v>1.4843</v>
      </c>
      <c r="T640" s="418" t="n">
        <f aca="false">m*g</f>
        <v>14.560983</v>
      </c>
      <c r="U640" s="422" t="n">
        <f aca="false">IF(pos_xz&lt;L_rampe,Poids*COS(Beta),0)</f>
        <v>0</v>
      </c>
      <c r="V640" s="419" t="n">
        <f aca="false">Rho_moyen*(20000-Alt_rampe-pos_z)/(20000+Alt_rampe+pos_z)</f>
        <v>1.22579626713483</v>
      </c>
      <c r="W640" s="418" t="n">
        <f aca="false">1/2*Rho*Sref*Cx*vit_xz^2</f>
        <v>5.5696594819612</v>
      </c>
      <c r="X640" s="402"/>
      <c r="Y640" s="423" t="str">
        <f aca="false">IF(AND(pos_z&lt;=0,K639&gt;0),"Impact balistique","") &amp; IF(AND(H641&lt;0,vit_z&gt;=0),"Apogée","") &amp; IF(AND(Poussee=0,Q639&gt;0),"Fin de propulsion","") &amp; IF(AND(L641&gt;L_rampe,pos_xz&lt;=L_rampe),"Sortie de rampe","")</f>
        <v/>
      </c>
      <c r="Z640" s="424" t="str">
        <f aca="false">IF(ABS(t-T_para)&lt;pas/2,"Para","")</f>
        <v/>
      </c>
      <c r="AA640" s="425" t="str">
        <f aca="false">IF(ABS(t-T_satellite)&lt;pas/2,"Satellite","")</f>
        <v/>
      </c>
      <c r="AB640" s="413"/>
      <c r="AC640" s="421" t="e">
        <f aca="false">IF(ABS(t-ROUND(t,0))&lt;0.001,t,NA())</f>
        <v>#N/A</v>
      </c>
      <c r="AD640" s="426" t="e">
        <f aca="false">IF(ABS(t-ROUND(t,0))&lt;0.001,pos_x,NA())</f>
        <v>#N/A</v>
      </c>
      <c r="AE640" s="427" t="e">
        <f aca="false">IF(t&lt;T_para, pos_z, NA())</f>
        <v>#N/A</v>
      </c>
      <c r="AF640" s="413"/>
      <c r="AG640" s="419" t="n">
        <f aca="false">IF(AND(L639&lt;L_rampe,Poussee&lt;Poids*SIN(M639)),0,(-W639+Poussee)/m-Poids*SIN(M639)/m)</f>
        <v>5.95676379322919</v>
      </c>
      <c r="AH640" s="418" t="n">
        <f aca="false">IF(AND(L639&lt;L_rampe,Poussee&lt;Poids*SIN(M639)), g*SIN(M639), (-W639+Poussee)/m)</f>
        <v>-3.75231631290684</v>
      </c>
    </row>
    <row r="641" customFormat="false" ht="12" hidden="false" customHeight="false" outlineLevel="0" collapsed="false">
      <c r="A641" s="417" t="n">
        <f aca="false">IF(B640+0.01&lt;=T_ini+ROUNDUP(Temps_fin_propu,0), 0.01, IF(K640&gt;0, 0.1, 0.0001))</f>
        <v>0.0001</v>
      </c>
      <c r="B641" s="418" t="n">
        <f aca="false">B640+pas</f>
        <v>16.5291999999999</v>
      </c>
      <c r="C641" s="402"/>
      <c r="D641" s="419" t="n">
        <f aca="false">IF(AND(L640&lt;L_rampe,Poussee&lt;Poids*SIN(M640)),0,(-W640+Poussee)/m*COS(M640)-U640/m*SIN(M640))</f>
        <v>-0.53684651956048</v>
      </c>
      <c r="E641" s="420" t="n">
        <f aca="false">IF(AND(L640&lt;L_rampe,Poussee&lt;Poids*SIN(M640)),0,(-W640+Poussee)/m*SIN(M640)+U640/m*COS(M640)-Poids/m)</f>
        <v>-6.09622014353267</v>
      </c>
      <c r="F641" s="418" t="n">
        <f aca="false">SQRT(acc_x^2+acc_z^2)</f>
        <v>6.11981243372521</v>
      </c>
      <c r="G641" s="419" t="n">
        <f aca="false">G640+acc_x*pas</f>
        <v>10.2715673331325</v>
      </c>
      <c r="H641" s="420" t="n">
        <f aca="false">H640+acc_z*pas</f>
        <v>-71.0573042995643</v>
      </c>
      <c r="I641" s="418" t="n">
        <f aca="false">SQRT(vit_x^2+vit_z^2)</f>
        <v>71.7958605338773</v>
      </c>
      <c r="J641" s="419" t="n">
        <f aca="false">J640+0.5*(vit_x+G640)*pas*(K640&gt;=0)</f>
        <v>211.791153319536</v>
      </c>
      <c r="K641" s="420" t="n">
        <f aca="false">K640+0.5*(vit_z+H640)*pas</f>
        <v>-6.50513367154625</v>
      </c>
      <c r="L641" s="418" t="n">
        <f aca="false">SQRT(pos_x^2+pos_z^2)</f>
        <v>211.891031873706</v>
      </c>
      <c r="M641" s="419" t="n">
        <f aca="false">IF(AND(L640&gt;L_rampe,G641&gt;0),ATAN2(G641,H641),$M$4)</f>
        <v>-1.42723744113307</v>
      </c>
      <c r="N641" s="418" t="n">
        <f aca="false">DEGREES(Beta)</f>
        <v>-81.7746817399762</v>
      </c>
      <c r="O641" s="402"/>
      <c r="P641" s="421" t="n">
        <f aca="false">MATCH(t-pas/2-T_ini,CdP_t)</f>
        <v>23</v>
      </c>
      <c r="Q641" s="418" t="n">
        <f aca="false">(INDEX(CdP,2,i_P+1)-INDEX(CdP,2,i_P+0))/(INDEX(CdP,1,i_P+1)-INDEX(CdP,1,i_P+0))*(t-pas/2-T_ini-INDEX(CdP,1,i_P+0))+INDEX(CdP,2,i_P+0)</f>
        <v>0</v>
      </c>
      <c r="R641" s="419" t="n">
        <f aca="false">Poussee/(g*ISP)</f>
        <v>0</v>
      </c>
      <c r="S641" s="420" t="n">
        <f aca="false">S640-Débit*pas</f>
        <v>1.4843</v>
      </c>
      <c r="T641" s="418" t="n">
        <f aca="false">m*g</f>
        <v>14.560983</v>
      </c>
      <c r="U641" s="422" t="n">
        <f aca="false">IF(pos_xz&lt;L_rampe,Poids*COS(Beta),0)</f>
        <v>0</v>
      </c>
      <c r="V641" s="419" t="n">
        <f aca="false">Rho_moyen*(20000-Alt_rampe-pos_z)/(20000+Alt_rampe+pos_z)</f>
        <v>1.22579713814928</v>
      </c>
      <c r="W641" s="418" t="n">
        <f aca="false">1/2*Rho*Sref*Cx*vit_xz^2</f>
        <v>5.56975586064483</v>
      </c>
      <c r="X641" s="402"/>
      <c r="Y641" s="423" t="str">
        <f aca="false">IF(AND(pos_z&lt;=0,K640&gt;0),"Impact balistique","") &amp; IF(AND(H642&lt;0,vit_z&gt;=0),"Apogée","") &amp; IF(AND(Poussee=0,Q640&gt;0),"Fin de propulsion","") &amp; IF(AND(L642&gt;L_rampe,pos_xz&lt;=L_rampe),"Sortie de rampe","")</f>
        <v/>
      </c>
      <c r="Z641" s="424" t="str">
        <f aca="false">IF(ABS(t-T_para)&lt;pas/2,"Para","")</f>
        <v/>
      </c>
      <c r="AA641" s="425" t="str">
        <f aca="false">IF(ABS(t-T_satellite)&lt;pas/2,"Satellite","")</f>
        <v/>
      </c>
      <c r="AB641" s="413"/>
      <c r="AC641" s="421" t="e">
        <f aca="false">IF(ABS(t-ROUND(t,0))&lt;0.001,t,NA())</f>
        <v>#N/A</v>
      </c>
      <c r="AD641" s="426" t="e">
        <f aca="false">IF(ABS(t-ROUND(t,0))&lt;0.001,pos_x,NA())</f>
        <v>#N/A</v>
      </c>
      <c r="AE641" s="427" t="e">
        <f aca="false">IF(t&lt;T_para, pos_z, NA())</f>
        <v>#N/A</v>
      </c>
      <c r="AF641" s="413"/>
      <c r="AG641" s="419" t="n">
        <f aca="false">IF(AND(L640&lt;L_rampe,Poussee&lt;Poids*SIN(M640)),0,(-W640+Poussee)/m-Poids*SIN(M640)/m)</f>
        <v>5.9567016048357</v>
      </c>
      <c r="AH641" s="418" t="n">
        <f aca="false">IF(AND(L640&lt;L_rampe,Poussee&lt;Poids*SIN(M640)), g*SIN(M640), (-W640+Poussee)/m)</f>
        <v>-3.75238124500519</v>
      </c>
    </row>
    <row r="642" customFormat="false" ht="12" hidden="false" customHeight="false" outlineLevel="0" collapsed="false">
      <c r="A642" s="417" t="n">
        <f aca="false">IF(B641+0.01&lt;=T_ini+ROUNDUP(Temps_fin_propu,0), 0.01, IF(K641&gt;0, 0.1, 0.0001))</f>
        <v>0.0001</v>
      </c>
      <c r="B642" s="418" t="n">
        <f aca="false">B641+pas</f>
        <v>16.5292999999999</v>
      </c>
      <c r="C642" s="402"/>
      <c r="D642" s="419" t="n">
        <f aca="false">IF(AND(L641&lt;L_rampe,Poussee&lt;Poids*SIN(M641)),0,(-W641+Poussee)/m*COS(M641)-U641/m*SIN(M641))</f>
        <v>-0.536848549279251</v>
      </c>
      <c r="E642" s="420" t="n">
        <f aca="false">IF(AND(L641&lt;L_rampe,Poussee&lt;Poids*SIN(M641)),0,(-W641+Poussee)/m*SIN(M641)+U641/m*COS(M641)-Poids/m)</f>
        <v>-6.096154829958</v>
      </c>
      <c r="F642" s="418" t="n">
        <f aca="false">SQRT(acc_x^2+acc_z^2)</f>
        <v>6.11974754999612</v>
      </c>
      <c r="G642" s="419" t="n">
        <f aca="false">G641+acc_x*pas</f>
        <v>10.2715136482776</v>
      </c>
      <c r="H642" s="420" t="n">
        <f aca="false">H641+acc_z*pas</f>
        <v>-71.0579139150473</v>
      </c>
      <c r="I642" s="418" t="n">
        <f aca="false">SQRT(vit_x^2+vit_z^2)</f>
        <v>71.7964561979561</v>
      </c>
      <c r="J642" s="419" t="n">
        <f aca="false">J641+0.5*(vit_x+G641)*pas*(K641&gt;=0)</f>
        <v>211.791153319536</v>
      </c>
      <c r="K642" s="420" t="n">
        <f aca="false">K641+0.5*(vit_z+H641)*pas</f>
        <v>-6.51223943245698</v>
      </c>
      <c r="L642" s="418" t="n">
        <f aca="false">SQRT(pos_x^2+pos_z^2)</f>
        <v>211.891250142248</v>
      </c>
      <c r="M642" s="419" t="n">
        <f aca="false">IF(AND(L641&gt;L_rampe,G642&gt;0),ATAN2(G642,H642),$M$4)</f>
        <v>-1.42723939593749</v>
      </c>
      <c r="N642" s="418" t="n">
        <f aca="false">DEGREES(Beta)</f>
        <v>-81.774793742019</v>
      </c>
      <c r="O642" s="402"/>
      <c r="P642" s="421" t="n">
        <f aca="false">MATCH(t-pas/2-T_ini,CdP_t)</f>
        <v>23</v>
      </c>
      <c r="Q642" s="418" t="n">
        <f aca="false">(INDEX(CdP,2,i_P+1)-INDEX(CdP,2,i_P+0))/(INDEX(CdP,1,i_P+1)-INDEX(CdP,1,i_P+0))*(t-pas/2-T_ini-INDEX(CdP,1,i_P+0))+INDEX(CdP,2,i_P+0)</f>
        <v>0</v>
      </c>
      <c r="R642" s="419" t="n">
        <f aca="false">Poussee/(g*ISP)</f>
        <v>0</v>
      </c>
      <c r="S642" s="420" t="n">
        <f aca="false">S641-Débit*pas</f>
        <v>1.4843</v>
      </c>
      <c r="T642" s="418" t="n">
        <f aca="false">m*g</f>
        <v>14.560983</v>
      </c>
      <c r="U642" s="422" t="n">
        <f aca="false">IF(pos_xz&lt;L_rampe,Poids*COS(Beta),0)</f>
        <v>0</v>
      </c>
      <c r="V642" s="419" t="n">
        <f aca="false">Rho_moyen*(20000-Alt_rampe-pos_z)/(20000+Alt_rampe+pos_z)</f>
        <v>1.22579800917182</v>
      </c>
      <c r="W642" s="418" t="n">
        <f aca="false">1/2*Rho*Sref*Cx*vit_xz^2</f>
        <v>5.56985223929846</v>
      </c>
      <c r="X642" s="402"/>
      <c r="Y642" s="423" t="str">
        <f aca="false">IF(AND(pos_z&lt;=0,K641&gt;0),"Impact balistique","") &amp; IF(AND(H643&lt;0,vit_z&gt;=0),"Apogée","") &amp; IF(AND(Poussee=0,Q641&gt;0),"Fin de propulsion","") &amp; IF(AND(L643&gt;L_rampe,pos_xz&lt;=L_rampe),"Sortie de rampe","")</f>
        <v/>
      </c>
      <c r="Z642" s="424" t="str">
        <f aca="false">IF(ABS(t-T_para)&lt;pas/2,"Para","")</f>
        <v/>
      </c>
      <c r="AA642" s="425" t="str">
        <f aca="false">IF(ABS(t-T_satellite)&lt;pas/2,"Satellite","")</f>
        <v/>
      </c>
      <c r="AB642" s="413"/>
      <c r="AC642" s="421" t="e">
        <f aca="false">IF(ABS(t-ROUND(t,0))&lt;0.001,t,NA())</f>
        <v>#N/A</v>
      </c>
      <c r="AD642" s="426" t="e">
        <f aca="false">IF(ABS(t-ROUND(t,0))&lt;0.001,pos_x,NA())</f>
        <v>#N/A</v>
      </c>
      <c r="AE642" s="427" t="e">
        <f aca="false">IF(t&lt;T_para, pos_z, NA())</f>
        <v>#N/A</v>
      </c>
      <c r="AF642" s="413"/>
      <c r="AG642" s="419" t="n">
        <f aca="false">IF(AND(L641&lt;L_rampe,Poussee&lt;Poids*SIN(M641)),0,(-W641+Poussee)/m-Poids*SIN(M641)/m)</f>
        <v>5.95663941636542</v>
      </c>
      <c r="AH642" s="418" t="n">
        <f aca="false">IF(AND(L641&lt;L_rampe,Poussee&lt;Poids*SIN(M641)), g*SIN(M641), (-W641+Poussee)/m)</f>
        <v>-3.75244617708336</v>
      </c>
    </row>
    <row r="643" customFormat="false" ht="12" hidden="false" customHeight="false" outlineLevel="0" collapsed="false">
      <c r="A643" s="417" t="n">
        <f aca="false">IF(B642+0.01&lt;=T_ini+ROUNDUP(Temps_fin_propu,0), 0.01, IF(K642&gt;0, 0.1, 0.0001))</f>
        <v>0.0001</v>
      </c>
      <c r="B643" s="418" t="n">
        <f aca="false">B642+pas</f>
        <v>16.5293999999999</v>
      </c>
      <c r="C643" s="402"/>
      <c r="D643" s="419" t="n">
        <f aca="false">IF(AND(L642&lt;L_rampe,Poussee&lt;Poids*SIN(M642)),0,(-W642+Poussee)/m*COS(M642)-U642/m*SIN(M642))</f>
        <v>-0.536850578900239</v>
      </c>
      <c r="E643" s="420" t="n">
        <f aca="false">IF(AND(L642&lt;L_rampe,Poussee&lt;Poids*SIN(M642)),0,(-W642+Poussee)/m*SIN(M642)+U642/m*COS(M642)-Poids/m)</f>
        <v>-6.0960895164041</v>
      </c>
      <c r="F643" s="418" t="n">
        <f aca="false">SQRT(acc_x^2+acc_z^2)</f>
        <v>6.11968266628895</v>
      </c>
      <c r="G643" s="419" t="n">
        <f aca="false">G642+acc_x*pas</f>
        <v>10.2714599632197</v>
      </c>
      <c r="H643" s="420" t="n">
        <f aca="false">H642+acc_z*pas</f>
        <v>-71.0585235239989</v>
      </c>
      <c r="I643" s="418" t="n">
        <f aca="false">SQRT(vit_x^2+vit_z^2)</f>
        <v>71.797051855816</v>
      </c>
      <c r="J643" s="419" t="n">
        <f aca="false">J642+0.5*(vit_x+G642)*pas*(K642&gt;=0)</f>
        <v>211.791153319536</v>
      </c>
      <c r="K643" s="420" t="n">
        <f aca="false">K642+0.5*(vit_z+H642)*pas</f>
        <v>-6.51934525432893</v>
      </c>
      <c r="L643" s="418" t="n">
        <f aca="false">SQRT(pos_x^2+pos_z^2)</f>
        <v>211.891468650733</v>
      </c>
      <c r="M643" s="419" t="n">
        <f aca="false">IF(AND(L642&gt;L_rampe,G643&gt;0),ATAN2(G643,H643),$M$4)</f>
        <v>-1.42724135069925</v>
      </c>
      <c r="N643" s="418" t="n">
        <f aca="false">DEGREES(Beta)</f>
        <v>-81.7749057416179</v>
      </c>
      <c r="O643" s="402"/>
      <c r="P643" s="421" t="n">
        <f aca="false">MATCH(t-pas/2-T_ini,CdP_t)</f>
        <v>23</v>
      </c>
      <c r="Q643" s="418" t="n">
        <f aca="false">(INDEX(CdP,2,i_P+1)-INDEX(CdP,2,i_P+0))/(INDEX(CdP,1,i_P+1)-INDEX(CdP,1,i_P+0))*(t-pas/2-T_ini-INDEX(CdP,1,i_P+0))+INDEX(CdP,2,i_P+0)</f>
        <v>0</v>
      </c>
      <c r="R643" s="419" t="n">
        <f aca="false">Poussee/(g*ISP)</f>
        <v>0</v>
      </c>
      <c r="S643" s="420" t="n">
        <f aca="false">S642-Débit*pas</f>
        <v>1.4843</v>
      </c>
      <c r="T643" s="418" t="n">
        <f aca="false">m*g</f>
        <v>14.560983</v>
      </c>
      <c r="U643" s="422" t="n">
        <f aca="false">IF(pos_xz&lt;L_rampe,Poids*COS(Beta),0)</f>
        <v>0</v>
      </c>
      <c r="V643" s="419" t="n">
        <f aca="false">Rho_moyen*(20000-Alt_rampe-pos_z)/(20000+Alt_rampe+pos_z)</f>
        <v>1.22579888020245</v>
      </c>
      <c r="W643" s="418" t="n">
        <f aca="false">1/2*Rho*Sref*Cx*vit_xz^2</f>
        <v>5.56994861792208</v>
      </c>
      <c r="X643" s="402"/>
      <c r="Y643" s="423" t="str">
        <f aca="false">IF(AND(pos_z&lt;=0,K642&gt;0),"Impact balistique","") &amp; IF(AND(H644&lt;0,vit_z&gt;=0),"Apogée","") &amp; IF(AND(Poussee=0,Q642&gt;0),"Fin de propulsion","") &amp; IF(AND(L644&gt;L_rampe,pos_xz&lt;=L_rampe),"Sortie de rampe","")</f>
        <v/>
      </c>
      <c r="Z643" s="424" t="str">
        <f aca="false">IF(ABS(t-T_para)&lt;pas/2,"Para","")</f>
        <v/>
      </c>
      <c r="AA643" s="425" t="str">
        <f aca="false">IF(ABS(t-T_satellite)&lt;pas/2,"Satellite","")</f>
        <v/>
      </c>
      <c r="AB643" s="413"/>
      <c r="AC643" s="421" t="e">
        <f aca="false">IF(ABS(t-ROUND(t,0))&lt;0.001,t,NA())</f>
        <v>#N/A</v>
      </c>
      <c r="AD643" s="426" t="e">
        <f aca="false">IF(ABS(t-ROUND(t,0))&lt;0.001,pos_x,NA())</f>
        <v>#N/A</v>
      </c>
      <c r="AE643" s="427" t="e">
        <f aca="false">IF(t&lt;T_para, pos_z, NA())</f>
        <v>#N/A</v>
      </c>
      <c r="AF643" s="413"/>
      <c r="AG643" s="419" t="n">
        <f aca="false">IF(AND(L642&lt;L_rampe,Poussee&lt;Poids*SIN(M642)),0,(-W642+Poussee)/m-Poids*SIN(M642)/m)</f>
        <v>5.95657722781838</v>
      </c>
      <c r="AH643" s="418" t="n">
        <f aca="false">IF(AND(L642&lt;L_rampe,Poussee&lt;Poids*SIN(M642)), g*SIN(M642), (-W642+Poussee)/m)</f>
        <v>-3.75251110914133</v>
      </c>
    </row>
    <row r="644" customFormat="false" ht="12" hidden="false" customHeight="false" outlineLevel="0" collapsed="false">
      <c r="A644" s="417" t="n">
        <f aca="false">IF(B643+0.01&lt;=T_ini+ROUNDUP(Temps_fin_propu,0), 0.01, IF(K643&gt;0, 0.1, 0.0001))</f>
        <v>0.0001</v>
      </c>
      <c r="B644" s="418" t="n">
        <f aca="false">B643+pas</f>
        <v>16.5294999999999</v>
      </c>
      <c r="C644" s="402"/>
      <c r="D644" s="419" t="n">
        <f aca="false">IF(AND(L643&lt;L_rampe,Poussee&lt;Poids*SIN(M643)),0,(-W643+Poussee)/m*COS(M643)-U643/m*SIN(M643))</f>
        <v>-0.536852608423445</v>
      </c>
      <c r="E644" s="420" t="n">
        <f aca="false">IF(AND(L643&lt;L_rampe,Poussee&lt;Poids*SIN(M643)),0,(-W643+Poussee)/m*SIN(M643)+U643/m*COS(M643)-Poids/m)</f>
        <v>-6.09602420287099</v>
      </c>
      <c r="F644" s="418" t="n">
        <f aca="false">SQRT(acc_x^2+acc_z^2)</f>
        <v>6.11961778260374</v>
      </c>
      <c r="G644" s="419" t="n">
        <f aca="false">G643+acc_x*pas</f>
        <v>10.2714062779588</v>
      </c>
      <c r="H644" s="420" t="n">
        <f aca="false">H643+acc_z*pas</f>
        <v>-71.0591331264192</v>
      </c>
      <c r="I644" s="418" t="n">
        <f aca="false">SQRT(vit_x^2+vit_z^2)</f>
        <v>71.7976475074571</v>
      </c>
      <c r="J644" s="419" t="n">
        <f aca="false">J643+0.5*(vit_x+G643)*pas*(K643&gt;=0)</f>
        <v>211.791153319536</v>
      </c>
      <c r="K644" s="420" t="n">
        <f aca="false">K643+0.5*(vit_z+H643)*pas</f>
        <v>-6.52645113716145</v>
      </c>
      <c r="L644" s="418" t="n">
        <f aca="false">SQRT(pos_x^2+pos_z^2)</f>
        <v>211.891687399164</v>
      </c>
      <c r="M644" s="419" t="n">
        <f aca="false">IF(AND(L643&gt;L_rampe,G644&gt;0),ATAN2(G644,H644),$M$4)</f>
        <v>-1.42724330541836</v>
      </c>
      <c r="N644" s="418" t="n">
        <f aca="false">DEGREES(Beta)</f>
        <v>-81.7750177387731</v>
      </c>
      <c r="O644" s="402"/>
      <c r="P644" s="421" t="n">
        <f aca="false">MATCH(t-pas/2-T_ini,CdP_t)</f>
        <v>23</v>
      </c>
      <c r="Q644" s="418" t="n">
        <f aca="false">(INDEX(CdP,2,i_P+1)-INDEX(CdP,2,i_P+0))/(INDEX(CdP,1,i_P+1)-INDEX(CdP,1,i_P+0))*(t-pas/2-T_ini-INDEX(CdP,1,i_P+0))+INDEX(CdP,2,i_P+0)</f>
        <v>0</v>
      </c>
      <c r="R644" s="419" t="n">
        <f aca="false">Poussee/(g*ISP)</f>
        <v>0</v>
      </c>
      <c r="S644" s="420" t="n">
        <f aca="false">S643-Débit*pas</f>
        <v>1.4843</v>
      </c>
      <c r="T644" s="418" t="n">
        <f aca="false">m*g</f>
        <v>14.560983</v>
      </c>
      <c r="U644" s="422" t="n">
        <f aca="false">IF(pos_xz&lt;L_rampe,Poids*COS(Beta),0)</f>
        <v>0</v>
      </c>
      <c r="V644" s="419" t="n">
        <f aca="false">Rho_moyen*(20000-Alt_rampe-pos_z)/(20000+Alt_rampe+pos_z)</f>
        <v>1.22579975124117</v>
      </c>
      <c r="W644" s="418" t="n">
        <f aca="false">1/2*Rho*Sref*Cx*vit_xz^2</f>
        <v>5.57004499651566</v>
      </c>
      <c r="X644" s="402"/>
      <c r="Y644" s="423" t="str">
        <f aca="false">IF(AND(pos_z&lt;=0,K643&gt;0),"Impact balistique","") &amp; IF(AND(H645&lt;0,vit_z&gt;=0),"Apogée","") &amp; IF(AND(Poussee=0,Q643&gt;0),"Fin de propulsion","") &amp; IF(AND(L645&gt;L_rampe,pos_xz&lt;=L_rampe),"Sortie de rampe","")</f>
        <v/>
      </c>
      <c r="Z644" s="424" t="str">
        <f aca="false">IF(ABS(t-T_para)&lt;pas/2,"Para","")</f>
        <v/>
      </c>
      <c r="AA644" s="425" t="str">
        <f aca="false">IF(ABS(t-T_satellite)&lt;pas/2,"Satellite","")</f>
        <v/>
      </c>
      <c r="AB644" s="413"/>
      <c r="AC644" s="421" t="e">
        <f aca="false">IF(ABS(t-ROUND(t,0))&lt;0.001,t,NA())</f>
        <v>#N/A</v>
      </c>
      <c r="AD644" s="426" t="e">
        <f aca="false">IF(ABS(t-ROUND(t,0))&lt;0.001,pos_x,NA())</f>
        <v>#N/A</v>
      </c>
      <c r="AE644" s="427" t="e">
        <f aca="false">IF(t&lt;T_para, pos_z, NA())</f>
        <v>#N/A</v>
      </c>
      <c r="AF644" s="413"/>
      <c r="AG644" s="419" t="n">
        <f aca="false">IF(AND(L643&lt;L_rampe,Poussee&lt;Poids*SIN(M643)),0,(-W643+Poussee)/m-Poids*SIN(M643)/m)</f>
        <v>5.95651503919461</v>
      </c>
      <c r="AH644" s="418" t="n">
        <f aca="false">IF(AND(L643&lt;L_rampe,Poussee&lt;Poids*SIN(M643)), g*SIN(M643), (-W643+Poussee)/m)</f>
        <v>-3.75257604117907</v>
      </c>
    </row>
    <row r="645" customFormat="false" ht="12" hidden="false" customHeight="false" outlineLevel="0" collapsed="false">
      <c r="A645" s="417" t="n">
        <f aca="false">IF(B644+0.01&lt;=T_ini+ROUNDUP(Temps_fin_propu,0), 0.01, IF(K644&gt;0, 0.1, 0.0001))</f>
        <v>0.0001</v>
      </c>
      <c r="B645" s="418" t="n">
        <f aca="false">B644+pas</f>
        <v>16.5295999999999</v>
      </c>
      <c r="C645" s="402"/>
      <c r="D645" s="419" t="n">
        <f aca="false">IF(AND(L644&lt;L_rampe,Poussee&lt;Poids*SIN(M644)),0,(-W644+Poussee)/m*COS(M644)-U644/m*SIN(M644))</f>
        <v>-0.536854637848871</v>
      </c>
      <c r="E645" s="420" t="n">
        <f aca="false">IF(AND(L644&lt;L_rampe,Poussee&lt;Poids*SIN(M644)),0,(-W644+Poussee)/m*SIN(M644)+U644/m*COS(M644)-Poids/m)</f>
        <v>-6.09595888935868</v>
      </c>
      <c r="F645" s="418" t="n">
        <f aca="false">SQRT(acc_x^2+acc_z^2)</f>
        <v>6.11955289894049</v>
      </c>
      <c r="G645" s="419" t="n">
        <f aca="false">G644+acc_x*pas</f>
        <v>10.2713525924951</v>
      </c>
      <c r="H645" s="420" t="n">
        <f aca="false">H644+acc_z*pas</f>
        <v>-71.0597427223081</v>
      </c>
      <c r="I645" s="418" t="n">
        <f aca="false">SQRT(vit_x^2+vit_z^2)</f>
        <v>71.7982431528793</v>
      </c>
      <c r="J645" s="419" t="n">
        <f aca="false">J644+0.5*(vit_x+G644)*pas*(K644&gt;=0)</f>
        <v>211.791153319536</v>
      </c>
      <c r="K645" s="420" t="n">
        <f aca="false">K644+0.5*(vit_z+H644)*pas</f>
        <v>-6.53355708095389</v>
      </c>
      <c r="L645" s="418" t="n">
        <f aca="false">SQRT(pos_x^2+pos_z^2)</f>
        <v>211.891906387548</v>
      </c>
      <c r="M645" s="419" t="n">
        <f aca="false">IF(AND(L644&gt;L_rampe,G645&gt;0),ATAN2(G645,H645),$M$4)</f>
        <v>-1.42724526009482</v>
      </c>
      <c r="N645" s="418" t="n">
        <f aca="false">DEGREES(Beta)</f>
        <v>-81.7751297334846</v>
      </c>
      <c r="O645" s="402"/>
      <c r="P645" s="421" t="n">
        <f aca="false">MATCH(t-pas/2-T_ini,CdP_t)</f>
        <v>23</v>
      </c>
      <c r="Q645" s="418" t="n">
        <f aca="false">(INDEX(CdP,2,i_P+1)-INDEX(CdP,2,i_P+0))/(INDEX(CdP,1,i_P+1)-INDEX(CdP,1,i_P+0))*(t-pas/2-T_ini-INDEX(CdP,1,i_P+0))+INDEX(CdP,2,i_P+0)</f>
        <v>0</v>
      </c>
      <c r="R645" s="419" t="n">
        <f aca="false">Poussee/(g*ISP)</f>
        <v>0</v>
      </c>
      <c r="S645" s="420" t="n">
        <f aca="false">S644-Débit*pas</f>
        <v>1.4843</v>
      </c>
      <c r="T645" s="418" t="n">
        <f aca="false">m*g</f>
        <v>14.560983</v>
      </c>
      <c r="U645" s="422" t="n">
        <f aca="false">IF(pos_xz&lt;L_rampe,Poids*COS(Beta),0)</f>
        <v>0</v>
      </c>
      <c r="V645" s="419" t="n">
        <f aca="false">Rho_moyen*(20000-Alt_rampe-pos_z)/(20000+Alt_rampe+pos_z)</f>
        <v>1.22580062228799</v>
      </c>
      <c r="W645" s="418" t="n">
        <f aca="false">1/2*Rho*Sref*Cx*vit_xz^2</f>
        <v>5.57014137507918</v>
      </c>
      <c r="X645" s="402"/>
      <c r="Y645" s="423" t="str">
        <f aca="false">IF(AND(pos_z&lt;=0,K644&gt;0),"Impact balistique","") &amp; IF(AND(H646&lt;0,vit_z&gt;=0),"Apogée","") &amp; IF(AND(Poussee=0,Q644&gt;0),"Fin de propulsion","") &amp; IF(AND(L646&gt;L_rampe,pos_xz&lt;=L_rampe),"Sortie de rampe","")</f>
        <v/>
      </c>
      <c r="Z645" s="424" t="str">
        <f aca="false">IF(ABS(t-T_para)&lt;pas/2,"Para","")</f>
        <v/>
      </c>
      <c r="AA645" s="425" t="str">
        <f aca="false">IF(ABS(t-T_satellite)&lt;pas/2,"Satellite","")</f>
        <v/>
      </c>
      <c r="AB645" s="413"/>
      <c r="AC645" s="421" t="e">
        <f aca="false">IF(ABS(t-ROUND(t,0))&lt;0.001,t,NA())</f>
        <v>#N/A</v>
      </c>
      <c r="AD645" s="426" t="e">
        <f aca="false">IF(ABS(t-ROUND(t,0))&lt;0.001,pos_x,NA())</f>
        <v>#N/A</v>
      </c>
      <c r="AE645" s="427" t="e">
        <f aca="false">IF(t&lt;T_para, pos_z, NA())</f>
        <v>#N/A</v>
      </c>
      <c r="AF645" s="413"/>
      <c r="AG645" s="419" t="n">
        <f aca="false">IF(AND(L644&lt;L_rampe,Poussee&lt;Poids*SIN(M644)),0,(-W644+Poussee)/m-Poids*SIN(M644)/m)</f>
        <v>5.95645285049411</v>
      </c>
      <c r="AH645" s="418" t="n">
        <f aca="false">IF(AND(L644&lt;L_rampe,Poussee&lt;Poids*SIN(M644)), g*SIN(M644), (-W644+Poussee)/m)</f>
        <v>-3.75264097319657</v>
      </c>
    </row>
    <row r="646" customFormat="false" ht="12" hidden="false" customHeight="false" outlineLevel="0" collapsed="false">
      <c r="A646" s="417" t="n">
        <f aca="false">IF(B645+0.01&lt;=T_ini+ROUNDUP(Temps_fin_propu,0), 0.01, IF(K645&gt;0, 0.1, 0.0001))</f>
        <v>0.0001</v>
      </c>
      <c r="B646" s="418" t="n">
        <f aca="false">B645+pas</f>
        <v>16.5296999999999</v>
      </c>
      <c r="C646" s="402"/>
      <c r="D646" s="419" t="n">
        <f aca="false">IF(AND(L645&lt;L_rampe,Poussee&lt;Poids*SIN(M645)),0,(-W645+Poussee)/m*COS(M645)-U645/m*SIN(M645))</f>
        <v>-0.536856667176518</v>
      </c>
      <c r="E646" s="420" t="n">
        <f aca="false">IF(AND(L645&lt;L_rampe,Poussee&lt;Poids*SIN(M645)),0,(-W645+Poussee)/m*SIN(M645)+U645/m*COS(M645)-Poids/m)</f>
        <v>-6.09589357586718</v>
      </c>
      <c r="F646" s="418" t="n">
        <f aca="false">SQRT(acc_x^2+acc_z^2)</f>
        <v>6.11948801529921</v>
      </c>
      <c r="G646" s="419" t="n">
        <f aca="false">G645+acc_x*pas</f>
        <v>10.2712989068283</v>
      </c>
      <c r="H646" s="420" t="n">
        <f aca="false">H645+acc_z*pas</f>
        <v>-71.0603523116657</v>
      </c>
      <c r="I646" s="418" t="n">
        <f aca="false">SQRT(vit_x^2+vit_z^2)</f>
        <v>71.7988387920826</v>
      </c>
      <c r="J646" s="419" t="n">
        <f aca="false">J645+0.5*(vit_x+G645)*pas*(K645&gt;=0)</f>
        <v>211.791153319536</v>
      </c>
      <c r="K646" s="420" t="n">
        <f aca="false">K645+0.5*(vit_z+H645)*pas</f>
        <v>-6.54066308570558</v>
      </c>
      <c r="L646" s="418" t="n">
        <f aca="false">SQRT(pos_x^2+pos_z^2)</f>
        <v>211.89212561589</v>
      </c>
      <c r="M646" s="419" t="n">
        <f aca="false">IF(AND(L645&gt;L_rampe,G646&gt;0),ATAN2(G646,H646),$M$4)</f>
        <v>-1.42724721472863</v>
      </c>
      <c r="N646" s="418" t="n">
        <f aca="false">DEGREES(Beta)</f>
        <v>-81.7752417257526</v>
      </c>
      <c r="O646" s="402"/>
      <c r="P646" s="421" t="n">
        <f aca="false">MATCH(t-pas/2-T_ini,CdP_t)</f>
        <v>23</v>
      </c>
      <c r="Q646" s="418" t="n">
        <f aca="false">(INDEX(CdP,2,i_P+1)-INDEX(CdP,2,i_P+0))/(INDEX(CdP,1,i_P+1)-INDEX(CdP,1,i_P+0))*(t-pas/2-T_ini-INDEX(CdP,1,i_P+0))+INDEX(CdP,2,i_P+0)</f>
        <v>0</v>
      </c>
      <c r="R646" s="419" t="n">
        <f aca="false">Poussee/(g*ISP)</f>
        <v>0</v>
      </c>
      <c r="S646" s="420" t="n">
        <f aca="false">S645-Débit*pas</f>
        <v>1.4843</v>
      </c>
      <c r="T646" s="418" t="n">
        <f aca="false">m*g</f>
        <v>14.560983</v>
      </c>
      <c r="U646" s="422" t="n">
        <f aca="false">IF(pos_xz&lt;L_rampe,Poids*COS(Beta),0)</f>
        <v>0</v>
      </c>
      <c r="V646" s="419" t="n">
        <f aca="false">Rho_moyen*(20000-Alt_rampe-pos_z)/(20000+Alt_rampe+pos_z)</f>
        <v>1.2258014933429</v>
      </c>
      <c r="W646" s="418" t="n">
        <f aca="false">1/2*Rho*Sref*Cx*vit_xz^2</f>
        <v>5.57023775361261</v>
      </c>
      <c r="X646" s="402"/>
      <c r="Y646" s="423" t="str">
        <f aca="false">IF(AND(pos_z&lt;=0,K645&gt;0),"Impact balistique","") &amp; IF(AND(H647&lt;0,vit_z&gt;=0),"Apogée","") &amp; IF(AND(Poussee=0,Q645&gt;0),"Fin de propulsion","") &amp; IF(AND(L647&gt;L_rampe,pos_xz&lt;=L_rampe),"Sortie de rampe","")</f>
        <v/>
      </c>
      <c r="Z646" s="424" t="str">
        <f aca="false">IF(ABS(t-T_para)&lt;pas/2,"Para","")</f>
        <v/>
      </c>
      <c r="AA646" s="425" t="str">
        <f aca="false">IF(ABS(t-T_satellite)&lt;pas/2,"Satellite","")</f>
        <v/>
      </c>
      <c r="AB646" s="413"/>
      <c r="AC646" s="421" t="e">
        <f aca="false">IF(ABS(t-ROUND(t,0))&lt;0.001,t,NA())</f>
        <v>#N/A</v>
      </c>
      <c r="AD646" s="426" t="e">
        <f aca="false">IF(ABS(t-ROUND(t,0))&lt;0.001,pos_x,NA())</f>
        <v>#N/A</v>
      </c>
      <c r="AE646" s="427" t="e">
        <f aca="false">IF(t&lt;T_para, pos_z, NA())</f>
        <v>#N/A</v>
      </c>
      <c r="AF646" s="413"/>
      <c r="AG646" s="419" t="n">
        <f aca="false">IF(AND(L645&lt;L_rampe,Poussee&lt;Poids*SIN(M645)),0,(-W645+Poussee)/m-Poids*SIN(M645)/m)</f>
        <v>5.95639066171692</v>
      </c>
      <c r="AH646" s="418" t="n">
        <f aca="false">IF(AND(L645&lt;L_rampe,Poussee&lt;Poids*SIN(M645)), g*SIN(M645), (-W645+Poussee)/m)</f>
        <v>-3.75270590519382</v>
      </c>
    </row>
    <row r="647" customFormat="false" ht="12" hidden="false" customHeight="false" outlineLevel="0" collapsed="false">
      <c r="A647" s="417" t="n">
        <f aca="false">IF(B646+0.01&lt;=T_ini+ROUNDUP(Temps_fin_propu,0), 0.01, IF(K646&gt;0, 0.1, 0.0001))</f>
        <v>0.0001</v>
      </c>
      <c r="B647" s="418" t="n">
        <f aca="false">B646+pas</f>
        <v>16.5297999999999</v>
      </c>
      <c r="C647" s="402"/>
      <c r="D647" s="419" t="n">
        <f aca="false">IF(AND(L646&lt;L_rampe,Poussee&lt;Poids*SIN(M646)),0,(-W646+Poussee)/m*COS(M646)-U646/m*SIN(M646))</f>
        <v>-0.536858696406386</v>
      </c>
      <c r="E647" s="420" t="n">
        <f aca="false">IF(AND(L646&lt;L_rampe,Poussee&lt;Poids*SIN(M646)),0,(-W646+Poussee)/m*SIN(M646)+U646/m*COS(M646)-Poids/m)</f>
        <v>-6.09582826239652</v>
      </c>
      <c r="F647" s="418" t="n">
        <f aca="false">SQRT(acc_x^2+acc_z^2)</f>
        <v>6.11942313167992</v>
      </c>
      <c r="G647" s="419" t="n">
        <f aca="false">G646+acc_x*pas</f>
        <v>10.2712452209587</v>
      </c>
      <c r="H647" s="420" t="n">
        <f aca="false">H646+acc_z*pas</f>
        <v>-71.060961894492</v>
      </c>
      <c r="I647" s="418" t="n">
        <f aca="false">SQRT(vit_x^2+vit_z^2)</f>
        <v>71.7994344250671</v>
      </c>
      <c r="J647" s="419" t="n">
        <f aca="false">J646+0.5*(vit_x+G646)*pas*(K646&gt;=0)</f>
        <v>211.791153319536</v>
      </c>
      <c r="K647" s="420" t="n">
        <f aca="false">K646+0.5*(vit_z+H646)*pas</f>
        <v>-6.54776915141589</v>
      </c>
      <c r="L647" s="418" t="n">
        <f aca="false">SQRT(pos_x^2+pos_z^2)</f>
        <v>211.892345084195</v>
      </c>
      <c r="M647" s="419" t="n">
        <f aca="false">IF(AND(L646&gt;L_rampe,G647&gt;0),ATAN2(G647,H647),$M$4)</f>
        <v>-1.4272491693198</v>
      </c>
      <c r="N647" s="418" t="n">
        <f aca="false">DEGREES(Beta)</f>
        <v>-81.775353715577</v>
      </c>
      <c r="O647" s="402"/>
      <c r="P647" s="421" t="n">
        <f aca="false">MATCH(t-pas/2-T_ini,CdP_t)</f>
        <v>23</v>
      </c>
      <c r="Q647" s="418" t="n">
        <f aca="false">(INDEX(CdP,2,i_P+1)-INDEX(CdP,2,i_P+0))/(INDEX(CdP,1,i_P+1)-INDEX(CdP,1,i_P+0))*(t-pas/2-T_ini-INDEX(CdP,1,i_P+0))+INDEX(CdP,2,i_P+0)</f>
        <v>0</v>
      </c>
      <c r="R647" s="419" t="n">
        <f aca="false">Poussee/(g*ISP)</f>
        <v>0</v>
      </c>
      <c r="S647" s="420" t="n">
        <f aca="false">S646-Débit*pas</f>
        <v>1.4843</v>
      </c>
      <c r="T647" s="418" t="n">
        <f aca="false">m*g</f>
        <v>14.560983</v>
      </c>
      <c r="U647" s="422" t="n">
        <f aca="false">IF(pos_xz&lt;L_rampe,Poids*COS(Beta),0)</f>
        <v>0</v>
      </c>
      <c r="V647" s="419" t="n">
        <f aca="false">Rho_moyen*(20000-Alt_rampe-pos_z)/(20000+Alt_rampe+pos_z)</f>
        <v>1.22580236440589</v>
      </c>
      <c r="W647" s="418" t="n">
        <f aca="false">1/2*Rho*Sref*Cx*vit_xz^2</f>
        <v>5.57033413211593</v>
      </c>
      <c r="X647" s="402"/>
      <c r="Y647" s="423" t="str">
        <f aca="false">IF(AND(pos_z&lt;=0,K646&gt;0),"Impact balistique","") &amp; IF(AND(H648&lt;0,vit_z&gt;=0),"Apogée","") &amp; IF(AND(Poussee=0,Q646&gt;0),"Fin de propulsion","") &amp; IF(AND(L648&gt;L_rampe,pos_xz&lt;=L_rampe),"Sortie de rampe","")</f>
        <v/>
      </c>
      <c r="Z647" s="424" t="str">
        <f aca="false">IF(ABS(t-T_para)&lt;pas/2,"Para","")</f>
        <v/>
      </c>
      <c r="AA647" s="425" t="str">
        <f aca="false">IF(ABS(t-T_satellite)&lt;pas/2,"Satellite","")</f>
        <v/>
      </c>
      <c r="AB647" s="413"/>
      <c r="AC647" s="421" t="e">
        <f aca="false">IF(ABS(t-ROUND(t,0))&lt;0.001,t,NA())</f>
        <v>#N/A</v>
      </c>
      <c r="AD647" s="426" t="e">
        <f aca="false">IF(ABS(t-ROUND(t,0))&lt;0.001,pos_x,NA())</f>
        <v>#N/A</v>
      </c>
      <c r="AE647" s="427" t="e">
        <f aca="false">IF(t&lt;T_para, pos_z, NA())</f>
        <v>#N/A</v>
      </c>
      <c r="AF647" s="413"/>
      <c r="AG647" s="419" t="n">
        <f aca="false">IF(AND(L646&lt;L_rampe,Poussee&lt;Poids*SIN(M646)),0,(-W646+Poussee)/m-Poids*SIN(M646)/m)</f>
        <v>5.95632847286304</v>
      </c>
      <c r="AH647" s="418" t="n">
        <f aca="false">IF(AND(L646&lt;L_rampe,Poussee&lt;Poids*SIN(M646)), g*SIN(M646), (-W646+Poussee)/m)</f>
        <v>-3.7527708371708</v>
      </c>
    </row>
    <row r="648" customFormat="false" ht="12" hidden="false" customHeight="false" outlineLevel="0" collapsed="false">
      <c r="A648" s="417" t="n">
        <f aca="false">IF(B647+0.01&lt;=T_ini+ROUNDUP(Temps_fin_propu,0), 0.01, IF(K647&gt;0, 0.1, 0.0001))</f>
        <v>0.0001</v>
      </c>
      <c r="B648" s="418" t="n">
        <f aca="false">B647+pas</f>
        <v>16.5298999999999</v>
      </c>
      <c r="C648" s="402"/>
      <c r="D648" s="419" t="n">
        <f aca="false">IF(AND(L647&lt;L_rampe,Poussee&lt;Poids*SIN(M647)),0,(-W647+Poussee)/m*COS(M647)-U647/m*SIN(M647))</f>
        <v>-0.536860725538474</v>
      </c>
      <c r="E648" s="420" t="n">
        <f aca="false">IF(AND(L647&lt;L_rampe,Poussee&lt;Poids*SIN(M647)),0,(-W647+Poussee)/m*SIN(M647)+U647/m*COS(M647)-Poids/m)</f>
        <v>-6.09576294894671</v>
      </c>
      <c r="F648" s="418" t="n">
        <f aca="false">SQRT(acc_x^2+acc_z^2)</f>
        <v>6.11935824808265</v>
      </c>
      <c r="G648" s="419" t="n">
        <f aca="false">G647+acc_x*pas</f>
        <v>10.2711915348861</v>
      </c>
      <c r="H648" s="420" t="n">
        <f aca="false">H647+acc_z*pas</f>
        <v>-71.0615714707869</v>
      </c>
      <c r="I648" s="418" t="n">
        <f aca="false">SQRT(vit_x^2+vit_z^2)</f>
        <v>71.8000300518326</v>
      </c>
      <c r="J648" s="419" t="n">
        <f aca="false">J647+0.5*(vit_x+G647)*pas*(K647&gt;=0)</f>
        <v>211.791153319536</v>
      </c>
      <c r="K648" s="420" t="n">
        <f aca="false">K647+0.5*(vit_z+H647)*pas</f>
        <v>-6.55487527808416</v>
      </c>
      <c r="L648" s="418" t="n">
        <f aca="false">SQRT(pos_x^2+pos_z^2)</f>
        <v>211.892564792469</v>
      </c>
      <c r="M648" s="419" t="n">
        <f aca="false">IF(AND(L647&gt;L_rampe,G648&gt;0),ATAN2(G648,H648),$M$4)</f>
        <v>-1.42725112386832</v>
      </c>
      <c r="N648" s="418" t="n">
        <f aca="false">DEGREES(Beta)</f>
        <v>-81.7754657029581</v>
      </c>
      <c r="O648" s="402"/>
      <c r="P648" s="421" t="n">
        <f aca="false">MATCH(t-pas/2-T_ini,CdP_t)</f>
        <v>23</v>
      </c>
      <c r="Q648" s="418" t="n">
        <f aca="false">(INDEX(CdP,2,i_P+1)-INDEX(CdP,2,i_P+0))/(INDEX(CdP,1,i_P+1)-INDEX(CdP,1,i_P+0))*(t-pas/2-T_ini-INDEX(CdP,1,i_P+0))+INDEX(CdP,2,i_P+0)</f>
        <v>0</v>
      </c>
      <c r="R648" s="419" t="n">
        <f aca="false">Poussee/(g*ISP)</f>
        <v>0</v>
      </c>
      <c r="S648" s="420" t="n">
        <f aca="false">S647-Débit*pas</f>
        <v>1.4843</v>
      </c>
      <c r="T648" s="418" t="n">
        <f aca="false">m*g</f>
        <v>14.560983</v>
      </c>
      <c r="U648" s="422" t="n">
        <f aca="false">IF(pos_xz&lt;L_rampe,Poids*COS(Beta),0)</f>
        <v>0</v>
      </c>
      <c r="V648" s="419" t="n">
        <f aca="false">Rho_moyen*(20000-Alt_rampe-pos_z)/(20000+Alt_rampe+pos_z)</f>
        <v>1.22580323547698</v>
      </c>
      <c r="W648" s="418" t="n">
        <f aca="false">1/2*Rho*Sref*Cx*vit_xz^2</f>
        <v>5.57043051058912</v>
      </c>
      <c r="X648" s="402"/>
      <c r="Y648" s="423" t="str">
        <f aca="false">IF(AND(pos_z&lt;=0,K647&gt;0),"Impact balistique","") &amp; IF(AND(H649&lt;0,vit_z&gt;=0),"Apogée","") &amp; IF(AND(Poussee=0,Q647&gt;0),"Fin de propulsion","") &amp; IF(AND(L649&gt;L_rampe,pos_xz&lt;=L_rampe),"Sortie de rampe","")</f>
        <v/>
      </c>
      <c r="Z648" s="424" t="str">
        <f aca="false">IF(ABS(t-T_para)&lt;pas/2,"Para","")</f>
        <v/>
      </c>
      <c r="AA648" s="425" t="str">
        <f aca="false">IF(ABS(t-T_satellite)&lt;pas/2,"Satellite","")</f>
        <v/>
      </c>
      <c r="AB648" s="413"/>
      <c r="AC648" s="421" t="e">
        <f aca="false">IF(ABS(t-ROUND(t,0))&lt;0.001,t,NA())</f>
        <v>#N/A</v>
      </c>
      <c r="AD648" s="426" t="e">
        <f aca="false">IF(ABS(t-ROUND(t,0))&lt;0.001,pos_x,NA())</f>
        <v>#N/A</v>
      </c>
      <c r="AE648" s="427" t="e">
        <f aca="false">IF(t&lt;T_para, pos_z, NA())</f>
        <v>#N/A</v>
      </c>
      <c r="AF648" s="413"/>
      <c r="AG648" s="419" t="n">
        <f aca="false">IF(AND(L647&lt;L_rampe,Poussee&lt;Poids*SIN(M647)),0,(-W647+Poussee)/m-Poids*SIN(M647)/m)</f>
        <v>5.95626628393251</v>
      </c>
      <c r="AH648" s="418" t="n">
        <f aca="false">IF(AND(L647&lt;L_rampe,Poussee&lt;Poids*SIN(M647)), g*SIN(M647), (-W647+Poussee)/m)</f>
        <v>-3.7528357691275</v>
      </c>
    </row>
    <row r="649" customFormat="false" ht="12" hidden="false" customHeight="false" outlineLevel="0" collapsed="false">
      <c r="A649" s="417" t="n">
        <f aca="false">IF(B648+0.01&lt;=T_ini+ROUNDUP(Temps_fin_propu,0), 0.01, IF(K648&gt;0, 0.1, 0.0001))</f>
        <v>0.0001</v>
      </c>
      <c r="B649" s="418" t="n">
        <f aca="false">B648+pas</f>
        <v>16.5299999999999</v>
      </c>
      <c r="C649" s="402"/>
      <c r="D649" s="419" t="n">
        <f aca="false">IF(AND(L648&lt;L_rampe,Poussee&lt;Poids*SIN(M648)),0,(-W648+Poussee)/m*COS(M648)-U648/m*SIN(M648))</f>
        <v>-0.536862754572786</v>
      </c>
      <c r="E649" s="420" t="n">
        <f aca="false">IF(AND(L648&lt;L_rampe,Poussee&lt;Poids*SIN(M648)),0,(-W648+Poussee)/m*SIN(M648)+U648/m*COS(M648)-Poids/m)</f>
        <v>-6.09569763551776</v>
      </c>
      <c r="F649" s="418" t="n">
        <f aca="false">SQRT(acc_x^2+acc_z^2)</f>
        <v>6.1192933645074</v>
      </c>
      <c r="G649" s="419" t="n">
        <f aca="false">G648+acc_x*pas</f>
        <v>10.2711378486107</v>
      </c>
      <c r="H649" s="420" t="n">
        <f aca="false">H648+acc_z*pas</f>
        <v>-71.0621810405504</v>
      </c>
      <c r="I649" s="418" t="n">
        <f aca="false">SQRT(vit_x^2+vit_z^2)</f>
        <v>71.8006256723792</v>
      </c>
      <c r="J649" s="419" t="n">
        <f aca="false">J648+0.5*(vit_x+G648)*pas*(K648&gt;=0)</f>
        <v>211.791153319536</v>
      </c>
      <c r="K649" s="420" t="n">
        <f aca="false">K648+0.5*(vit_z+H648)*pas</f>
        <v>-6.56198146570972</v>
      </c>
      <c r="L649" s="418" t="n">
        <f aca="false">SQRT(pos_x^2+pos_z^2)</f>
        <v>211.892784740716</v>
      </c>
      <c r="M649" s="419" t="n">
        <f aca="false">IF(AND(L648&gt;L_rampe,G649&gt;0),ATAN2(G649,H649),$M$4)</f>
        <v>-1.4272530783742</v>
      </c>
      <c r="N649" s="418" t="n">
        <f aca="false">DEGREES(Beta)</f>
        <v>-81.7755776878959</v>
      </c>
      <c r="O649" s="402"/>
      <c r="P649" s="421" t="n">
        <f aca="false">MATCH(t-pas/2-T_ini,CdP_t)</f>
        <v>23</v>
      </c>
      <c r="Q649" s="418" t="n">
        <f aca="false">(INDEX(CdP,2,i_P+1)-INDEX(CdP,2,i_P+0))/(INDEX(CdP,1,i_P+1)-INDEX(CdP,1,i_P+0))*(t-pas/2-T_ini-INDEX(CdP,1,i_P+0))+INDEX(CdP,2,i_P+0)</f>
        <v>0</v>
      </c>
      <c r="R649" s="419" t="n">
        <f aca="false">Poussee/(g*ISP)</f>
        <v>0</v>
      </c>
      <c r="S649" s="420" t="n">
        <f aca="false">S648-Débit*pas</f>
        <v>1.4843</v>
      </c>
      <c r="T649" s="418" t="n">
        <f aca="false">m*g</f>
        <v>14.560983</v>
      </c>
      <c r="U649" s="422" t="n">
        <f aca="false">IF(pos_xz&lt;L_rampe,Poids*COS(Beta),0)</f>
        <v>0</v>
      </c>
      <c r="V649" s="419" t="n">
        <f aca="false">Rho_moyen*(20000-Alt_rampe-pos_z)/(20000+Alt_rampe+pos_z)</f>
        <v>1.22580410655617</v>
      </c>
      <c r="W649" s="418" t="n">
        <f aca="false">1/2*Rho*Sref*Cx*vit_xz^2</f>
        <v>5.57052688903215</v>
      </c>
      <c r="X649" s="402"/>
      <c r="Y649" s="423" t="str">
        <f aca="false">IF(AND(pos_z&lt;=0,K648&gt;0),"Impact balistique","") &amp; IF(AND(H650&lt;0,vit_z&gt;=0),"Apogée","") &amp; IF(AND(Poussee=0,Q648&gt;0),"Fin de propulsion","") &amp; IF(AND(L650&gt;L_rampe,pos_xz&lt;=L_rampe),"Sortie de rampe","")</f>
        <v/>
      </c>
      <c r="Z649" s="424" t="str">
        <f aca="false">IF(ABS(t-T_para)&lt;pas/2,"Para","")</f>
        <v/>
      </c>
      <c r="AA649" s="425" t="str">
        <f aca="false">IF(ABS(t-T_satellite)&lt;pas/2,"Satellite","")</f>
        <v/>
      </c>
      <c r="AB649" s="413"/>
      <c r="AC649" s="421" t="e">
        <f aca="false">IF(ABS(t-ROUND(t,0))&lt;0.001,t,NA())</f>
        <v>#N/A</v>
      </c>
      <c r="AD649" s="426" t="e">
        <f aca="false">IF(ABS(t-ROUND(t,0))&lt;0.001,pos_x,NA())</f>
        <v>#N/A</v>
      </c>
      <c r="AE649" s="427" t="e">
        <f aca="false">IF(t&lt;T_para, pos_z, NA())</f>
        <v>#N/A</v>
      </c>
      <c r="AF649" s="413"/>
      <c r="AG649" s="419" t="n">
        <f aca="false">IF(AND(L648&lt;L_rampe,Poussee&lt;Poids*SIN(M648)),0,(-W648+Poussee)/m-Poids*SIN(M648)/m)</f>
        <v>5.95620409492535</v>
      </c>
      <c r="AH649" s="418" t="n">
        <f aca="false">IF(AND(L648&lt;L_rampe,Poussee&lt;Poids*SIN(M648)), g*SIN(M648), (-W648+Poussee)/m)</f>
        <v>-3.75290070106389</v>
      </c>
    </row>
    <row r="650" customFormat="false" ht="12" hidden="false" customHeight="false" outlineLevel="0" collapsed="false">
      <c r="A650" s="417" t="n">
        <f aca="false">IF(B649+0.01&lt;=T_ini+ROUNDUP(Temps_fin_propu,0), 0.01, IF(K649&gt;0, 0.1, 0.0001))</f>
        <v>0.0001</v>
      </c>
      <c r="B650" s="418" t="n">
        <f aca="false">B649+pas</f>
        <v>16.5300999999999</v>
      </c>
      <c r="C650" s="402"/>
      <c r="D650" s="419" t="n">
        <f aca="false">IF(AND(L649&lt;L_rampe,Poussee&lt;Poids*SIN(M649)),0,(-W649+Poussee)/m*COS(M649)-U649/m*SIN(M649))</f>
        <v>-0.53686478350932</v>
      </c>
      <c r="E650" s="420" t="n">
        <f aca="false">IF(AND(L649&lt;L_rampe,Poussee&lt;Poids*SIN(M649)),0,(-W649+Poussee)/m*SIN(M649)+U649/m*COS(M649)-Poids/m)</f>
        <v>-6.0956323221097</v>
      </c>
      <c r="F650" s="418" t="n">
        <f aca="false">SQRT(acc_x^2+acc_z^2)</f>
        <v>6.1192284809542</v>
      </c>
      <c r="G650" s="419" t="n">
        <f aca="false">G649+acc_x*pas</f>
        <v>10.2710841621323</v>
      </c>
      <c r="H650" s="420" t="n">
        <f aca="false">H649+acc_z*pas</f>
        <v>-71.0627906037826</v>
      </c>
      <c r="I650" s="418" t="n">
        <f aca="false">SQRT(vit_x^2+vit_z^2)</f>
        <v>71.801221286707</v>
      </c>
      <c r="J650" s="419" t="n">
        <f aca="false">J649+0.5*(vit_x+G649)*pas*(K649&gt;=0)</f>
        <v>211.791153319536</v>
      </c>
      <c r="K650" s="420" t="n">
        <f aca="false">K649+0.5*(vit_z+H649)*pas</f>
        <v>-6.56908771429194</v>
      </c>
      <c r="L650" s="418" t="n">
        <f aca="false">SQRT(pos_x^2+pos_z^2)</f>
        <v>211.893004928944</v>
      </c>
      <c r="M650" s="419" t="n">
        <f aca="false">IF(AND(L649&gt;L_rampe,G650&gt;0),ATAN2(G650,H650),$M$4)</f>
        <v>-1.42725503283743</v>
      </c>
      <c r="N650" s="418" t="n">
        <f aca="false">DEGREES(Beta)</f>
        <v>-81.7756896703904</v>
      </c>
      <c r="O650" s="402"/>
      <c r="P650" s="421" t="n">
        <f aca="false">MATCH(t-pas/2-T_ini,CdP_t)</f>
        <v>23</v>
      </c>
      <c r="Q650" s="418" t="n">
        <f aca="false">(INDEX(CdP,2,i_P+1)-INDEX(CdP,2,i_P+0))/(INDEX(CdP,1,i_P+1)-INDEX(CdP,1,i_P+0))*(t-pas/2-T_ini-INDEX(CdP,1,i_P+0))+INDEX(CdP,2,i_P+0)</f>
        <v>0</v>
      </c>
      <c r="R650" s="419" t="n">
        <f aca="false">Poussee/(g*ISP)</f>
        <v>0</v>
      </c>
      <c r="S650" s="420" t="n">
        <f aca="false">S649-Débit*pas</f>
        <v>1.4843</v>
      </c>
      <c r="T650" s="418" t="n">
        <f aca="false">m*g</f>
        <v>14.560983</v>
      </c>
      <c r="U650" s="422" t="n">
        <f aca="false">IF(pos_xz&lt;L_rampe,Poids*COS(Beta),0)</f>
        <v>0</v>
      </c>
      <c r="V650" s="419" t="n">
        <f aca="false">Rho_moyen*(20000-Alt_rampe-pos_z)/(20000+Alt_rampe+pos_z)</f>
        <v>1.22580497764344</v>
      </c>
      <c r="W650" s="418" t="n">
        <f aca="false">1/2*Rho*Sref*Cx*vit_xz^2</f>
        <v>5.570623267445</v>
      </c>
      <c r="X650" s="402"/>
      <c r="Y650" s="423" t="str">
        <f aca="false">IF(AND(pos_z&lt;=0,K649&gt;0),"Impact balistique","") &amp; IF(AND(H651&lt;0,vit_z&gt;=0),"Apogée","") &amp; IF(AND(Poussee=0,Q649&gt;0),"Fin de propulsion","") &amp; IF(AND(L651&gt;L_rampe,pos_xz&lt;=L_rampe),"Sortie de rampe","")</f>
        <v/>
      </c>
      <c r="Z650" s="424" t="str">
        <f aca="false">IF(ABS(t-T_para)&lt;pas/2,"Para","")</f>
        <v/>
      </c>
      <c r="AA650" s="425" t="str">
        <f aca="false">IF(ABS(t-T_satellite)&lt;pas/2,"Satellite","")</f>
        <v/>
      </c>
      <c r="AB650" s="413"/>
      <c r="AC650" s="421" t="e">
        <f aca="false">IF(ABS(t-ROUND(t,0))&lt;0.001,t,NA())</f>
        <v>#N/A</v>
      </c>
      <c r="AD650" s="426" t="e">
        <f aca="false">IF(ABS(t-ROUND(t,0))&lt;0.001,pos_x,NA())</f>
        <v>#N/A</v>
      </c>
      <c r="AE650" s="427" t="e">
        <f aca="false">IF(t&lt;T_para, pos_z, NA())</f>
        <v>#N/A</v>
      </c>
      <c r="AF650" s="413"/>
      <c r="AG650" s="419" t="n">
        <f aca="false">IF(AND(L649&lt;L_rampe,Poussee&lt;Poids*SIN(M649)),0,(-W649+Poussee)/m-Poids*SIN(M649)/m)</f>
        <v>5.95614190584156</v>
      </c>
      <c r="AH650" s="418" t="n">
        <f aca="false">IF(AND(L649&lt;L_rampe,Poussee&lt;Poids*SIN(M649)), g*SIN(M649), (-W649+Poussee)/m)</f>
        <v>-3.75296563297996</v>
      </c>
    </row>
    <row r="651" customFormat="false" ht="12" hidden="false" customHeight="false" outlineLevel="0" collapsed="false">
      <c r="A651" s="417" t="n">
        <f aca="false">IF(B650+0.01&lt;=T_ini+ROUNDUP(Temps_fin_propu,0), 0.01, IF(K650&gt;0, 0.1, 0.0001))</f>
        <v>0.0001</v>
      </c>
      <c r="B651" s="418" t="n">
        <f aca="false">B650+pas</f>
        <v>16.5301999999999</v>
      </c>
      <c r="C651" s="402"/>
      <c r="D651" s="419" t="n">
        <f aca="false">IF(AND(L650&lt;L_rampe,Poussee&lt;Poids*SIN(M650)),0,(-W650+Poussee)/m*COS(M650)-U650/m*SIN(M650))</f>
        <v>-0.536866812348079</v>
      </c>
      <c r="E651" s="420" t="n">
        <f aca="false">IF(AND(L650&lt;L_rampe,Poussee&lt;Poids*SIN(M650)),0,(-W650+Poussee)/m*SIN(M650)+U650/m*COS(M650)-Poids/m)</f>
        <v>-6.09556700872254</v>
      </c>
      <c r="F651" s="418" t="n">
        <f aca="false">SQRT(acc_x^2+acc_z^2)</f>
        <v>6.11916359742305</v>
      </c>
      <c r="G651" s="419" t="n">
        <f aca="false">G650+acc_x*pas</f>
        <v>10.2710304754511</v>
      </c>
      <c r="H651" s="420" t="n">
        <f aca="false">H650+acc_z*pas</f>
        <v>-71.0634001604835</v>
      </c>
      <c r="I651" s="418" t="n">
        <f aca="false">SQRT(vit_x^2+vit_z^2)</f>
        <v>71.8018168948158</v>
      </c>
      <c r="J651" s="419" t="n">
        <f aca="false">J650+0.5*(vit_x+G650)*pas*(K650&gt;=0)</f>
        <v>211.791153319536</v>
      </c>
      <c r="K651" s="420" t="n">
        <f aca="false">K650+0.5*(vit_z+H650)*pas</f>
        <v>-6.57619402383015</v>
      </c>
      <c r="L651" s="418" t="n">
        <f aca="false">SQRT(pos_x^2+pos_z^2)</f>
        <v>211.893225357156</v>
      </c>
      <c r="M651" s="419" t="n">
        <f aca="false">IF(AND(L650&gt;L_rampe,G651&gt;0),ATAN2(G651,H651),$M$4)</f>
        <v>-1.42725698725802</v>
      </c>
      <c r="N651" s="418" t="n">
        <f aca="false">DEGREES(Beta)</f>
        <v>-81.7758016504418</v>
      </c>
      <c r="O651" s="402"/>
      <c r="P651" s="421" t="n">
        <f aca="false">MATCH(t-pas/2-T_ini,CdP_t)</f>
        <v>23</v>
      </c>
      <c r="Q651" s="418" t="n">
        <f aca="false">(INDEX(CdP,2,i_P+1)-INDEX(CdP,2,i_P+0))/(INDEX(CdP,1,i_P+1)-INDEX(CdP,1,i_P+0))*(t-pas/2-T_ini-INDEX(CdP,1,i_P+0))+INDEX(CdP,2,i_P+0)</f>
        <v>0</v>
      </c>
      <c r="R651" s="419" t="n">
        <f aca="false">Poussee/(g*ISP)</f>
        <v>0</v>
      </c>
      <c r="S651" s="420" t="n">
        <f aca="false">S650-Débit*pas</f>
        <v>1.4843</v>
      </c>
      <c r="T651" s="418" t="n">
        <f aca="false">m*g</f>
        <v>14.560983</v>
      </c>
      <c r="U651" s="422" t="n">
        <f aca="false">IF(pos_xz&lt;L_rampe,Poids*COS(Beta),0)</f>
        <v>0</v>
      </c>
      <c r="V651" s="419" t="n">
        <f aca="false">Rho_moyen*(20000-Alt_rampe-pos_z)/(20000+Alt_rampe+pos_z)</f>
        <v>1.2258058487388</v>
      </c>
      <c r="W651" s="418" t="n">
        <f aca="false">1/2*Rho*Sref*Cx*vit_xz^2</f>
        <v>5.57071964582764</v>
      </c>
      <c r="X651" s="402"/>
      <c r="Y651" s="423" t="str">
        <f aca="false">IF(AND(pos_z&lt;=0,K650&gt;0),"Impact balistique","") &amp; IF(AND(H652&lt;0,vit_z&gt;=0),"Apogée","") &amp; IF(AND(Poussee=0,Q650&gt;0),"Fin de propulsion","") &amp; IF(AND(L652&gt;L_rampe,pos_xz&lt;=L_rampe),"Sortie de rampe","")</f>
        <v/>
      </c>
      <c r="Z651" s="424" t="str">
        <f aca="false">IF(ABS(t-T_para)&lt;pas/2,"Para","")</f>
        <v/>
      </c>
      <c r="AA651" s="425" t="str">
        <f aca="false">IF(ABS(t-T_satellite)&lt;pas/2,"Satellite","")</f>
        <v/>
      </c>
      <c r="AB651" s="413"/>
      <c r="AC651" s="421" t="e">
        <f aca="false">IF(ABS(t-ROUND(t,0))&lt;0.001,t,NA())</f>
        <v>#N/A</v>
      </c>
      <c r="AD651" s="426" t="e">
        <f aca="false">IF(ABS(t-ROUND(t,0))&lt;0.001,pos_x,NA())</f>
        <v>#N/A</v>
      </c>
      <c r="AE651" s="427" t="e">
        <f aca="false">IF(t&lt;T_para, pos_z, NA())</f>
        <v>#N/A</v>
      </c>
      <c r="AF651" s="413"/>
      <c r="AG651" s="419" t="n">
        <f aca="false">IF(AND(L650&lt;L_rampe,Poussee&lt;Poids*SIN(M650)),0,(-W650+Poussee)/m-Poids*SIN(M650)/m)</f>
        <v>5.95607971668118</v>
      </c>
      <c r="AH651" s="418" t="n">
        <f aca="false">IF(AND(L650&lt;L_rampe,Poussee&lt;Poids*SIN(M650)), g*SIN(M650), (-W650+Poussee)/m)</f>
        <v>-3.7530305648757</v>
      </c>
    </row>
    <row r="652" customFormat="false" ht="12" hidden="false" customHeight="false" outlineLevel="0" collapsed="false">
      <c r="A652" s="417" t="n">
        <f aca="false">IF(B651+0.01&lt;=T_ini+ROUNDUP(Temps_fin_propu,0), 0.01, IF(K651&gt;0, 0.1, 0.0001))</f>
        <v>0.0001</v>
      </c>
      <c r="B652" s="418" t="n">
        <f aca="false">B651+pas</f>
        <v>16.5302999999999</v>
      </c>
      <c r="C652" s="402"/>
      <c r="D652" s="419" t="n">
        <f aca="false">IF(AND(L651&lt;L_rampe,Poussee&lt;Poids*SIN(M651)),0,(-W651+Poussee)/m*COS(M651)-U651/m*SIN(M651))</f>
        <v>-0.536868841089061</v>
      </c>
      <c r="E652" s="420" t="n">
        <f aca="false">IF(AND(L651&lt;L_rampe,Poussee&lt;Poids*SIN(M651)),0,(-W651+Poussee)/m*SIN(M651)+U651/m*COS(M651)-Poids/m)</f>
        <v>-6.09550169535629</v>
      </c>
      <c r="F652" s="418" t="n">
        <f aca="false">SQRT(acc_x^2+acc_z^2)</f>
        <v>6.11909871391398</v>
      </c>
      <c r="G652" s="419" t="n">
        <f aca="false">G651+acc_x*pas</f>
        <v>10.270976788567</v>
      </c>
      <c r="H652" s="420" t="n">
        <f aca="false">H651+acc_z*pas</f>
        <v>-71.064009710653</v>
      </c>
      <c r="I652" s="418" t="n">
        <f aca="false">SQRT(vit_x^2+vit_z^2)</f>
        <v>71.8024124967056</v>
      </c>
      <c r="J652" s="419" t="n">
        <f aca="false">J651+0.5*(vit_x+G651)*pas*(K651&gt;=0)</f>
        <v>211.791153319536</v>
      </c>
      <c r="K652" s="420" t="n">
        <f aca="false">K651+0.5*(vit_z+H651)*pas</f>
        <v>-6.58330039432371</v>
      </c>
      <c r="L652" s="418" t="n">
        <f aca="false">SQRT(pos_x^2+pos_z^2)</f>
        <v>211.893446025358</v>
      </c>
      <c r="M652" s="419" t="n">
        <f aca="false">IF(AND(L651&gt;L_rampe,G652&gt;0),ATAN2(G652,H652),$M$4)</f>
        <v>-1.42725894163598</v>
      </c>
      <c r="N652" s="418" t="n">
        <f aca="false">DEGREES(Beta)</f>
        <v>-81.7759136280501</v>
      </c>
      <c r="O652" s="402"/>
      <c r="P652" s="421" t="n">
        <f aca="false">MATCH(t-pas/2-T_ini,CdP_t)</f>
        <v>23</v>
      </c>
      <c r="Q652" s="418" t="n">
        <f aca="false">(INDEX(CdP,2,i_P+1)-INDEX(CdP,2,i_P+0))/(INDEX(CdP,1,i_P+1)-INDEX(CdP,1,i_P+0))*(t-pas/2-T_ini-INDEX(CdP,1,i_P+0))+INDEX(CdP,2,i_P+0)</f>
        <v>0</v>
      </c>
      <c r="R652" s="419" t="n">
        <f aca="false">Poussee/(g*ISP)</f>
        <v>0</v>
      </c>
      <c r="S652" s="420" t="n">
        <f aca="false">S651-Débit*pas</f>
        <v>1.4843</v>
      </c>
      <c r="T652" s="418" t="n">
        <f aca="false">m*g</f>
        <v>14.560983</v>
      </c>
      <c r="U652" s="422" t="n">
        <f aca="false">IF(pos_xz&lt;L_rampe,Poids*COS(Beta),0)</f>
        <v>0</v>
      </c>
      <c r="V652" s="419" t="n">
        <f aca="false">Rho_moyen*(20000-Alt_rampe-pos_z)/(20000+Alt_rampe+pos_z)</f>
        <v>1.22580671984226</v>
      </c>
      <c r="W652" s="418" t="n">
        <f aca="false">1/2*Rho*Sref*Cx*vit_xz^2</f>
        <v>5.57081602418004</v>
      </c>
      <c r="X652" s="402"/>
      <c r="Y652" s="423" t="str">
        <f aca="false">IF(AND(pos_z&lt;=0,K651&gt;0),"Impact balistique","") &amp; IF(AND(H653&lt;0,vit_z&gt;=0),"Apogée","") &amp; IF(AND(Poussee=0,Q651&gt;0),"Fin de propulsion","") &amp; IF(AND(L653&gt;L_rampe,pos_xz&lt;=L_rampe),"Sortie de rampe","")</f>
        <v/>
      </c>
      <c r="Z652" s="424" t="str">
        <f aca="false">IF(ABS(t-T_para)&lt;pas/2,"Para","")</f>
        <v/>
      </c>
      <c r="AA652" s="425" t="str">
        <f aca="false">IF(ABS(t-T_satellite)&lt;pas/2,"Satellite","")</f>
        <v/>
      </c>
      <c r="AB652" s="413"/>
      <c r="AC652" s="421" t="e">
        <f aca="false">IF(ABS(t-ROUND(t,0))&lt;0.001,t,NA())</f>
        <v>#N/A</v>
      </c>
      <c r="AD652" s="426" t="e">
        <f aca="false">IF(ABS(t-ROUND(t,0))&lt;0.001,pos_x,NA())</f>
        <v>#N/A</v>
      </c>
      <c r="AE652" s="427" t="e">
        <f aca="false">IF(t&lt;T_para, pos_z, NA())</f>
        <v>#N/A</v>
      </c>
      <c r="AF652" s="413"/>
      <c r="AG652" s="419" t="n">
        <f aca="false">IF(AND(L651&lt;L_rampe,Poussee&lt;Poids*SIN(M651)),0,(-W651+Poussee)/m-Poids*SIN(M651)/m)</f>
        <v>5.95601752744423</v>
      </c>
      <c r="AH652" s="418" t="n">
        <f aca="false">IF(AND(L651&lt;L_rampe,Poussee&lt;Poids*SIN(M651)), g*SIN(M651), (-W651+Poussee)/m)</f>
        <v>-3.75309549675109</v>
      </c>
    </row>
    <row r="653" customFormat="false" ht="12" hidden="false" customHeight="false" outlineLevel="0" collapsed="false">
      <c r="A653" s="417" t="n">
        <f aca="false">IF(B652+0.01&lt;=T_ini+ROUNDUP(Temps_fin_propu,0), 0.01, IF(K652&gt;0, 0.1, 0.0001))</f>
        <v>0.0001</v>
      </c>
      <c r="B653" s="418" t="n">
        <f aca="false">B652+pas</f>
        <v>16.5303999999999</v>
      </c>
      <c r="C653" s="402"/>
      <c r="D653" s="419" t="n">
        <f aca="false">IF(AND(L652&lt;L_rampe,Poussee&lt;Poids*SIN(M652)),0,(-W652+Poussee)/m*COS(M652)-U652/m*SIN(M652))</f>
        <v>-0.536870869732269</v>
      </c>
      <c r="E653" s="420" t="n">
        <f aca="false">IF(AND(L652&lt;L_rampe,Poussee&lt;Poids*SIN(M652)),0,(-W652+Poussee)/m*SIN(M652)+U652/m*COS(M652)-Poids/m)</f>
        <v>-6.09543638201097</v>
      </c>
      <c r="F653" s="418" t="n">
        <f aca="false">SQRT(acc_x^2+acc_z^2)</f>
        <v>6.119033830427</v>
      </c>
      <c r="G653" s="419" t="n">
        <f aca="false">G652+acc_x*pas</f>
        <v>10.27092310148</v>
      </c>
      <c r="H653" s="420" t="n">
        <f aca="false">H652+acc_z*pas</f>
        <v>-71.0646192542912</v>
      </c>
      <c r="I653" s="418" t="n">
        <f aca="false">SQRT(vit_x^2+vit_z^2)</f>
        <v>71.8030080923766</v>
      </c>
      <c r="J653" s="419" t="n">
        <f aca="false">J652+0.5*(vit_x+G652)*pas*(K652&gt;=0)</f>
        <v>211.791153319536</v>
      </c>
      <c r="K653" s="420" t="n">
        <f aca="false">K652+0.5*(vit_z+H652)*pas</f>
        <v>-6.59040682577196</v>
      </c>
      <c r="L653" s="418" t="n">
        <f aca="false">SQRT(pos_x^2+pos_z^2)</f>
        <v>211.893666933555</v>
      </c>
      <c r="M653" s="419" t="n">
        <f aca="false">IF(AND(L652&gt;L_rampe,G653&gt;0),ATAN2(G653,H653),$M$4)</f>
        <v>-1.42726089597129</v>
      </c>
      <c r="N653" s="418" t="n">
        <f aca="false">DEGREES(Beta)</f>
        <v>-81.7760256032154</v>
      </c>
      <c r="O653" s="402"/>
      <c r="P653" s="421" t="n">
        <f aca="false">MATCH(t-pas/2-T_ini,CdP_t)</f>
        <v>23</v>
      </c>
      <c r="Q653" s="418" t="n">
        <f aca="false">(INDEX(CdP,2,i_P+1)-INDEX(CdP,2,i_P+0))/(INDEX(CdP,1,i_P+1)-INDEX(CdP,1,i_P+0))*(t-pas/2-T_ini-INDEX(CdP,1,i_P+0))+INDEX(CdP,2,i_P+0)</f>
        <v>0</v>
      </c>
      <c r="R653" s="419" t="n">
        <f aca="false">Poussee/(g*ISP)</f>
        <v>0</v>
      </c>
      <c r="S653" s="420" t="n">
        <f aca="false">S652-Débit*pas</f>
        <v>1.4843</v>
      </c>
      <c r="T653" s="418" t="n">
        <f aca="false">m*g</f>
        <v>14.560983</v>
      </c>
      <c r="U653" s="422" t="n">
        <f aca="false">IF(pos_xz&lt;L_rampe,Poids*COS(Beta),0)</f>
        <v>0</v>
      </c>
      <c r="V653" s="419" t="n">
        <f aca="false">Rho_moyen*(20000-Alt_rampe-pos_z)/(20000+Alt_rampe+pos_z)</f>
        <v>1.2258075909538</v>
      </c>
      <c r="W653" s="418" t="n">
        <f aca="false">1/2*Rho*Sref*Cx*vit_xz^2</f>
        <v>5.5709124025022</v>
      </c>
      <c r="X653" s="402"/>
      <c r="Y653" s="423" t="str">
        <f aca="false">IF(AND(pos_z&lt;=0,K652&gt;0),"Impact balistique","") &amp; IF(AND(H654&lt;0,vit_z&gt;=0),"Apogée","") &amp; IF(AND(Poussee=0,Q652&gt;0),"Fin de propulsion","") &amp; IF(AND(L654&gt;L_rampe,pos_xz&lt;=L_rampe),"Sortie de rampe","")</f>
        <v/>
      </c>
      <c r="Z653" s="424" t="str">
        <f aca="false">IF(ABS(t-T_para)&lt;pas/2,"Para","")</f>
        <v/>
      </c>
      <c r="AA653" s="425" t="str">
        <f aca="false">IF(ABS(t-T_satellite)&lt;pas/2,"Satellite","")</f>
        <v/>
      </c>
      <c r="AB653" s="413"/>
      <c r="AC653" s="421" t="e">
        <f aca="false">IF(ABS(t-ROUND(t,0))&lt;0.001,t,NA())</f>
        <v>#N/A</v>
      </c>
      <c r="AD653" s="426" t="e">
        <f aca="false">IF(ABS(t-ROUND(t,0))&lt;0.001,pos_x,NA())</f>
        <v>#N/A</v>
      </c>
      <c r="AE653" s="427" t="e">
        <f aca="false">IF(t&lt;T_para, pos_z, NA())</f>
        <v>#N/A</v>
      </c>
      <c r="AF653" s="413"/>
      <c r="AG653" s="419" t="n">
        <f aca="false">IF(AND(L652&lt;L_rampe,Poussee&lt;Poids*SIN(M652)),0,(-W652+Poussee)/m-Poids*SIN(M652)/m)</f>
        <v>5.95595533813072</v>
      </c>
      <c r="AH653" s="418" t="n">
        <f aca="false">IF(AND(L652&lt;L_rampe,Poussee&lt;Poids*SIN(M652)), g*SIN(M652), (-W652+Poussee)/m)</f>
        <v>-3.75316042860611</v>
      </c>
    </row>
    <row r="654" customFormat="false" ht="12" hidden="false" customHeight="false" outlineLevel="0" collapsed="false">
      <c r="A654" s="417" t="n">
        <f aca="false">IF(B653+0.01&lt;=T_ini+ROUNDUP(Temps_fin_propu,0), 0.01, IF(K653&gt;0, 0.1, 0.0001))</f>
        <v>0.0001</v>
      </c>
      <c r="B654" s="418" t="n">
        <f aca="false">B653+pas</f>
        <v>16.5304999999999</v>
      </c>
      <c r="C654" s="402"/>
      <c r="D654" s="419" t="n">
        <f aca="false">IF(AND(L653&lt;L_rampe,Poussee&lt;Poids*SIN(M653)),0,(-W653+Poussee)/m*COS(M653)-U653/m*SIN(M653))</f>
        <v>-0.536872898277703</v>
      </c>
      <c r="E654" s="420" t="n">
        <f aca="false">IF(AND(L653&lt;L_rampe,Poussee&lt;Poids*SIN(M653)),0,(-W653+Poussee)/m*SIN(M653)+U653/m*COS(M653)-Poids/m)</f>
        <v>-6.0953710686866</v>
      </c>
      <c r="F654" s="418" t="n">
        <f aca="false">SQRT(acc_x^2+acc_z^2)</f>
        <v>6.11896894696212</v>
      </c>
      <c r="G654" s="419" t="n">
        <f aca="false">G653+acc_x*pas</f>
        <v>10.2708694141902</v>
      </c>
      <c r="H654" s="420" t="n">
        <f aca="false">H653+acc_z*pas</f>
        <v>-71.0652287913981</v>
      </c>
      <c r="I654" s="418" t="n">
        <f aca="false">SQRT(vit_x^2+vit_z^2)</f>
        <v>71.8036036818286</v>
      </c>
      <c r="J654" s="419" t="n">
        <f aca="false">J653+0.5*(vit_x+G653)*pas*(K653&gt;=0)</f>
        <v>211.791153319536</v>
      </c>
      <c r="K654" s="420" t="n">
        <f aca="false">K653+0.5*(vit_z+H653)*pas</f>
        <v>-6.59751331817424</v>
      </c>
      <c r="L654" s="418" t="n">
        <f aca="false">SQRT(pos_x^2+pos_z^2)</f>
        <v>211.893888081754</v>
      </c>
      <c r="M654" s="419" t="n">
        <f aca="false">IF(AND(L653&gt;L_rampe,G654&gt;0),ATAN2(G654,H654),$M$4)</f>
        <v>-1.42726285026397</v>
      </c>
      <c r="N654" s="418" t="n">
        <f aca="false">DEGREES(Beta)</f>
        <v>-81.7761375759379</v>
      </c>
      <c r="O654" s="402"/>
      <c r="P654" s="421" t="n">
        <f aca="false">MATCH(t-pas/2-T_ini,CdP_t)</f>
        <v>23</v>
      </c>
      <c r="Q654" s="418" t="n">
        <f aca="false">(INDEX(CdP,2,i_P+1)-INDEX(CdP,2,i_P+0))/(INDEX(CdP,1,i_P+1)-INDEX(CdP,1,i_P+0))*(t-pas/2-T_ini-INDEX(CdP,1,i_P+0))+INDEX(CdP,2,i_P+0)</f>
        <v>0</v>
      </c>
      <c r="R654" s="419" t="n">
        <f aca="false">Poussee/(g*ISP)</f>
        <v>0</v>
      </c>
      <c r="S654" s="420" t="n">
        <f aca="false">S653-Débit*pas</f>
        <v>1.4843</v>
      </c>
      <c r="T654" s="418" t="n">
        <f aca="false">m*g</f>
        <v>14.560983</v>
      </c>
      <c r="U654" s="422" t="n">
        <f aca="false">IF(pos_xz&lt;L_rampe,Poids*COS(Beta),0)</f>
        <v>0</v>
      </c>
      <c r="V654" s="419" t="n">
        <f aca="false">Rho_moyen*(20000-Alt_rampe-pos_z)/(20000+Alt_rampe+pos_z)</f>
        <v>1.22580846207344</v>
      </c>
      <c r="W654" s="418" t="n">
        <f aca="false">1/2*Rho*Sref*Cx*vit_xz^2</f>
        <v>5.57100878079407</v>
      </c>
      <c r="X654" s="402"/>
      <c r="Y654" s="423" t="str">
        <f aca="false">IF(AND(pos_z&lt;=0,K653&gt;0),"Impact balistique","") &amp; IF(AND(H655&lt;0,vit_z&gt;=0),"Apogée","") &amp; IF(AND(Poussee=0,Q653&gt;0),"Fin de propulsion","") &amp; IF(AND(L655&gt;L_rampe,pos_xz&lt;=L_rampe),"Sortie de rampe","")</f>
        <v/>
      </c>
      <c r="Z654" s="424" t="str">
        <f aca="false">IF(ABS(t-T_para)&lt;pas/2,"Para","")</f>
        <v/>
      </c>
      <c r="AA654" s="425" t="str">
        <f aca="false">IF(ABS(t-T_satellite)&lt;pas/2,"Satellite","")</f>
        <v/>
      </c>
      <c r="AB654" s="413"/>
      <c r="AC654" s="421" t="e">
        <f aca="false">IF(ABS(t-ROUND(t,0))&lt;0.001,t,NA())</f>
        <v>#N/A</v>
      </c>
      <c r="AD654" s="426" t="e">
        <f aca="false">IF(ABS(t-ROUND(t,0))&lt;0.001,pos_x,NA())</f>
        <v>#N/A</v>
      </c>
      <c r="AE654" s="427" t="e">
        <f aca="false">IF(t&lt;T_para, pos_z, NA())</f>
        <v>#N/A</v>
      </c>
      <c r="AF654" s="413"/>
      <c r="AG654" s="419" t="n">
        <f aca="false">IF(AND(L653&lt;L_rampe,Poussee&lt;Poids*SIN(M653)),0,(-W653+Poussee)/m-Poids*SIN(M653)/m)</f>
        <v>5.95589314874067</v>
      </c>
      <c r="AH654" s="418" t="n">
        <f aca="false">IF(AND(L653&lt;L_rampe,Poussee&lt;Poids*SIN(M653)), g*SIN(M653), (-W653+Poussee)/m)</f>
        <v>-3.75322536044075</v>
      </c>
    </row>
    <row r="655" customFormat="false" ht="12" hidden="false" customHeight="false" outlineLevel="0" collapsed="false">
      <c r="A655" s="417" t="n">
        <f aca="false">IF(B654+0.01&lt;=T_ini+ROUNDUP(Temps_fin_propu,0), 0.01, IF(K654&gt;0, 0.1, 0.0001))</f>
        <v>0.0001</v>
      </c>
      <c r="B655" s="418" t="n">
        <f aca="false">B654+pas</f>
        <v>16.5305999999999</v>
      </c>
      <c r="C655" s="402"/>
      <c r="D655" s="419" t="n">
        <f aca="false">IF(AND(L654&lt;L_rampe,Poussee&lt;Poids*SIN(M654)),0,(-W654+Poussee)/m*COS(M654)-U654/m*SIN(M654))</f>
        <v>-0.536874926725363</v>
      </c>
      <c r="E655" s="420" t="n">
        <f aca="false">IF(AND(L654&lt;L_rampe,Poussee&lt;Poids*SIN(M654)),0,(-W654+Poussee)/m*SIN(M654)+U654/m*COS(M654)-Poids/m)</f>
        <v>-6.0953057553832</v>
      </c>
      <c r="F655" s="418" t="n">
        <f aca="false">SQRT(acc_x^2+acc_z^2)</f>
        <v>6.11890406351938</v>
      </c>
      <c r="G655" s="419" t="n">
        <f aca="false">G654+acc_x*pas</f>
        <v>10.2708157266975</v>
      </c>
      <c r="H655" s="420" t="n">
        <f aca="false">H654+acc_z*pas</f>
        <v>-71.0658383219737</v>
      </c>
      <c r="I655" s="418" t="n">
        <f aca="false">SQRT(vit_x^2+vit_z^2)</f>
        <v>71.8041992650616</v>
      </c>
      <c r="J655" s="419" t="n">
        <f aca="false">J654+0.5*(vit_x+G654)*pas*(K654&gt;=0)</f>
        <v>211.791153319536</v>
      </c>
      <c r="K655" s="420" t="n">
        <f aca="false">K654+0.5*(vit_z+H654)*pas</f>
        <v>-6.60461987152991</v>
      </c>
      <c r="L655" s="418" t="n">
        <f aca="false">SQRT(pos_x^2+pos_z^2)</f>
        <v>211.894109469958</v>
      </c>
      <c r="M655" s="419" t="n">
        <f aca="false">IF(AND(L654&gt;L_rampe,G655&gt;0),ATAN2(G655,H655),$M$4)</f>
        <v>-1.42726480451401</v>
      </c>
      <c r="N655" s="418" t="n">
        <f aca="false">DEGREES(Beta)</f>
        <v>-81.7762495462175</v>
      </c>
      <c r="O655" s="402"/>
      <c r="P655" s="421" t="n">
        <f aca="false">MATCH(t-pas/2-T_ini,CdP_t)</f>
        <v>23</v>
      </c>
      <c r="Q655" s="418" t="n">
        <f aca="false">(INDEX(CdP,2,i_P+1)-INDEX(CdP,2,i_P+0))/(INDEX(CdP,1,i_P+1)-INDEX(CdP,1,i_P+0))*(t-pas/2-T_ini-INDEX(CdP,1,i_P+0))+INDEX(CdP,2,i_P+0)</f>
        <v>0</v>
      </c>
      <c r="R655" s="419" t="n">
        <f aca="false">Poussee/(g*ISP)</f>
        <v>0</v>
      </c>
      <c r="S655" s="420" t="n">
        <f aca="false">S654-Débit*pas</f>
        <v>1.4843</v>
      </c>
      <c r="T655" s="418" t="n">
        <f aca="false">m*g</f>
        <v>14.560983</v>
      </c>
      <c r="U655" s="422" t="n">
        <f aca="false">IF(pos_xz&lt;L_rampe,Poids*COS(Beta),0)</f>
        <v>0</v>
      </c>
      <c r="V655" s="419" t="n">
        <f aca="false">Rho_moyen*(20000-Alt_rampe-pos_z)/(20000+Alt_rampe+pos_z)</f>
        <v>1.22580933320117</v>
      </c>
      <c r="W655" s="418" t="n">
        <f aca="false">1/2*Rho*Sref*Cx*vit_xz^2</f>
        <v>5.57110515905565</v>
      </c>
      <c r="X655" s="402"/>
      <c r="Y655" s="423" t="str">
        <f aca="false">IF(AND(pos_z&lt;=0,K654&gt;0),"Impact balistique","") &amp; IF(AND(H656&lt;0,vit_z&gt;=0),"Apogée","") &amp; IF(AND(Poussee=0,Q654&gt;0),"Fin de propulsion","") &amp; IF(AND(L656&gt;L_rampe,pos_xz&lt;=L_rampe),"Sortie de rampe","")</f>
        <v/>
      </c>
      <c r="Z655" s="424" t="str">
        <f aca="false">IF(ABS(t-T_para)&lt;pas/2,"Para","")</f>
        <v/>
      </c>
      <c r="AA655" s="425" t="str">
        <f aca="false">IF(ABS(t-T_satellite)&lt;pas/2,"Satellite","")</f>
        <v/>
      </c>
      <c r="AB655" s="413"/>
      <c r="AC655" s="421" t="e">
        <f aca="false">IF(ABS(t-ROUND(t,0))&lt;0.001,t,NA())</f>
        <v>#N/A</v>
      </c>
      <c r="AD655" s="426" t="e">
        <f aca="false">IF(ABS(t-ROUND(t,0))&lt;0.001,pos_x,NA())</f>
        <v>#N/A</v>
      </c>
      <c r="AE655" s="427" t="e">
        <f aca="false">IF(t&lt;T_para, pos_z, NA())</f>
        <v>#N/A</v>
      </c>
      <c r="AF655" s="413"/>
      <c r="AG655" s="419" t="n">
        <f aca="false">IF(AND(L654&lt;L_rampe,Poussee&lt;Poids*SIN(M654)),0,(-W654+Poussee)/m-Poids*SIN(M654)/m)</f>
        <v>5.95583095927412</v>
      </c>
      <c r="AH655" s="418" t="n">
        <f aca="false">IF(AND(L654&lt;L_rampe,Poussee&lt;Poids*SIN(M654)), g*SIN(M654), (-W654+Poussee)/m)</f>
        <v>-3.75329029225499</v>
      </c>
    </row>
    <row r="656" customFormat="false" ht="12" hidden="false" customHeight="false" outlineLevel="0" collapsed="false">
      <c r="A656" s="417" t="n">
        <f aca="false">IF(B655+0.01&lt;=T_ini+ROUNDUP(Temps_fin_propu,0), 0.01, IF(K655&gt;0, 0.1, 0.0001))</f>
        <v>0.0001</v>
      </c>
      <c r="B656" s="418" t="n">
        <f aca="false">B655+pas</f>
        <v>16.5306999999999</v>
      </c>
      <c r="C656" s="402"/>
      <c r="D656" s="419" t="n">
        <f aca="false">IF(AND(L655&lt;L_rampe,Poussee&lt;Poids*SIN(M655)),0,(-W655+Poussee)/m*COS(M655)-U655/m*SIN(M655))</f>
        <v>-0.53687695507525</v>
      </c>
      <c r="E656" s="420" t="n">
        <f aca="false">IF(AND(L655&lt;L_rampe,Poussee&lt;Poids*SIN(M655)),0,(-W655+Poussee)/m*SIN(M655)+U655/m*COS(M655)-Poids/m)</f>
        <v>-6.09524044210078</v>
      </c>
      <c r="F656" s="418" t="n">
        <f aca="false">SQRT(acc_x^2+acc_z^2)</f>
        <v>6.11883918009877</v>
      </c>
      <c r="G656" s="419" t="n">
        <f aca="false">G655+acc_x*pas</f>
        <v>10.270762039002</v>
      </c>
      <c r="H656" s="420" t="n">
        <f aca="false">H655+acc_z*pas</f>
        <v>-71.0664478460179</v>
      </c>
      <c r="I656" s="418" t="n">
        <f aca="false">SQRT(vit_x^2+vit_z^2)</f>
        <v>71.8047948420757</v>
      </c>
      <c r="J656" s="419" t="n">
        <f aca="false">J655+0.5*(vit_x+G655)*pas*(K655&gt;=0)</f>
        <v>211.791153319536</v>
      </c>
      <c r="K656" s="420" t="n">
        <f aca="false">K655+0.5*(vit_z+H655)*pas</f>
        <v>-6.61172648583831</v>
      </c>
      <c r="L656" s="418" t="n">
        <f aca="false">SQRT(pos_x^2+pos_z^2)</f>
        <v>211.894331098175</v>
      </c>
      <c r="M656" s="419" t="n">
        <f aca="false">IF(AND(L655&gt;L_rampe,G656&gt;0),ATAN2(G656,H656),$M$4)</f>
        <v>-1.42726675872142</v>
      </c>
      <c r="N656" s="418" t="n">
        <f aca="false">DEGREES(Beta)</f>
        <v>-81.7763615140543</v>
      </c>
      <c r="O656" s="402"/>
      <c r="P656" s="421" t="n">
        <f aca="false">MATCH(t-pas/2-T_ini,CdP_t)</f>
        <v>23</v>
      </c>
      <c r="Q656" s="418" t="n">
        <f aca="false">(INDEX(CdP,2,i_P+1)-INDEX(CdP,2,i_P+0))/(INDEX(CdP,1,i_P+1)-INDEX(CdP,1,i_P+0))*(t-pas/2-T_ini-INDEX(CdP,1,i_P+0))+INDEX(CdP,2,i_P+0)</f>
        <v>0</v>
      </c>
      <c r="R656" s="419" t="n">
        <f aca="false">Poussee/(g*ISP)</f>
        <v>0</v>
      </c>
      <c r="S656" s="420" t="n">
        <f aca="false">S655-Débit*pas</f>
        <v>1.4843</v>
      </c>
      <c r="T656" s="418" t="n">
        <f aca="false">m*g</f>
        <v>14.560983</v>
      </c>
      <c r="U656" s="422" t="n">
        <f aca="false">IF(pos_xz&lt;L_rampe,Poids*COS(Beta),0)</f>
        <v>0</v>
      </c>
      <c r="V656" s="419" t="n">
        <f aca="false">Rho_moyen*(20000-Alt_rampe-pos_z)/(20000+Alt_rampe+pos_z)</f>
        <v>1.22581020433699</v>
      </c>
      <c r="W656" s="418" t="n">
        <f aca="false">1/2*Rho*Sref*Cx*vit_xz^2</f>
        <v>5.57120153728689</v>
      </c>
      <c r="X656" s="402"/>
      <c r="Y656" s="423" t="str">
        <f aca="false">IF(AND(pos_z&lt;=0,K655&gt;0),"Impact balistique","") &amp; IF(AND(H657&lt;0,vit_z&gt;=0),"Apogée","") &amp; IF(AND(Poussee=0,Q655&gt;0),"Fin de propulsion","") &amp; IF(AND(L657&gt;L_rampe,pos_xz&lt;=L_rampe),"Sortie de rampe","")</f>
        <v/>
      </c>
      <c r="Z656" s="424" t="str">
        <f aca="false">IF(ABS(t-T_para)&lt;pas/2,"Para","")</f>
        <v/>
      </c>
      <c r="AA656" s="425" t="str">
        <f aca="false">IF(ABS(t-T_satellite)&lt;pas/2,"Satellite","")</f>
        <v/>
      </c>
      <c r="AB656" s="413"/>
      <c r="AC656" s="421" t="e">
        <f aca="false">IF(ABS(t-ROUND(t,0))&lt;0.001,t,NA())</f>
        <v>#N/A</v>
      </c>
      <c r="AD656" s="426" t="e">
        <f aca="false">IF(ABS(t-ROUND(t,0))&lt;0.001,pos_x,NA())</f>
        <v>#N/A</v>
      </c>
      <c r="AE656" s="427" t="e">
        <f aca="false">IF(t&lt;T_para, pos_z, NA())</f>
        <v>#N/A</v>
      </c>
      <c r="AF656" s="413"/>
      <c r="AG656" s="419" t="n">
        <f aca="false">IF(AND(L655&lt;L_rampe,Poussee&lt;Poids*SIN(M655)),0,(-W655+Poussee)/m-Poids*SIN(M655)/m)</f>
        <v>5.95576876973107</v>
      </c>
      <c r="AH656" s="418" t="n">
        <f aca="false">IF(AND(L655&lt;L_rampe,Poussee&lt;Poids*SIN(M655)), g*SIN(M655), (-W655+Poussee)/m)</f>
        <v>-3.75335522404881</v>
      </c>
    </row>
    <row r="657" customFormat="false" ht="12" hidden="false" customHeight="false" outlineLevel="0" collapsed="false">
      <c r="A657" s="417" t="n">
        <f aca="false">IF(B656+0.01&lt;=T_ini+ROUNDUP(Temps_fin_propu,0), 0.01, IF(K656&gt;0, 0.1, 0.0001))</f>
        <v>0.0001</v>
      </c>
      <c r="B657" s="418" t="n">
        <f aca="false">B656+pas</f>
        <v>16.5307999999999</v>
      </c>
      <c r="C657" s="402"/>
      <c r="D657" s="419" t="n">
        <f aca="false">IF(AND(L656&lt;L_rampe,Poussee&lt;Poids*SIN(M656)),0,(-W656+Poussee)/m*COS(M656)-U656/m*SIN(M656))</f>
        <v>-0.536878983327366</v>
      </c>
      <c r="E657" s="420" t="n">
        <f aca="false">IF(AND(L656&lt;L_rampe,Poussee&lt;Poids*SIN(M656)),0,(-W656+Poussee)/m*SIN(M656)+U656/m*COS(M656)-Poids/m)</f>
        <v>-6.09517512883935</v>
      </c>
      <c r="F657" s="418" t="n">
        <f aca="false">SQRT(acc_x^2+acc_z^2)</f>
        <v>6.11877429670031</v>
      </c>
      <c r="G657" s="419" t="n">
        <f aca="false">G656+acc_x*pas</f>
        <v>10.2707083511037</v>
      </c>
      <c r="H657" s="420" t="n">
        <f aca="false">H656+acc_z*pas</f>
        <v>-71.0670573635308</v>
      </c>
      <c r="I657" s="418" t="n">
        <f aca="false">SQRT(vit_x^2+vit_z^2)</f>
        <v>71.8053904128708</v>
      </c>
      <c r="J657" s="419" t="n">
        <f aca="false">J656+0.5*(vit_x+G656)*pas*(K656&gt;=0)</f>
        <v>211.791153319536</v>
      </c>
      <c r="K657" s="420" t="n">
        <f aca="false">K656+0.5*(vit_z+H656)*pas</f>
        <v>-6.61883316109879</v>
      </c>
      <c r="L657" s="418" t="n">
        <f aca="false">SQRT(pos_x^2+pos_z^2)</f>
        <v>211.894552966408</v>
      </c>
      <c r="M657" s="419" t="n">
        <f aca="false">IF(AND(L656&gt;L_rampe,G657&gt;0),ATAN2(G657,H657),$M$4)</f>
        <v>-1.4272687128862</v>
      </c>
      <c r="N657" s="418" t="n">
        <f aca="false">DEGREES(Beta)</f>
        <v>-81.7764734794486</v>
      </c>
      <c r="O657" s="402"/>
      <c r="P657" s="421" t="n">
        <f aca="false">MATCH(t-pas/2-T_ini,CdP_t)</f>
        <v>23</v>
      </c>
      <c r="Q657" s="418" t="n">
        <f aca="false">(INDEX(CdP,2,i_P+1)-INDEX(CdP,2,i_P+0))/(INDEX(CdP,1,i_P+1)-INDEX(CdP,1,i_P+0))*(t-pas/2-T_ini-INDEX(CdP,1,i_P+0))+INDEX(CdP,2,i_P+0)</f>
        <v>0</v>
      </c>
      <c r="R657" s="419" t="n">
        <f aca="false">Poussee/(g*ISP)</f>
        <v>0</v>
      </c>
      <c r="S657" s="420" t="n">
        <f aca="false">S656-Débit*pas</f>
        <v>1.4843</v>
      </c>
      <c r="T657" s="418" t="n">
        <f aca="false">m*g</f>
        <v>14.560983</v>
      </c>
      <c r="U657" s="422" t="n">
        <f aca="false">IF(pos_xz&lt;L_rampe,Poids*COS(Beta),0)</f>
        <v>0</v>
      </c>
      <c r="V657" s="419" t="n">
        <f aca="false">Rho_moyen*(20000-Alt_rampe-pos_z)/(20000+Alt_rampe+pos_z)</f>
        <v>1.2258110754809</v>
      </c>
      <c r="W657" s="418" t="n">
        <f aca="false">1/2*Rho*Sref*Cx*vit_xz^2</f>
        <v>5.57129791548778</v>
      </c>
      <c r="X657" s="402"/>
      <c r="Y657" s="423" t="str">
        <f aca="false">IF(AND(pos_z&lt;=0,K656&gt;0),"Impact balistique","") &amp; IF(AND(H658&lt;0,vit_z&gt;=0),"Apogée","") &amp; IF(AND(Poussee=0,Q656&gt;0),"Fin de propulsion","") &amp; IF(AND(L658&gt;L_rampe,pos_xz&lt;=L_rampe),"Sortie de rampe","")</f>
        <v/>
      </c>
      <c r="Z657" s="424" t="str">
        <f aca="false">IF(ABS(t-T_para)&lt;pas/2,"Para","")</f>
        <v/>
      </c>
      <c r="AA657" s="425" t="str">
        <f aca="false">IF(ABS(t-T_satellite)&lt;pas/2,"Satellite","")</f>
        <v/>
      </c>
      <c r="AB657" s="413"/>
      <c r="AC657" s="421" t="e">
        <f aca="false">IF(ABS(t-ROUND(t,0))&lt;0.001,t,NA())</f>
        <v>#N/A</v>
      </c>
      <c r="AD657" s="426" t="e">
        <f aca="false">IF(ABS(t-ROUND(t,0))&lt;0.001,pos_x,NA())</f>
        <v>#N/A</v>
      </c>
      <c r="AE657" s="427" t="e">
        <f aca="false">IF(t&lt;T_para, pos_z, NA())</f>
        <v>#N/A</v>
      </c>
      <c r="AF657" s="413"/>
      <c r="AG657" s="419" t="n">
        <f aca="false">IF(AND(L656&lt;L_rampe,Poussee&lt;Poids*SIN(M656)),0,(-W656+Poussee)/m-Poids*SIN(M656)/m)</f>
        <v>5.95570658011155</v>
      </c>
      <c r="AH657" s="418" t="n">
        <f aca="false">IF(AND(L656&lt;L_rampe,Poussee&lt;Poids*SIN(M656)), g*SIN(M656), (-W656+Poussee)/m)</f>
        <v>-3.7534201558222</v>
      </c>
    </row>
    <row r="658" customFormat="false" ht="12" hidden="false" customHeight="false" outlineLevel="0" collapsed="false">
      <c r="A658" s="417" t="n">
        <f aca="false">IF(B657+0.01&lt;=T_ini+ROUNDUP(Temps_fin_propu,0), 0.01, IF(K657&gt;0, 0.1, 0.0001))</f>
        <v>0.0001</v>
      </c>
      <c r="B658" s="418" t="n">
        <f aca="false">B657+pas</f>
        <v>16.5308999999999</v>
      </c>
      <c r="C658" s="402"/>
      <c r="D658" s="419" t="n">
        <f aca="false">IF(AND(L657&lt;L_rampe,Poussee&lt;Poids*SIN(M657)),0,(-W657+Poussee)/m*COS(M657)-U657/m*SIN(M657))</f>
        <v>-0.53688101148171</v>
      </c>
      <c r="E658" s="420" t="n">
        <f aca="false">IF(AND(L657&lt;L_rampe,Poussee&lt;Poids*SIN(M657)),0,(-W657+Poussee)/m*SIN(M657)+U657/m*COS(M657)-Poids/m)</f>
        <v>-6.09510981559894</v>
      </c>
      <c r="F658" s="418" t="n">
        <f aca="false">SQRT(acc_x^2+acc_z^2)</f>
        <v>6.11870941332403</v>
      </c>
      <c r="G658" s="419" t="n">
        <f aca="false">G657+acc_x*pas</f>
        <v>10.2706546630025</v>
      </c>
      <c r="H658" s="420" t="n">
        <f aca="false">H657+acc_z*pas</f>
        <v>-71.0676668745123</v>
      </c>
      <c r="I658" s="418" t="n">
        <f aca="false">SQRT(vit_x^2+vit_z^2)</f>
        <v>71.805985977447</v>
      </c>
      <c r="J658" s="419" t="n">
        <f aca="false">J657+0.5*(vit_x+G657)*pas*(K657&gt;=0)</f>
        <v>211.791153319536</v>
      </c>
      <c r="K658" s="420" t="n">
        <f aca="false">K657+0.5*(vit_z+H657)*pas</f>
        <v>-6.62593989731069</v>
      </c>
      <c r="L658" s="418" t="n">
        <f aca="false">SQRT(pos_x^2+pos_z^2)</f>
        <v>211.894775074663</v>
      </c>
      <c r="M658" s="419" t="n">
        <f aca="false">IF(AND(L657&gt;L_rampe,G658&gt;0),ATAN2(G658,H658),$M$4)</f>
        <v>-1.42727066700835</v>
      </c>
      <c r="N658" s="418" t="n">
        <f aca="false">DEGREES(Beta)</f>
        <v>-81.7765854424002</v>
      </c>
      <c r="O658" s="402"/>
      <c r="P658" s="421" t="n">
        <f aca="false">MATCH(t-pas/2-T_ini,CdP_t)</f>
        <v>23</v>
      </c>
      <c r="Q658" s="418" t="n">
        <f aca="false">(INDEX(CdP,2,i_P+1)-INDEX(CdP,2,i_P+0))/(INDEX(CdP,1,i_P+1)-INDEX(CdP,1,i_P+0))*(t-pas/2-T_ini-INDEX(CdP,1,i_P+0))+INDEX(CdP,2,i_P+0)</f>
        <v>0</v>
      </c>
      <c r="R658" s="419" t="n">
        <f aca="false">Poussee/(g*ISP)</f>
        <v>0</v>
      </c>
      <c r="S658" s="420" t="n">
        <f aca="false">S657-Débit*pas</f>
        <v>1.4843</v>
      </c>
      <c r="T658" s="418" t="n">
        <f aca="false">m*g</f>
        <v>14.560983</v>
      </c>
      <c r="U658" s="422" t="n">
        <f aca="false">IF(pos_xz&lt;L_rampe,Poids*COS(Beta),0)</f>
        <v>0</v>
      </c>
      <c r="V658" s="419" t="n">
        <f aca="false">Rho_moyen*(20000-Alt_rampe-pos_z)/(20000+Alt_rampe+pos_z)</f>
        <v>1.2258119466329</v>
      </c>
      <c r="W658" s="418" t="n">
        <f aca="false">1/2*Rho*Sref*Cx*vit_xz^2</f>
        <v>5.5713942936583</v>
      </c>
      <c r="X658" s="402"/>
      <c r="Y658" s="423" t="str">
        <f aca="false">IF(AND(pos_z&lt;=0,K657&gt;0),"Impact balistique","") &amp; IF(AND(H659&lt;0,vit_z&gt;=0),"Apogée","") &amp; IF(AND(Poussee=0,Q657&gt;0),"Fin de propulsion","") &amp; IF(AND(L659&gt;L_rampe,pos_xz&lt;=L_rampe),"Sortie de rampe","")</f>
        <v/>
      </c>
      <c r="Z658" s="424" t="str">
        <f aca="false">IF(ABS(t-T_para)&lt;pas/2,"Para","")</f>
        <v/>
      </c>
      <c r="AA658" s="425" t="str">
        <f aca="false">IF(ABS(t-T_satellite)&lt;pas/2,"Satellite","")</f>
        <v/>
      </c>
      <c r="AB658" s="413"/>
      <c r="AC658" s="421" t="e">
        <f aca="false">IF(ABS(t-ROUND(t,0))&lt;0.001,t,NA())</f>
        <v>#N/A</v>
      </c>
      <c r="AD658" s="426" t="e">
        <f aca="false">IF(ABS(t-ROUND(t,0))&lt;0.001,pos_x,NA())</f>
        <v>#N/A</v>
      </c>
      <c r="AE658" s="427" t="e">
        <f aca="false">IF(t&lt;T_para, pos_z, NA())</f>
        <v>#N/A</v>
      </c>
      <c r="AF658" s="413"/>
      <c r="AG658" s="419" t="n">
        <f aca="false">IF(AND(L657&lt;L_rampe,Poussee&lt;Poids*SIN(M657)),0,(-W657+Poussee)/m-Poids*SIN(M657)/m)</f>
        <v>5.95564439041558</v>
      </c>
      <c r="AH658" s="418" t="n">
        <f aca="false">IF(AND(L657&lt;L_rampe,Poussee&lt;Poids*SIN(M657)), g*SIN(M657), (-W657+Poussee)/m)</f>
        <v>-3.75348508757515</v>
      </c>
    </row>
    <row r="659" customFormat="false" ht="12" hidden="false" customHeight="false" outlineLevel="0" collapsed="false">
      <c r="A659" s="417" t="n">
        <f aca="false">IF(B658+0.01&lt;=T_ini+ROUNDUP(Temps_fin_propu,0), 0.01, IF(K658&gt;0, 0.1, 0.0001))</f>
        <v>0.0001</v>
      </c>
      <c r="B659" s="418" t="n">
        <f aca="false">B658+pas</f>
        <v>16.5309999999999</v>
      </c>
      <c r="C659" s="402"/>
      <c r="D659" s="419" t="n">
        <f aca="false">IF(AND(L658&lt;L_rampe,Poussee&lt;Poids*SIN(M658)),0,(-W658+Poussee)/m*COS(M658)-U658/m*SIN(M658))</f>
        <v>-0.536883039538283</v>
      </c>
      <c r="E659" s="420" t="n">
        <f aca="false">IF(AND(L658&lt;L_rampe,Poussee&lt;Poids*SIN(M658)),0,(-W658+Poussee)/m*SIN(M658)+U658/m*COS(M658)-Poids/m)</f>
        <v>-6.09504450237955</v>
      </c>
      <c r="F659" s="418" t="n">
        <f aca="false">SQRT(acc_x^2+acc_z^2)</f>
        <v>6.11864452996994</v>
      </c>
      <c r="G659" s="419" t="n">
        <f aca="false">G658+acc_x*pas</f>
        <v>10.2706009746986</v>
      </c>
      <c r="H659" s="420" t="n">
        <f aca="false">H658+acc_z*pas</f>
        <v>-71.0682763789626</v>
      </c>
      <c r="I659" s="418" t="n">
        <f aca="false">SQRT(vit_x^2+vit_z^2)</f>
        <v>71.8065815358041</v>
      </c>
      <c r="J659" s="419" t="n">
        <f aca="false">J658+0.5*(vit_x+G658)*pas*(K658&gt;=0)</f>
        <v>211.791153319536</v>
      </c>
      <c r="K659" s="420" t="n">
        <f aca="false">K658+0.5*(vit_z+H658)*pas</f>
        <v>-6.63304669447336</v>
      </c>
      <c r="L659" s="418" t="n">
        <f aca="false">SQRT(pos_x^2+pos_z^2)</f>
        <v>211.894997422946</v>
      </c>
      <c r="M659" s="419" t="n">
        <f aca="false">IF(AND(L658&gt;L_rampe,G659&gt;0),ATAN2(G659,H659),$M$4)</f>
        <v>-1.42727262108786</v>
      </c>
      <c r="N659" s="418" t="n">
        <f aca="false">DEGREES(Beta)</f>
        <v>-81.7766974029094</v>
      </c>
      <c r="O659" s="402"/>
      <c r="P659" s="421" t="n">
        <f aca="false">MATCH(t-pas/2-T_ini,CdP_t)</f>
        <v>23</v>
      </c>
      <c r="Q659" s="418" t="n">
        <f aca="false">(INDEX(CdP,2,i_P+1)-INDEX(CdP,2,i_P+0))/(INDEX(CdP,1,i_P+1)-INDEX(CdP,1,i_P+0))*(t-pas/2-T_ini-INDEX(CdP,1,i_P+0))+INDEX(CdP,2,i_P+0)</f>
        <v>0</v>
      </c>
      <c r="R659" s="419" t="n">
        <f aca="false">Poussee/(g*ISP)</f>
        <v>0</v>
      </c>
      <c r="S659" s="420" t="n">
        <f aca="false">S658-Débit*pas</f>
        <v>1.4843</v>
      </c>
      <c r="T659" s="418" t="n">
        <f aca="false">m*g</f>
        <v>14.560983</v>
      </c>
      <c r="U659" s="422" t="n">
        <f aca="false">IF(pos_xz&lt;L_rampe,Poids*COS(Beta),0)</f>
        <v>0</v>
      </c>
      <c r="V659" s="419" t="n">
        <f aca="false">Rho_moyen*(20000-Alt_rampe-pos_z)/(20000+Alt_rampe+pos_z)</f>
        <v>1.22581281779299</v>
      </c>
      <c r="W659" s="418" t="n">
        <f aca="false">1/2*Rho*Sref*Cx*vit_xz^2</f>
        <v>5.57149067179842</v>
      </c>
      <c r="X659" s="402"/>
      <c r="Y659" s="423" t="str">
        <f aca="false">IF(AND(pos_z&lt;=0,K658&gt;0),"Impact balistique","") &amp; IF(AND(H660&lt;0,vit_z&gt;=0),"Apogée","") &amp; IF(AND(Poussee=0,Q658&gt;0),"Fin de propulsion","") &amp; IF(AND(L660&gt;L_rampe,pos_xz&lt;=L_rampe),"Sortie de rampe","")</f>
        <v/>
      </c>
      <c r="Z659" s="424" t="str">
        <f aca="false">IF(ABS(t-T_para)&lt;pas/2,"Para","")</f>
        <v/>
      </c>
      <c r="AA659" s="425" t="str">
        <f aca="false">IF(ABS(t-T_satellite)&lt;pas/2,"Satellite","")</f>
        <v/>
      </c>
      <c r="AB659" s="413"/>
      <c r="AC659" s="421" t="e">
        <f aca="false">IF(ABS(t-ROUND(t,0))&lt;0.001,t,NA())</f>
        <v>#N/A</v>
      </c>
      <c r="AD659" s="426" t="e">
        <f aca="false">IF(ABS(t-ROUND(t,0))&lt;0.001,pos_x,NA())</f>
        <v>#N/A</v>
      </c>
      <c r="AE659" s="427" t="e">
        <f aca="false">IF(t&lt;T_para, pos_z, NA())</f>
        <v>#N/A</v>
      </c>
      <c r="AF659" s="413"/>
      <c r="AG659" s="419" t="n">
        <f aca="false">IF(AND(L658&lt;L_rampe,Poussee&lt;Poids*SIN(M658)),0,(-W658+Poussee)/m-Poids*SIN(M658)/m)</f>
        <v>5.95558220064318</v>
      </c>
      <c r="AH659" s="418" t="n">
        <f aca="false">IF(AND(L658&lt;L_rampe,Poussee&lt;Poids*SIN(M658)), g*SIN(M658), (-W658+Poussee)/m)</f>
        <v>-3.75355001930763</v>
      </c>
    </row>
    <row r="660" customFormat="false" ht="12" hidden="false" customHeight="false" outlineLevel="0" collapsed="false">
      <c r="A660" s="417" t="n">
        <f aca="false">IF(B659+0.01&lt;=T_ini+ROUNDUP(Temps_fin_propu,0), 0.01, IF(K659&gt;0, 0.1, 0.0001))</f>
        <v>0.0001</v>
      </c>
      <c r="B660" s="418" t="n">
        <f aca="false">B659+pas</f>
        <v>16.5310999999999</v>
      </c>
      <c r="C660" s="402"/>
      <c r="D660" s="419" t="n">
        <f aca="false">IF(AND(L659&lt;L_rampe,Poussee&lt;Poids*SIN(M659)),0,(-W659+Poussee)/m*COS(M659)-U659/m*SIN(M659))</f>
        <v>-0.536885067497087</v>
      </c>
      <c r="E660" s="420" t="n">
        <f aca="false">IF(AND(L659&lt;L_rampe,Poussee&lt;Poids*SIN(M659)),0,(-W659+Poussee)/m*SIN(M659)+U659/m*COS(M659)-Poids/m)</f>
        <v>-6.09497918918121</v>
      </c>
      <c r="F660" s="418" t="n">
        <f aca="false">SQRT(acc_x^2+acc_z^2)</f>
        <v>6.11857964663805</v>
      </c>
      <c r="G660" s="419" t="n">
        <f aca="false">G659+acc_x*pas</f>
        <v>10.2705472861918</v>
      </c>
      <c r="H660" s="420" t="n">
        <f aca="false">H659+acc_z*pas</f>
        <v>-71.0688858768815</v>
      </c>
      <c r="I660" s="418" t="n">
        <f aca="false">SQRT(vit_x^2+vit_z^2)</f>
        <v>71.8071770879423</v>
      </c>
      <c r="J660" s="419" t="n">
        <f aca="false">J659+0.5*(vit_x+G659)*pas*(K659&gt;=0)</f>
        <v>211.791153319536</v>
      </c>
      <c r="K660" s="420" t="n">
        <f aca="false">K659+0.5*(vit_z+H659)*pas</f>
        <v>-6.64015355258615</v>
      </c>
      <c r="L660" s="418" t="n">
        <f aca="false">SQRT(pos_x^2+pos_z^2)</f>
        <v>211.895220011262</v>
      </c>
      <c r="M660" s="419" t="n">
        <f aca="false">IF(AND(L659&gt;L_rampe,G660&gt;0),ATAN2(G660,H660),$M$4)</f>
        <v>-1.42727457512475</v>
      </c>
      <c r="N660" s="418" t="n">
        <f aca="false">DEGREES(Beta)</f>
        <v>-81.7768093609761</v>
      </c>
      <c r="O660" s="402"/>
      <c r="P660" s="421" t="n">
        <f aca="false">MATCH(t-pas/2-T_ini,CdP_t)</f>
        <v>23</v>
      </c>
      <c r="Q660" s="418" t="n">
        <f aca="false">(INDEX(CdP,2,i_P+1)-INDEX(CdP,2,i_P+0))/(INDEX(CdP,1,i_P+1)-INDEX(CdP,1,i_P+0))*(t-pas/2-T_ini-INDEX(CdP,1,i_P+0))+INDEX(CdP,2,i_P+0)</f>
        <v>0</v>
      </c>
      <c r="R660" s="419" t="n">
        <f aca="false">Poussee/(g*ISP)</f>
        <v>0</v>
      </c>
      <c r="S660" s="420" t="n">
        <f aca="false">S659-Débit*pas</f>
        <v>1.4843</v>
      </c>
      <c r="T660" s="418" t="n">
        <f aca="false">m*g</f>
        <v>14.560983</v>
      </c>
      <c r="U660" s="422" t="n">
        <f aca="false">IF(pos_xz&lt;L_rampe,Poids*COS(Beta),0)</f>
        <v>0</v>
      </c>
      <c r="V660" s="419" t="n">
        <f aca="false">Rho_moyen*(20000-Alt_rampe-pos_z)/(20000+Alt_rampe+pos_z)</f>
        <v>1.22581368896117</v>
      </c>
      <c r="W660" s="418" t="n">
        <f aca="false">1/2*Rho*Sref*Cx*vit_xz^2</f>
        <v>5.57158704990811</v>
      </c>
      <c r="X660" s="402"/>
      <c r="Y660" s="423" t="str">
        <f aca="false">IF(AND(pos_z&lt;=0,K659&gt;0),"Impact balistique","") &amp; IF(AND(H661&lt;0,vit_z&gt;=0),"Apogée","") &amp; IF(AND(Poussee=0,Q659&gt;0),"Fin de propulsion","") &amp; IF(AND(L661&gt;L_rampe,pos_xz&lt;=L_rampe),"Sortie de rampe","")</f>
        <v/>
      </c>
      <c r="Z660" s="424" t="str">
        <f aca="false">IF(ABS(t-T_para)&lt;pas/2,"Para","")</f>
        <v/>
      </c>
      <c r="AA660" s="425" t="str">
        <f aca="false">IF(ABS(t-T_satellite)&lt;pas/2,"Satellite","")</f>
        <v/>
      </c>
      <c r="AB660" s="413"/>
      <c r="AC660" s="421" t="e">
        <f aca="false">IF(ABS(t-ROUND(t,0))&lt;0.001,t,NA())</f>
        <v>#N/A</v>
      </c>
      <c r="AD660" s="426" t="e">
        <f aca="false">IF(ABS(t-ROUND(t,0))&lt;0.001,pos_x,NA())</f>
        <v>#N/A</v>
      </c>
      <c r="AE660" s="427" t="e">
        <f aca="false">IF(t&lt;T_para, pos_z, NA())</f>
        <v>#N/A</v>
      </c>
      <c r="AF660" s="413"/>
      <c r="AG660" s="419" t="n">
        <f aca="false">IF(AND(L659&lt;L_rampe,Poussee&lt;Poids*SIN(M659)),0,(-W659+Poussee)/m-Poids*SIN(M659)/m)</f>
        <v>5.95552001079437</v>
      </c>
      <c r="AH660" s="418" t="n">
        <f aca="false">IF(AND(L659&lt;L_rampe,Poussee&lt;Poids*SIN(M659)), g*SIN(M659), (-W659+Poussee)/m)</f>
        <v>-3.75361495101962</v>
      </c>
    </row>
    <row r="661" customFormat="false" ht="12" hidden="false" customHeight="false" outlineLevel="0" collapsed="false">
      <c r="A661" s="417" t="n">
        <f aca="false">IF(B660+0.01&lt;=T_ini+ROUNDUP(Temps_fin_propu,0), 0.01, IF(K660&gt;0, 0.1, 0.0001))</f>
        <v>0.0001</v>
      </c>
      <c r="B661" s="418" t="n">
        <f aca="false">B660+pas</f>
        <v>16.5311999999999</v>
      </c>
      <c r="C661" s="402"/>
      <c r="D661" s="419" t="n">
        <f aca="false">IF(AND(L660&lt;L_rampe,Poussee&lt;Poids*SIN(M660)),0,(-W660+Poussee)/m*COS(M660)-U660/m*SIN(M660))</f>
        <v>-0.536887095358121</v>
      </c>
      <c r="E661" s="420" t="n">
        <f aca="false">IF(AND(L660&lt;L_rampe,Poussee&lt;Poids*SIN(M660)),0,(-W660+Poussee)/m*SIN(M660)+U660/m*COS(M660)-Poids/m)</f>
        <v>-6.09491387600393</v>
      </c>
      <c r="F661" s="418" t="n">
        <f aca="false">SQRT(acc_x^2+acc_z^2)</f>
        <v>6.11851476332838</v>
      </c>
      <c r="G661" s="419" t="n">
        <f aca="false">G660+acc_x*pas</f>
        <v>10.2704935974823</v>
      </c>
      <c r="H661" s="420" t="n">
        <f aca="false">H660+acc_z*pas</f>
        <v>-71.0694953682691</v>
      </c>
      <c r="I661" s="418" t="n">
        <f aca="false">SQRT(vit_x^2+vit_z^2)</f>
        <v>71.8077726338615</v>
      </c>
      <c r="J661" s="419" t="n">
        <f aca="false">J660+0.5*(vit_x+G660)*pas*(K660&gt;=0)</f>
        <v>211.791153319536</v>
      </c>
      <c r="K661" s="420" t="n">
        <f aca="false">K660+0.5*(vit_z+H660)*pas</f>
        <v>-6.64726047164841</v>
      </c>
      <c r="L661" s="418" t="n">
        <f aca="false">SQRT(pos_x^2+pos_z^2)</f>
        <v>211.895442839617</v>
      </c>
      <c r="M661" s="419" t="n">
        <f aca="false">IF(AND(L660&gt;L_rampe,G661&gt;0),ATAN2(G661,H661),$M$4)</f>
        <v>-1.42727652911902</v>
      </c>
      <c r="N661" s="418" t="n">
        <f aca="false">DEGREES(Beta)</f>
        <v>-81.7769213166005</v>
      </c>
      <c r="O661" s="402"/>
      <c r="P661" s="421" t="n">
        <f aca="false">MATCH(t-pas/2-T_ini,CdP_t)</f>
        <v>23</v>
      </c>
      <c r="Q661" s="418" t="n">
        <f aca="false">(INDEX(CdP,2,i_P+1)-INDEX(CdP,2,i_P+0))/(INDEX(CdP,1,i_P+1)-INDEX(CdP,1,i_P+0))*(t-pas/2-T_ini-INDEX(CdP,1,i_P+0))+INDEX(CdP,2,i_P+0)</f>
        <v>0</v>
      </c>
      <c r="R661" s="419" t="n">
        <f aca="false">Poussee/(g*ISP)</f>
        <v>0</v>
      </c>
      <c r="S661" s="420" t="n">
        <f aca="false">S660-Débit*pas</f>
        <v>1.4843</v>
      </c>
      <c r="T661" s="418" t="n">
        <f aca="false">m*g</f>
        <v>14.560983</v>
      </c>
      <c r="U661" s="422" t="n">
        <f aca="false">IF(pos_xz&lt;L_rampe,Poids*COS(Beta),0)</f>
        <v>0</v>
      </c>
      <c r="V661" s="419" t="n">
        <f aca="false">Rho_moyen*(20000-Alt_rampe-pos_z)/(20000+Alt_rampe+pos_z)</f>
        <v>1.22581456013745</v>
      </c>
      <c r="W661" s="418" t="n">
        <f aca="false">1/2*Rho*Sref*Cx*vit_xz^2</f>
        <v>5.57168342798736</v>
      </c>
      <c r="X661" s="402"/>
      <c r="Y661" s="423" t="str">
        <f aca="false">IF(AND(pos_z&lt;=0,K660&gt;0),"Impact balistique","") &amp; IF(AND(H662&lt;0,vit_z&gt;=0),"Apogée","") &amp; IF(AND(Poussee=0,Q660&gt;0),"Fin de propulsion","") &amp; IF(AND(L662&gt;L_rampe,pos_xz&lt;=L_rampe),"Sortie de rampe","")</f>
        <v/>
      </c>
      <c r="Z661" s="424" t="str">
        <f aca="false">IF(ABS(t-T_para)&lt;pas/2,"Para","")</f>
        <v/>
      </c>
      <c r="AA661" s="425" t="str">
        <f aca="false">IF(ABS(t-T_satellite)&lt;pas/2,"Satellite","")</f>
        <v/>
      </c>
      <c r="AB661" s="413"/>
      <c r="AC661" s="421" t="e">
        <f aca="false">IF(ABS(t-ROUND(t,0))&lt;0.001,t,NA())</f>
        <v>#N/A</v>
      </c>
      <c r="AD661" s="426" t="e">
        <f aca="false">IF(ABS(t-ROUND(t,0))&lt;0.001,pos_x,NA())</f>
        <v>#N/A</v>
      </c>
      <c r="AE661" s="427" t="e">
        <f aca="false">IF(t&lt;T_para, pos_z, NA())</f>
        <v>#N/A</v>
      </c>
      <c r="AF661" s="413"/>
      <c r="AG661" s="419" t="n">
        <f aca="false">IF(AND(L660&lt;L_rampe,Poussee&lt;Poids*SIN(M660)),0,(-W660+Poussee)/m-Poids*SIN(M660)/m)</f>
        <v>5.95545782086917</v>
      </c>
      <c r="AH661" s="418" t="n">
        <f aca="false">IF(AND(L660&lt;L_rampe,Poussee&lt;Poids*SIN(M660)), g*SIN(M660), (-W660+Poussee)/m)</f>
        <v>-3.75367988271112</v>
      </c>
    </row>
    <row r="662" customFormat="false" ht="12" hidden="false" customHeight="false" outlineLevel="0" collapsed="false">
      <c r="A662" s="417" t="n">
        <f aca="false">IF(B661+0.01&lt;=T_ini+ROUNDUP(Temps_fin_propu,0), 0.01, IF(K661&gt;0, 0.1, 0.0001))</f>
        <v>0.0001</v>
      </c>
      <c r="B662" s="418" t="n">
        <f aca="false">B661+pas</f>
        <v>16.5312999999999</v>
      </c>
      <c r="C662" s="402"/>
      <c r="D662" s="419" t="n">
        <f aca="false">IF(AND(L661&lt;L_rampe,Poussee&lt;Poids*SIN(M661)),0,(-W661+Poussee)/m*COS(M661)-U661/m*SIN(M661))</f>
        <v>-0.536889123121387</v>
      </c>
      <c r="E662" s="420" t="n">
        <f aca="false">IF(AND(L661&lt;L_rampe,Poussee&lt;Poids*SIN(M661)),0,(-W661+Poussee)/m*SIN(M661)+U661/m*COS(M661)-Poids/m)</f>
        <v>-6.09484856284774</v>
      </c>
      <c r="F662" s="418" t="n">
        <f aca="false">SQRT(acc_x^2+acc_z^2)</f>
        <v>6.11844988004096</v>
      </c>
      <c r="G662" s="419" t="n">
        <f aca="false">G661+acc_x*pas</f>
        <v>10.27043990857</v>
      </c>
      <c r="H662" s="420" t="n">
        <f aca="false">H661+acc_z*pas</f>
        <v>-71.0701048531254</v>
      </c>
      <c r="I662" s="418" t="n">
        <f aca="false">SQRT(vit_x^2+vit_z^2)</f>
        <v>71.8083681735616</v>
      </c>
      <c r="J662" s="419" t="n">
        <f aca="false">J661+0.5*(vit_x+G661)*pas*(K661&gt;=0)</f>
        <v>211.791153319536</v>
      </c>
      <c r="K662" s="420" t="n">
        <f aca="false">K661+0.5*(vit_z+H661)*pas</f>
        <v>-6.65436745165948</v>
      </c>
      <c r="L662" s="418" t="n">
        <f aca="false">SQRT(pos_x^2+pos_z^2)</f>
        <v>211.895665908015</v>
      </c>
      <c r="M662" s="419" t="n">
        <f aca="false">IF(AND(L661&gt;L_rampe,G662&gt;0),ATAN2(G662,H662),$M$4)</f>
        <v>-1.42727848307065</v>
      </c>
      <c r="N662" s="418" t="n">
        <f aca="false">DEGREES(Beta)</f>
        <v>-81.7770332697827</v>
      </c>
      <c r="O662" s="402"/>
      <c r="P662" s="421" t="n">
        <f aca="false">MATCH(t-pas/2-T_ini,CdP_t)</f>
        <v>23</v>
      </c>
      <c r="Q662" s="418" t="n">
        <f aca="false">(INDEX(CdP,2,i_P+1)-INDEX(CdP,2,i_P+0))/(INDEX(CdP,1,i_P+1)-INDEX(CdP,1,i_P+0))*(t-pas/2-T_ini-INDEX(CdP,1,i_P+0))+INDEX(CdP,2,i_P+0)</f>
        <v>0</v>
      </c>
      <c r="R662" s="419" t="n">
        <f aca="false">Poussee/(g*ISP)</f>
        <v>0</v>
      </c>
      <c r="S662" s="420" t="n">
        <f aca="false">S661-Débit*pas</f>
        <v>1.4843</v>
      </c>
      <c r="T662" s="418" t="n">
        <f aca="false">m*g</f>
        <v>14.560983</v>
      </c>
      <c r="U662" s="422" t="n">
        <f aca="false">IF(pos_xz&lt;L_rampe,Poids*COS(Beta),0)</f>
        <v>0</v>
      </c>
      <c r="V662" s="419" t="n">
        <f aca="false">Rho_moyen*(20000-Alt_rampe-pos_z)/(20000+Alt_rampe+pos_z)</f>
        <v>1.22581543132181</v>
      </c>
      <c r="W662" s="418" t="n">
        <f aca="false">1/2*Rho*Sref*Cx*vit_xz^2</f>
        <v>5.57177980603614</v>
      </c>
      <c r="X662" s="402"/>
      <c r="Y662" s="423" t="str">
        <f aca="false">IF(AND(pos_z&lt;=0,K661&gt;0),"Impact balistique","") &amp; IF(AND(H663&lt;0,vit_z&gt;=0),"Apogée","") &amp; IF(AND(Poussee=0,Q661&gt;0),"Fin de propulsion","") &amp; IF(AND(L663&gt;L_rampe,pos_xz&lt;=L_rampe),"Sortie de rampe","")</f>
        <v/>
      </c>
      <c r="Z662" s="424" t="str">
        <f aca="false">IF(ABS(t-T_para)&lt;pas/2,"Para","")</f>
        <v/>
      </c>
      <c r="AA662" s="425" t="str">
        <f aca="false">IF(ABS(t-T_satellite)&lt;pas/2,"Satellite","")</f>
        <v/>
      </c>
      <c r="AB662" s="413"/>
      <c r="AC662" s="421" t="e">
        <f aca="false">IF(ABS(t-ROUND(t,0))&lt;0.001,t,NA())</f>
        <v>#N/A</v>
      </c>
      <c r="AD662" s="426" t="e">
        <f aca="false">IF(ABS(t-ROUND(t,0))&lt;0.001,pos_x,NA())</f>
        <v>#N/A</v>
      </c>
      <c r="AE662" s="427" t="e">
        <f aca="false">IF(t&lt;T_para, pos_z, NA())</f>
        <v>#N/A</v>
      </c>
      <c r="AF662" s="413"/>
      <c r="AG662" s="419" t="n">
        <f aca="false">IF(AND(L661&lt;L_rampe,Poussee&lt;Poids*SIN(M661)),0,(-W661+Poussee)/m-Poids*SIN(M661)/m)</f>
        <v>5.9553956308676</v>
      </c>
      <c r="AH662" s="418" t="n">
        <f aca="false">IF(AND(L661&lt;L_rampe,Poussee&lt;Poids*SIN(M661)), g*SIN(M661), (-W661+Poussee)/m)</f>
        <v>-3.75374481438211</v>
      </c>
    </row>
    <row r="663" customFormat="false" ht="12" hidden="false" customHeight="false" outlineLevel="0" collapsed="false">
      <c r="A663" s="417" t="n">
        <f aca="false">IF(B662+0.01&lt;=T_ini+ROUNDUP(Temps_fin_propu,0), 0.01, IF(K662&gt;0, 0.1, 0.0001))</f>
        <v>0.0001</v>
      </c>
      <c r="B663" s="418" t="n">
        <f aca="false">B662+pas</f>
        <v>16.5313999999999</v>
      </c>
      <c r="C663" s="402"/>
      <c r="D663" s="419" t="n">
        <f aca="false">IF(AND(L662&lt;L_rampe,Poussee&lt;Poids*SIN(M662)),0,(-W662+Poussee)/m*COS(M662)-U662/m*SIN(M662))</f>
        <v>-0.536891150786885</v>
      </c>
      <c r="E663" s="420" t="n">
        <f aca="false">IF(AND(L662&lt;L_rampe,Poussee&lt;Poids*SIN(M662)),0,(-W662+Poussee)/m*SIN(M662)+U662/m*COS(M662)-Poids/m)</f>
        <v>-6.09478324971263</v>
      </c>
      <c r="F663" s="418" t="n">
        <f aca="false">SQRT(acc_x^2+acc_z^2)</f>
        <v>6.11838499677578</v>
      </c>
      <c r="G663" s="419" t="n">
        <f aca="false">G662+acc_x*pas</f>
        <v>10.2703862194549</v>
      </c>
      <c r="H663" s="420" t="n">
        <f aca="false">H662+acc_z*pas</f>
        <v>-71.0707143314503</v>
      </c>
      <c r="I663" s="418" t="n">
        <f aca="false">SQRT(vit_x^2+vit_z^2)</f>
        <v>71.8089637070428</v>
      </c>
      <c r="J663" s="419" t="n">
        <f aca="false">J662+0.5*(vit_x+G662)*pas*(K662&gt;=0)</f>
        <v>211.791153319536</v>
      </c>
      <c r="K663" s="420" t="n">
        <f aca="false">K662+0.5*(vit_z+H662)*pas</f>
        <v>-6.66147449261871</v>
      </c>
      <c r="L663" s="418" t="n">
        <f aca="false">SQRT(pos_x^2+pos_z^2)</f>
        <v>211.895889216462</v>
      </c>
      <c r="M663" s="419" t="n">
        <f aca="false">IF(AND(L662&gt;L_rampe,G663&gt;0),ATAN2(G663,H663),$M$4)</f>
        <v>-1.42728043697967</v>
      </c>
      <c r="N663" s="418" t="n">
        <f aca="false">DEGREES(Beta)</f>
        <v>-81.7771452205227</v>
      </c>
      <c r="O663" s="402"/>
      <c r="P663" s="421" t="n">
        <f aca="false">MATCH(t-pas/2-T_ini,CdP_t)</f>
        <v>23</v>
      </c>
      <c r="Q663" s="418" t="n">
        <f aca="false">(INDEX(CdP,2,i_P+1)-INDEX(CdP,2,i_P+0))/(INDEX(CdP,1,i_P+1)-INDEX(CdP,1,i_P+0))*(t-pas/2-T_ini-INDEX(CdP,1,i_P+0))+INDEX(CdP,2,i_P+0)</f>
        <v>0</v>
      </c>
      <c r="R663" s="419" t="n">
        <f aca="false">Poussee/(g*ISP)</f>
        <v>0</v>
      </c>
      <c r="S663" s="420" t="n">
        <f aca="false">S662-Débit*pas</f>
        <v>1.4843</v>
      </c>
      <c r="T663" s="418" t="n">
        <f aca="false">m*g</f>
        <v>14.560983</v>
      </c>
      <c r="U663" s="422" t="n">
        <f aca="false">IF(pos_xz&lt;L_rampe,Poids*COS(Beta),0)</f>
        <v>0</v>
      </c>
      <c r="V663" s="419" t="n">
        <f aca="false">Rho_moyen*(20000-Alt_rampe-pos_z)/(20000+Alt_rampe+pos_z)</f>
        <v>1.22581630251426</v>
      </c>
      <c r="W663" s="418" t="n">
        <f aca="false">1/2*Rho*Sref*Cx*vit_xz^2</f>
        <v>5.57187618405442</v>
      </c>
      <c r="X663" s="402"/>
      <c r="Y663" s="423" t="str">
        <f aca="false">IF(AND(pos_z&lt;=0,K662&gt;0),"Impact balistique","") &amp; IF(AND(H664&lt;0,vit_z&gt;=0),"Apogée","") &amp; IF(AND(Poussee=0,Q662&gt;0),"Fin de propulsion","") &amp; IF(AND(L664&gt;L_rampe,pos_xz&lt;=L_rampe),"Sortie de rampe","")</f>
        <v/>
      </c>
      <c r="Z663" s="424" t="str">
        <f aca="false">IF(ABS(t-T_para)&lt;pas/2,"Para","")</f>
        <v/>
      </c>
      <c r="AA663" s="425" t="str">
        <f aca="false">IF(ABS(t-T_satellite)&lt;pas/2,"Satellite","")</f>
        <v/>
      </c>
      <c r="AB663" s="413"/>
      <c r="AC663" s="421" t="e">
        <f aca="false">IF(ABS(t-ROUND(t,0))&lt;0.001,t,NA())</f>
        <v>#N/A</v>
      </c>
      <c r="AD663" s="426" t="e">
        <f aca="false">IF(ABS(t-ROUND(t,0))&lt;0.001,pos_x,NA())</f>
        <v>#N/A</v>
      </c>
      <c r="AE663" s="427" t="e">
        <f aca="false">IF(t&lt;T_para, pos_z, NA())</f>
        <v>#N/A</v>
      </c>
      <c r="AF663" s="413"/>
      <c r="AG663" s="419" t="n">
        <f aca="false">IF(AND(L662&lt;L_rampe,Poussee&lt;Poids*SIN(M662)),0,(-W662+Poussee)/m-Poids*SIN(M662)/m)</f>
        <v>5.95533344078968</v>
      </c>
      <c r="AH663" s="418" t="n">
        <f aca="false">IF(AND(L662&lt;L_rampe,Poussee&lt;Poids*SIN(M662)), g*SIN(M662), (-W662+Poussee)/m)</f>
        <v>-3.75380974603257</v>
      </c>
    </row>
    <row r="664" customFormat="false" ht="12" hidden="false" customHeight="false" outlineLevel="0" collapsed="false">
      <c r="A664" s="417" t="n">
        <f aca="false">IF(B663+0.01&lt;=T_ini+ROUNDUP(Temps_fin_propu,0), 0.01, IF(K663&gt;0, 0.1, 0.0001))</f>
        <v>0.0001</v>
      </c>
      <c r="B664" s="418" t="n">
        <f aca="false">B663+pas</f>
        <v>16.5314999999999</v>
      </c>
      <c r="C664" s="402"/>
      <c r="D664" s="419" t="n">
        <f aca="false">IF(AND(L663&lt;L_rampe,Poussee&lt;Poids*SIN(M663)),0,(-W663+Poussee)/m*COS(M663)-U663/m*SIN(M663))</f>
        <v>-0.536893178354616</v>
      </c>
      <c r="E664" s="420" t="n">
        <f aca="false">IF(AND(L663&lt;L_rampe,Poussee&lt;Poids*SIN(M663)),0,(-W663+Poussee)/m*SIN(M663)+U663/m*COS(M663)-Poids/m)</f>
        <v>-6.09471793659864</v>
      </c>
      <c r="F664" s="418" t="n">
        <f aca="false">SQRT(acc_x^2+acc_z^2)</f>
        <v>6.11832011353287</v>
      </c>
      <c r="G664" s="419" t="n">
        <f aca="false">G663+acc_x*pas</f>
        <v>10.2703325301371</v>
      </c>
      <c r="H664" s="420" t="n">
        <f aca="false">H663+acc_z*pas</f>
        <v>-71.071323803244</v>
      </c>
      <c r="I664" s="418" t="n">
        <f aca="false">SQRT(vit_x^2+vit_z^2)</f>
        <v>71.8095592343049</v>
      </c>
      <c r="J664" s="419" t="n">
        <f aca="false">J663+0.5*(vit_x+G663)*pas*(K663&gt;=0)</f>
        <v>211.791153319536</v>
      </c>
      <c r="K664" s="420" t="n">
        <f aca="false">K663+0.5*(vit_z+H663)*pas</f>
        <v>-6.66858159452545</v>
      </c>
      <c r="L664" s="418" t="n">
        <f aca="false">SQRT(pos_x^2+pos_z^2)</f>
        <v>211.896112764963</v>
      </c>
      <c r="M664" s="419" t="n">
        <f aca="false">IF(AND(L663&gt;L_rampe,G664&gt;0),ATAN2(G664,H664),$M$4)</f>
        <v>-1.42728239084606</v>
      </c>
      <c r="N664" s="418" t="n">
        <f aca="false">DEGREES(Beta)</f>
        <v>-81.7772571688207</v>
      </c>
      <c r="O664" s="402"/>
      <c r="P664" s="421" t="n">
        <f aca="false">MATCH(t-pas/2-T_ini,CdP_t)</f>
        <v>23</v>
      </c>
      <c r="Q664" s="418" t="n">
        <f aca="false">(INDEX(CdP,2,i_P+1)-INDEX(CdP,2,i_P+0))/(INDEX(CdP,1,i_P+1)-INDEX(CdP,1,i_P+0))*(t-pas/2-T_ini-INDEX(CdP,1,i_P+0))+INDEX(CdP,2,i_P+0)</f>
        <v>0</v>
      </c>
      <c r="R664" s="419" t="n">
        <f aca="false">Poussee/(g*ISP)</f>
        <v>0</v>
      </c>
      <c r="S664" s="420" t="n">
        <f aca="false">S663-Débit*pas</f>
        <v>1.4843</v>
      </c>
      <c r="T664" s="418" t="n">
        <f aca="false">m*g</f>
        <v>14.560983</v>
      </c>
      <c r="U664" s="422" t="n">
        <f aca="false">IF(pos_xz&lt;L_rampe,Poids*COS(Beta),0)</f>
        <v>0</v>
      </c>
      <c r="V664" s="419" t="n">
        <f aca="false">Rho_moyen*(20000-Alt_rampe-pos_z)/(20000+Alt_rampe+pos_z)</f>
        <v>1.22581717371481</v>
      </c>
      <c r="W664" s="418" t="n">
        <f aca="false">1/2*Rho*Sref*Cx*vit_xz^2</f>
        <v>5.57197256204217</v>
      </c>
      <c r="X664" s="402"/>
      <c r="Y664" s="423" t="str">
        <f aca="false">IF(AND(pos_z&lt;=0,K663&gt;0),"Impact balistique","") &amp; IF(AND(H665&lt;0,vit_z&gt;=0),"Apogée","") &amp; IF(AND(Poussee=0,Q663&gt;0),"Fin de propulsion","") &amp; IF(AND(L665&gt;L_rampe,pos_xz&lt;=L_rampe),"Sortie de rampe","")</f>
        <v/>
      </c>
      <c r="Z664" s="424" t="str">
        <f aca="false">IF(ABS(t-T_para)&lt;pas/2,"Para","")</f>
        <v/>
      </c>
      <c r="AA664" s="425" t="str">
        <f aca="false">IF(ABS(t-T_satellite)&lt;pas/2,"Satellite","")</f>
        <v/>
      </c>
      <c r="AB664" s="413"/>
      <c r="AC664" s="421" t="e">
        <f aca="false">IF(ABS(t-ROUND(t,0))&lt;0.001,t,NA())</f>
        <v>#N/A</v>
      </c>
      <c r="AD664" s="426" t="e">
        <f aca="false">IF(ABS(t-ROUND(t,0))&lt;0.001,pos_x,NA())</f>
        <v>#N/A</v>
      </c>
      <c r="AE664" s="427" t="e">
        <f aca="false">IF(t&lt;T_para, pos_z, NA())</f>
        <v>#N/A</v>
      </c>
      <c r="AF664" s="413"/>
      <c r="AG664" s="419" t="n">
        <f aca="false">IF(AND(L663&lt;L_rampe,Poussee&lt;Poids*SIN(M663)),0,(-W663+Poussee)/m-Poids*SIN(M663)/m)</f>
        <v>5.95527125063544</v>
      </c>
      <c r="AH664" s="418" t="n">
        <f aca="false">IF(AND(L663&lt;L_rampe,Poussee&lt;Poids*SIN(M663)), g*SIN(M663), (-W663+Poussee)/m)</f>
        <v>-3.75387467766248</v>
      </c>
    </row>
    <row r="665" customFormat="false" ht="12" hidden="false" customHeight="false" outlineLevel="0" collapsed="false">
      <c r="A665" s="417" t="n">
        <f aca="false">IF(B664+0.01&lt;=T_ini+ROUNDUP(Temps_fin_propu,0), 0.01, IF(K664&gt;0, 0.1, 0.0001))</f>
        <v>0.0001</v>
      </c>
      <c r="B665" s="418" t="n">
        <f aca="false">B664+pas</f>
        <v>16.5315999999999</v>
      </c>
      <c r="C665" s="402"/>
      <c r="D665" s="419" t="n">
        <f aca="false">IF(AND(L664&lt;L_rampe,Poussee&lt;Poids*SIN(M664)),0,(-W664+Poussee)/m*COS(M664)-U664/m*SIN(M664))</f>
        <v>-0.53689520582458</v>
      </c>
      <c r="E665" s="420" t="n">
        <f aca="false">IF(AND(L664&lt;L_rampe,Poussee&lt;Poids*SIN(M664)),0,(-W664+Poussee)/m*SIN(M664)+U664/m*COS(M664)-Poids/m)</f>
        <v>-6.09465262350577</v>
      </c>
      <c r="F665" s="418" t="n">
        <f aca="false">SQRT(acc_x^2+acc_z^2)</f>
        <v>6.11825523031225</v>
      </c>
      <c r="G665" s="419" t="n">
        <f aca="false">G664+acc_x*pas</f>
        <v>10.2702788406165</v>
      </c>
      <c r="H665" s="420" t="n">
        <f aca="false">H664+acc_z*pas</f>
        <v>-71.0719332685064</v>
      </c>
      <c r="I665" s="418" t="n">
        <f aca="false">SQRT(vit_x^2+vit_z^2)</f>
        <v>71.810154755348</v>
      </c>
      <c r="J665" s="419" t="n">
        <f aca="false">J664+0.5*(vit_x+G664)*pas*(K664&gt;=0)</f>
        <v>211.791153319536</v>
      </c>
      <c r="K665" s="420" t="n">
        <f aca="false">K664+0.5*(vit_z+H664)*pas</f>
        <v>-6.67568875737903</v>
      </c>
      <c r="L665" s="418" t="n">
        <f aca="false">SQRT(pos_x^2+pos_z^2)</f>
        <v>211.896336553525</v>
      </c>
      <c r="M665" s="419" t="n">
        <f aca="false">IF(AND(L664&gt;L_rampe,G665&gt;0),ATAN2(G665,H665),$M$4)</f>
        <v>-1.42728434466983</v>
      </c>
      <c r="N665" s="418" t="n">
        <f aca="false">DEGREES(Beta)</f>
        <v>-81.7773691146767</v>
      </c>
      <c r="O665" s="402"/>
      <c r="P665" s="421" t="n">
        <f aca="false">MATCH(t-pas/2-T_ini,CdP_t)</f>
        <v>23</v>
      </c>
      <c r="Q665" s="418" t="n">
        <f aca="false">(INDEX(CdP,2,i_P+1)-INDEX(CdP,2,i_P+0))/(INDEX(CdP,1,i_P+1)-INDEX(CdP,1,i_P+0))*(t-pas/2-T_ini-INDEX(CdP,1,i_P+0))+INDEX(CdP,2,i_P+0)</f>
        <v>0</v>
      </c>
      <c r="R665" s="419" t="n">
        <f aca="false">Poussee/(g*ISP)</f>
        <v>0</v>
      </c>
      <c r="S665" s="420" t="n">
        <f aca="false">S664-Débit*pas</f>
        <v>1.4843</v>
      </c>
      <c r="T665" s="418" t="n">
        <f aca="false">m*g</f>
        <v>14.560983</v>
      </c>
      <c r="U665" s="422" t="n">
        <f aca="false">IF(pos_xz&lt;L_rampe,Poids*COS(Beta),0)</f>
        <v>0</v>
      </c>
      <c r="V665" s="419" t="n">
        <f aca="false">Rho_moyen*(20000-Alt_rampe-pos_z)/(20000+Alt_rampe+pos_z)</f>
        <v>1.22581804492344</v>
      </c>
      <c r="W665" s="418" t="n">
        <f aca="false">1/2*Rho*Sref*Cx*vit_xz^2</f>
        <v>5.57206893999939</v>
      </c>
      <c r="X665" s="402"/>
      <c r="Y665" s="423" t="str">
        <f aca="false">IF(AND(pos_z&lt;=0,K664&gt;0),"Impact balistique","") &amp; IF(AND(H666&lt;0,vit_z&gt;=0),"Apogée","") &amp; IF(AND(Poussee=0,Q664&gt;0),"Fin de propulsion","") &amp; IF(AND(L666&gt;L_rampe,pos_xz&lt;=L_rampe),"Sortie de rampe","")</f>
        <v/>
      </c>
      <c r="Z665" s="424" t="str">
        <f aca="false">IF(ABS(t-T_para)&lt;pas/2,"Para","")</f>
        <v/>
      </c>
      <c r="AA665" s="425" t="str">
        <f aca="false">IF(ABS(t-T_satellite)&lt;pas/2,"Satellite","")</f>
        <v/>
      </c>
      <c r="AB665" s="413"/>
      <c r="AC665" s="421" t="e">
        <f aca="false">IF(ABS(t-ROUND(t,0))&lt;0.001,t,NA())</f>
        <v>#N/A</v>
      </c>
      <c r="AD665" s="426" t="e">
        <f aca="false">IF(ABS(t-ROUND(t,0))&lt;0.001,pos_x,NA())</f>
        <v>#N/A</v>
      </c>
      <c r="AE665" s="427" t="e">
        <f aca="false">IF(t&lt;T_para, pos_z, NA())</f>
        <v>#N/A</v>
      </c>
      <c r="AF665" s="413"/>
      <c r="AG665" s="419" t="n">
        <f aca="false">IF(AND(L664&lt;L_rampe,Poussee&lt;Poids*SIN(M664)),0,(-W664+Poussee)/m-Poids*SIN(M664)/m)</f>
        <v>5.95520906040489</v>
      </c>
      <c r="AH665" s="418" t="n">
        <f aca="false">IF(AND(L664&lt;L_rampe,Poussee&lt;Poids*SIN(M664)), g*SIN(M664), (-W664+Poussee)/m)</f>
        <v>-3.75393960927183</v>
      </c>
    </row>
    <row r="666" customFormat="false" ht="12" hidden="false" customHeight="false" outlineLevel="0" collapsed="false">
      <c r="A666" s="417" t="n">
        <f aca="false">IF(B665+0.01&lt;=T_ini+ROUNDUP(Temps_fin_propu,0), 0.01, IF(K665&gt;0, 0.1, 0.0001))</f>
        <v>0.0001</v>
      </c>
      <c r="B666" s="418" t="n">
        <f aca="false">B665+pas</f>
        <v>16.5316999999999</v>
      </c>
      <c r="C666" s="402"/>
      <c r="D666" s="419" t="n">
        <f aca="false">IF(AND(L665&lt;L_rampe,Poussee&lt;Poids*SIN(M665)),0,(-W665+Poussee)/m*COS(M665)-U665/m*SIN(M665))</f>
        <v>-0.536897233196778</v>
      </c>
      <c r="E666" s="420" t="n">
        <f aca="false">IF(AND(L665&lt;L_rampe,Poussee&lt;Poids*SIN(M665)),0,(-W665+Poussee)/m*SIN(M665)+U665/m*COS(M665)-Poids/m)</f>
        <v>-6.09458731043405</v>
      </c>
      <c r="F666" s="418" t="n">
        <f aca="false">SQRT(acc_x^2+acc_z^2)</f>
        <v>6.11819034711393</v>
      </c>
      <c r="G666" s="419" t="n">
        <f aca="false">G665+acc_x*pas</f>
        <v>10.2702251508932</v>
      </c>
      <c r="H666" s="420" t="n">
        <f aca="false">H665+acc_z*pas</f>
        <v>-71.0725427272374</v>
      </c>
      <c r="I666" s="418" t="n">
        <f aca="false">SQRT(vit_x^2+vit_z^2)</f>
        <v>71.8107502701721</v>
      </c>
      <c r="J666" s="419" t="n">
        <f aca="false">J665+0.5*(vit_x+G665)*pas*(K665&gt;=0)</f>
        <v>211.791153319536</v>
      </c>
      <c r="K666" s="420" t="n">
        <f aca="false">K665+0.5*(vit_z+H665)*pas</f>
        <v>-6.68279598117882</v>
      </c>
      <c r="L666" s="418" t="n">
        <f aca="false">SQRT(pos_x^2+pos_z^2)</f>
        <v>211.896560582151</v>
      </c>
      <c r="M666" s="419" t="n">
        <f aca="false">IF(AND(L665&gt;L_rampe,G666&gt;0),ATAN2(G666,H666),$M$4)</f>
        <v>-1.42728629845098</v>
      </c>
      <c r="N666" s="418" t="n">
        <f aca="false">DEGREES(Beta)</f>
        <v>-81.7774810580907</v>
      </c>
      <c r="O666" s="402"/>
      <c r="P666" s="421" t="n">
        <f aca="false">MATCH(t-pas/2-T_ini,CdP_t)</f>
        <v>23</v>
      </c>
      <c r="Q666" s="418" t="n">
        <f aca="false">(INDEX(CdP,2,i_P+1)-INDEX(CdP,2,i_P+0))/(INDEX(CdP,1,i_P+1)-INDEX(CdP,1,i_P+0))*(t-pas/2-T_ini-INDEX(CdP,1,i_P+0))+INDEX(CdP,2,i_P+0)</f>
        <v>0</v>
      </c>
      <c r="R666" s="419" t="n">
        <f aca="false">Poussee/(g*ISP)</f>
        <v>0</v>
      </c>
      <c r="S666" s="420" t="n">
        <f aca="false">S665-Débit*pas</f>
        <v>1.4843</v>
      </c>
      <c r="T666" s="418" t="n">
        <f aca="false">m*g</f>
        <v>14.560983</v>
      </c>
      <c r="U666" s="422" t="n">
        <f aca="false">IF(pos_xz&lt;L_rampe,Poids*COS(Beta),0)</f>
        <v>0</v>
      </c>
      <c r="V666" s="419" t="n">
        <f aca="false">Rho_moyen*(20000-Alt_rampe-pos_z)/(20000+Alt_rampe+pos_z)</f>
        <v>1.22581891614017</v>
      </c>
      <c r="W666" s="418" t="n">
        <f aca="false">1/2*Rho*Sref*Cx*vit_xz^2</f>
        <v>5.57216531792604</v>
      </c>
      <c r="X666" s="402"/>
      <c r="Y666" s="423" t="str">
        <f aca="false">IF(AND(pos_z&lt;=0,K665&gt;0),"Impact balistique","") &amp; IF(AND(H667&lt;0,vit_z&gt;=0),"Apogée","") &amp; IF(AND(Poussee=0,Q665&gt;0),"Fin de propulsion","") &amp; IF(AND(L667&gt;L_rampe,pos_xz&lt;=L_rampe),"Sortie de rampe","")</f>
        <v/>
      </c>
      <c r="Z666" s="424" t="str">
        <f aca="false">IF(ABS(t-T_para)&lt;pas/2,"Para","")</f>
        <v/>
      </c>
      <c r="AA666" s="425" t="str">
        <f aca="false">IF(ABS(t-T_satellite)&lt;pas/2,"Satellite","")</f>
        <v/>
      </c>
      <c r="AB666" s="413"/>
      <c r="AC666" s="421" t="e">
        <f aca="false">IF(ABS(t-ROUND(t,0))&lt;0.001,t,NA())</f>
        <v>#N/A</v>
      </c>
      <c r="AD666" s="426" t="e">
        <f aca="false">IF(ABS(t-ROUND(t,0))&lt;0.001,pos_x,NA())</f>
        <v>#N/A</v>
      </c>
      <c r="AE666" s="427" t="e">
        <f aca="false">IF(t&lt;T_para, pos_z, NA())</f>
        <v>#N/A</v>
      </c>
      <c r="AF666" s="413"/>
      <c r="AG666" s="419" t="n">
        <f aca="false">IF(AND(L665&lt;L_rampe,Poussee&lt;Poids*SIN(M665)),0,(-W665+Poussee)/m-Poids*SIN(M665)/m)</f>
        <v>5.95514687009806</v>
      </c>
      <c r="AH666" s="418" t="n">
        <f aca="false">IF(AND(L665&lt;L_rampe,Poussee&lt;Poids*SIN(M665)), g*SIN(M665), (-W665+Poussee)/m)</f>
        <v>-3.75400454086061</v>
      </c>
    </row>
    <row r="667" customFormat="false" ht="12" hidden="false" customHeight="false" outlineLevel="0" collapsed="false">
      <c r="A667" s="417" t="n">
        <f aca="false">IF(B666+0.01&lt;=T_ini+ROUNDUP(Temps_fin_propu,0), 0.01, IF(K666&gt;0, 0.1, 0.0001))</f>
        <v>0.0001</v>
      </c>
      <c r="B667" s="418" t="n">
        <f aca="false">B666+pas</f>
        <v>16.5317999999999</v>
      </c>
      <c r="C667" s="402"/>
      <c r="D667" s="419" t="n">
        <f aca="false">IF(AND(L666&lt;L_rampe,Poussee&lt;Poids*SIN(M666)),0,(-W666+Poussee)/m*COS(M666)-U666/m*SIN(M666))</f>
        <v>-0.536899260471212</v>
      </c>
      <c r="E667" s="420" t="n">
        <f aca="false">IF(AND(L666&lt;L_rampe,Poussee&lt;Poids*SIN(M666)),0,(-W666+Poussee)/m*SIN(M666)+U666/m*COS(M666)-Poids/m)</f>
        <v>-6.09452199738349</v>
      </c>
      <c r="F667" s="418" t="n">
        <f aca="false">SQRT(acc_x^2+acc_z^2)</f>
        <v>6.11812546393793</v>
      </c>
      <c r="G667" s="419" t="n">
        <f aca="false">G666+acc_x*pas</f>
        <v>10.2701714609671</v>
      </c>
      <c r="H667" s="420" t="n">
        <f aca="false">H666+acc_z*pas</f>
        <v>-71.0731521794371</v>
      </c>
      <c r="I667" s="418" t="n">
        <f aca="false">SQRT(vit_x^2+vit_z^2)</f>
        <v>71.8113457787772</v>
      </c>
      <c r="J667" s="419" t="n">
        <f aca="false">J666+0.5*(vit_x+G666)*pas*(K666&gt;=0)</f>
        <v>211.791153319536</v>
      </c>
      <c r="K667" s="420" t="n">
        <f aca="false">K666+0.5*(vit_z+H666)*pas</f>
        <v>-6.68990326592415</v>
      </c>
      <c r="L667" s="418" t="n">
        <f aca="false">SQRT(pos_x^2+pos_z^2)</f>
        <v>211.896784850848</v>
      </c>
      <c r="M667" s="419" t="n">
        <f aca="false">IF(AND(L666&gt;L_rampe,G667&gt;0),ATAN2(G667,H667),$M$4)</f>
        <v>-1.42728825218951</v>
      </c>
      <c r="N667" s="418" t="n">
        <f aca="false">DEGREES(Beta)</f>
        <v>-81.7775929990629</v>
      </c>
      <c r="O667" s="402"/>
      <c r="P667" s="421" t="n">
        <f aca="false">MATCH(t-pas/2-T_ini,CdP_t)</f>
        <v>23</v>
      </c>
      <c r="Q667" s="418" t="n">
        <f aca="false">(INDEX(CdP,2,i_P+1)-INDEX(CdP,2,i_P+0))/(INDEX(CdP,1,i_P+1)-INDEX(CdP,1,i_P+0))*(t-pas/2-T_ini-INDEX(CdP,1,i_P+0))+INDEX(CdP,2,i_P+0)</f>
        <v>0</v>
      </c>
      <c r="R667" s="419" t="n">
        <f aca="false">Poussee/(g*ISP)</f>
        <v>0</v>
      </c>
      <c r="S667" s="420" t="n">
        <f aca="false">S666-Débit*pas</f>
        <v>1.4843</v>
      </c>
      <c r="T667" s="418" t="n">
        <f aca="false">m*g</f>
        <v>14.560983</v>
      </c>
      <c r="U667" s="422" t="n">
        <f aca="false">IF(pos_xz&lt;L_rampe,Poids*COS(Beta),0)</f>
        <v>0</v>
      </c>
      <c r="V667" s="419" t="n">
        <f aca="false">Rho_moyen*(20000-Alt_rampe-pos_z)/(20000+Alt_rampe+pos_z)</f>
        <v>1.22581978736498</v>
      </c>
      <c r="W667" s="418" t="n">
        <f aca="false">1/2*Rho*Sref*Cx*vit_xz^2</f>
        <v>5.5722616958221</v>
      </c>
      <c r="X667" s="402"/>
      <c r="Y667" s="423" t="str">
        <f aca="false">IF(AND(pos_z&lt;=0,K666&gt;0),"Impact balistique","") &amp; IF(AND(H668&lt;0,vit_z&gt;=0),"Apogée","") &amp; IF(AND(Poussee=0,Q666&gt;0),"Fin de propulsion","") &amp; IF(AND(L668&gt;L_rampe,pos_xz&lt;=L_rampe),"Sortie de rampe","")</f>
        <v/>
      </c>
      <c r="Z667" s="424" t="str">
        <f aca="false">IF(ABS(t-T_para)&lt;pas/2,"Para","")</f>
        <v/>
      </c>
      <c r="AA667" s="425" t="str">
        <f aca="false">IF(ABS(t-T_satellite)&lt;pas/2,"Satellite","")</f>
        <v/>
      </c>
      <c r="AB667" s="413"/>
      <c r="AC667" s="421" t="e">
        <f aca="false">IF(ABS(t-ROUND(t,0))&lt;0.001,t,NA())</f>
        <v>#N/A</v>
      </c>
      <c r="AD667" s="426" t="e">
        <f aca="false">IF(ABS(t-ROUND(t,0))&lt;0.001,pos_x,NA())</f>
        <v>#N/A</v>
      </c>
      <c r="AE667" s="427" t="e">
        <f aca="false">IF(t&lt;T_para, pos_z, NA())</f>
        <v>#N/A</v>
      </c>
      <c r="AF667" s="413"/>
      <c r="AG667" s="419" t="n">
        <f aca="false">IF(AND(L666&lt;L_rampe,Poussee&lt;Poids*SIN(M666)),0,(-W666+Poussee)/m-Poids*SIN(M666)/m)</f>
        <v>5.95508467971496</v>
      </c>
      <c r="AH667" s="418" t="n">
        <f aca="false">IF(AND(L666&lt;L_rampe,Poussee&lt;Poids*SIN(M666)), g*SIN(M666), (-W666+Poussee)/m)</f>
        <v>-3.75406947242879</v>
      </c>
    </row>
    <row r="668" customFormat="false" ht="12" hidden="false" customHeight="false" outlineLevel="0" collapsed="false">
      <c r="A668" s="417" t="n">
        <f aca="false">IF(B667+0.01&lt;=T_ini+ROUNDUP(Temps_fin_propu,0), 0.01, IF(K667&gt;0, 0.1, 0.0001))</f>
        <v>0.0001</v>
      </c>
      <c r="B668" s="418" t="n">
        <f aca="false">B667+pas</f>
        <v>16.5318999999999</v>
      </c>
      <c r="C668" s="402"/>
      <c r="D668" s="419" t="n">
        <f aca="false">IF(AND(L667&lt;L_rampe,Poussee&lt;Poids*SIN(M667)),0,(-W667+Poussee)/m*COS(M667)-U667/m*SIN(M667))</f>
        <v>-0.536901287647882</v>
      </c>
      <c r="E668" s="420" t="n">
        <f aca="false">IF(AND(L667&lt;L_rampe,Poussee&lt;Poids*SIN(M667)),0,(-W667+Poussee)/m*SIN(M667)+U667/m*COS(M667)-Poids/m)</f>
        <v>-6.0944566843541</v>
      </c>
      <c r="F668" s="418" t="n">
        <f aca="false">SQRT(acc_x^2+acc_z^2)</f>
        <v>6.11806058078427</v>
      </c>
      <c r="G668" s="419" t="n">
        <f aca="false">G667+acc_x*pas</f>
        <v>10.2701177708383</v>
      </c>
      <c r="H668" s="420" t="n">
        <f aca="false">H667+acc_z*pas</f>
        <v>-71.0737616251056</v>
      </c>
      <c r="I668" s="418" t="n">
        <f aca="false">SQRT(vit_x^2+vit_z^2)</f>
        <v>71.8119412811631</v>
      </c>
      <c r="J668" s="419" t="n">
        <f aca="false">J667+0.5*(vit_x+G667)*pas*(K667&gt;=0)</f>
        <v>211.791153319536</v>
      </c>
      <c r="K668" s="420" t="n">
        <f aca="false">K667+0.5*(vit_z+H667)*pas</f>
        <v>-6.69701061161438</v>
      </c>
      <c r="L668" s="418" t="n">
        <f aca="false">SQRT(pos_x^2+pos_z^2)</f>
        <v>211.897009359621</v>
      </c>
      <c r="M668" s="419" t="n">
        <f aca="false">IF(AND(L667&gt;L_rampe,G668&gt;0),ATAN2(G668,H668),$M$4)</f>
        <v>-1.42729020588543</v>
      </c>
      <c r="N668" s="418" t="n">
        <f aca="false">DEGREES(Beta)</f>
        <v>-81.7777049375934</v>
      </c>
      <c r="O668" s="402"/>
      <c r="P668" s="421" t="n">
        <f aca="false">MATCH(t-pas/2-T_ini,CdP_t)</f>
        <v>23</v>
      </c>
      <c r="Q668" s="418" t="n">
        <f aca="false">(INDEX(CdP,2,i_P+1)-INDEX(CdP,2,i_P+0))/(INDEX(CdP,1,i_P+1)-INDEX(CdP,1,i_P+0))*(t-pas/2-T_ini-INDEX(CdP,1,i_P+0))+INDEX(CdP,2,i_P+0)</f>
        <v>0</v>
      </c>
      <c r="R668" s="419" t="n">
        <f aca="false">Poussee/(g*ISP)</f>
        <v>0</v>
      </c>
      <c r="S668" s="420" t="n">
        <f aca="false">S667-Débit*pas</f>
        <v>1.4843</v>
      </c>
      <c r="T668" s="418" t="n">
        <f aca="false">m*g</f>
        <v>14.560983</v>
      </c>
      <c r="U668" s="422" t="n">
        <f aca="false">IF(pos_xz&lt;L_rampe,Poids*COS(Beta),0)</f>
        <v>0</v>
      </c>
      <c r="V668" s="419" t="n">
        <f aca="false">Rho_moyen*(20000-Alt_rampe-pos_z)/(20000+Alt_rampe+pos_z)</f>
        <v>1.22582065859789</v>
      </c>
      <c r="W668" s="418" t="n">
        <f aca="false">1/2*Rho*Sref*Cx*vit_xz^2</f>
        <v>5.57235807368753</v>
      </c>
      <c r="X668" s="402"/>
      <c r="Y668" s="423" t="str">
        <f aca="false">IF(AND(pos_z&lt;=0,K667&gt;0),"Impact balistique","") &amp; IF(AND(H669&lt;0,vit_z&gt;=0),"Apogée","") &amp; IF(AND(Poussee=0,Q667&gt;0),"Fin de propulsion","") &amp; IF(AND(L669&gt;L_rampe,pos_xz&lt;=L_rampe),"Sortie de rampe","")</f>
        <v/>
      </c>
      <c r="Z668" s="424" t="str">
        <f aca="false">IF(ABS(t-T_para)&lt;pas/2,"Para","")</f>
        <v/>
      </c>
      <c r="AA668" s="425" t="str">
        <f aca="false">IF(ABS(t-T_satellite)&lt;pas/2,"Satellite","")</f>
        <v/>
      </c>
      <c r="AB668" s="413"/>
      <c r="AC668" s="421" t="e">
        <f aca="false">IF(ABS(t-ROUND(t,0))&lt;0.001,t,NA())</f>
        <v>#N/A</v>
      </c>
      <c r="AD668" s="426" t="e">
        <f aca="false">IF(ABS(t-ROUND(t,0))&lt;0.001,pos_x,NA())</f>
        <v>#N/A</v>
      </c>
      <c r="AE668" s="427" t="e">
        <f aca="false">IF(t&lt;T_para, pos_z, NA())</f>
        <v>#N/A</v>
      </c>
      <c r="AF668" s="413"/>
      <c r="AG668" s="419" t="n">
        <f aca="false">IF(AND(L667&lt;L_rampe,Poussee&lt;Poids*SIN(M667)),0,(-W667+Poussee)/m-Poids*SIN(M667)/m)</f>
        <v>5.95502248925561</v>
      </c>
      <c r="AH668" s="418" t="n">
        <f aca="false">IF(AND(L667&lt;L_rampe,Poussee&lt;Poids*SIN(M667)), g*SIN(M667), (-W667+Poussee)/m)</f>
        <v>-3.75413440397635</v>
      </c>
    </row>
    <row r="669" customFormat="false" ht="12" hidden="false" customHeight="false" outlineLevel="0" collapsed="false">
      <c r="A669" s="417" t="n">
        <f aca="false">IF(B668+0.01&lt;=T_ini+ROUNDUP(Temps_fin_propu,0), 0.01, IF(K668&gt;0, 0.1, 0.0001))</f>
        <v>0.0001</v>
      </c>
      <c r="B669" s="418" t="n">
        <f aca="false">B668+pas</f>
        <v>16.5319999999999</v>
      </c>
      <c r="C669" s="402"/>
      <c r="D669" s="419" t="n">
        <f aca="false">IF(AND(L668&lt;L_rampe,Poussee&lt;Poids*SIN(M668)),0,(-W668+Poussee)/m*COS(M668)-U668/m*SIN(M668))</f>
        <v>-0.536903314726787</v>
      </c>
      <c r="E669" s="420" t="n">
        <f aca="false">IF(AND(L668&lt;L_rampe,Poussee&lt;Poids*SIN(M668)),0,(-W668+Poussee)/m*SIN(M668)+U668/m*COS(M668)-Poids/m)</f>
        <v>-6.09439137134591</v>
      </c>
      <c r="F669" s="418" t="n">
        <f aca="false">SQRT(acc_x^2+acc_z^2)</f>
        <v>6.11799569765296</v>
      </c>
      <c r="G669" s="419" t="n">
        <f aca="false">G668+acc_x*pas</f>
        <v>10.2700640805069</v>
      </c>
      <c r="H669" s="420" t="n">
        <f aca="false">H668+acc_z*pas</f>
        <v>-71.0743710642427</v>
      </c>
      <c r="I669" s="418" t="n">
        <f aca="false">SQRT(vit_x^2+vit_z^2)</f>
        <v>71.81253677733</v>
      </c>
      <c r="J669" s="419" t="n">
        <f aca="false">J668+0.5*(vit_x+G668)*pas*(K668&gt;=0)</f>
        <v>211.791153319536</v>
      </c>
      <c r="K669" s="420" t="n">
        <f aca="false">K668+0.5*(vit_z+H668)*pas</f>
        <v>-6.70411801824885</v>
      </c>
      <c r="L669" s="418" t="n">
        <f aca="false">SQRT(pos_x^2+pos_z^2)</f>
        <v>211.897234108475</v>
      </c>
      <c r="M669" s="419" t="n">
        <f aca="false">IF(AND(L668&gt;L_rampe,G669&gt;0),ATAN2(G669,H669),$M$4)</f>
        <v>-1.42729215953873</v>
      </c>
      <c r="N669" s="418" t="n">
        <f aca="false">DEGREES(Beta)</f>
        <v>-81.7778168736822</v>
      </c>
      <c r="O669" s="402"/>
      <c r="P669" s="421" t="n">
        <f aca="false">MATCH(t-pas/2-T_ini,CdP_t)</f>
        <v>23</v>
      </c>
      <c r="Q669" s="418" t="n">
        <f aca="false">(INDEX(CdP,2,i_P+1)-INDEX(CdP,2,i_P+0))/(INDEX(CdP,1,i_P+1)-INDEX(CdP,1,i_P+0))*(t-pas/2-T_ini-INDEX(CdP,1,i_P+0))+INDEX(CdP,2,i_P+0)</f>
        <v>0</v>
      </c>
      <c r="R669" s="419" t="n">
        <f aca="false">Poussee/(g*ISP)</f>
        <v>0</v>
      </c>
      <c r="S669" s="420" t="n">
        <f aca="false">S668-Débit*pas</f>
        <v>1.4843</v>
      </c>
      <c r="T669" s="418" t="n">
        <f aca="false">m*g</f>
        <v>14.560983</v>
      </c>
      <c r="U669" s="422" t="n">
        <f aca="false">IF(pos_xz&lt;L_rampe,Poids*COS(Beta),0)</f>
        <v>0</v>
      </c>
      <c r="V669" s="419" t="n">
        <f aca="false">Rho_moyen*(20000-Alt_rampe-pos_z)/(20000+Alt_rampe+pos_z)</f>
        <v>1.22582152983889</v>
      </c>
      <c r="W669" s="418" t="n">
        <f aca="false">1/2*Rho*Sref*Cx*vit_xz^2</f>
        <v>5.57245445152233</v>
      </c>
      <c r="X669" s="402"/>
      <c r="Y669" s="423" t="str">
        <f aca="false">IF(AND(pos_z&lt;=0,K668&gt;0),"Impact balistique","") &amp; IF(AND(H670&lt;0,vit_z&gt;=0),"Apogée","") &amp; IF(AND(Poussee=0,Q668&gt;0),"Fin de propulsion","") &amp; IF(AND(L670&gt;L_rampe,pos_xz&lt;=L_rampe),"Sortie de rampe","")</f>
        <v/>
      </c>
      <c r="Z669" s="424" t="str">
        <f aca="false">IF(ABS(t-T_para)&lt;pas/2,"Para","")</f>
        <v/>
      </c>
      <c r="AA669" s="425" t="str">
        <f aca="false">IF(ABS(t-T_satellite)&lt;pas/2,"Satellite","")</f>
        <v/>
      </c>
      <c r="AB669" s="413"/>
      <c r="AC669" s="421" t="e">
        <f aca="false">IF(ABS(t-ROUND(t,0))&lt;0.001,t,NA())</f>
        <v>#N/A</v>
      </c>
      <c r="AD669" s="426" t="e">
        <f aca="false">IF(ABS(t-ROUND(t,0))&lt;0.001,pos_x,NA())</f>
        <v>#N/A</v>
      </c>
      <c r="AE669" s="427" t="e">
        <f aca="false">IF(t&lt;T_para, pos_z, NA())</f>
        <v>#N/A</v>
      </c>
      <c r="AF669" s="413"/>
      <c r="AG669" s="419" t="n">
        <f aca="false">IF(AND(L668&lt;L_rampe,Poussee&lt;Poids*SIN(M668)),0,(-W668+Poussee)/m-Poids*SIN(M668)/m)</f>
        <v>5.95496029872005</v>
      </c>
      <c r="AH669" s="418" t="n">
        <f aca="false">IF(AND(L668&lt;L_rampe,Poussee&lt;Poids*SIN(M668)), g*SIN(M668), (-W668+Poussee)/m)</f>
        <v>-3.75419933550329</v>
      </c>
    </row>
    <row r="670" customFormat="false" ht="12" hidden="false" customHeight="false" outlineLevel="0" collapsed="false">
      <c r="A670" s="417" t="n">
        <f aca="false">IF(B669+0.01&lt;=T_ini+ROUNDUP(Temps_fin_propu,0), 0.01, IF(K669&gt;0, 0.1, 0.0001))</f>
        <v>0.0001</v>
      </c>
      <c r="B670" s="418" t="n">
        <f aca="false">B669+pas</f>
        <v>16.5320999999999</v>
      </c>
      <c r="C670" s="402"/>
      <c r="D670" s="419" t="n">
        <f aca="false">IF(AND(L669&lt;L_rampe,Poussee&lt;Poids*SIN(M669)),0,(-W669+Poussee)/m*COS(M669)-U669/m*SIN(M669))</f>
        <v>-0.536905341707931</v>
      </c>
      <c r="E670" s="420" t="n">
        <f aca="false">IF(AND(L669&lt;L_rampe,Poussee&lt;Poids*SIN(M669)),0,(-W669+Poussee)/m*SIN(M669)+U669/m*COS(M669)-Poids/m)</f>
        <v>-6.09432605835892</v>
      </c>
      <c r="F670" s="418" t="n">
        <f aca="false">SQRT(acc_x^2+acc_z^2)</f>
        <v>6.11793081454401</v>
      </c>
      <c r="G670" s="419" t="n">
        <f aca="false">G669+acc_x*pas</f>
        <v>10.2700103899727</v>
      </c>
      <c r="H670" s="420" t="n">
        <f aca="false">H669+acc_z*pas</f>
        <v>-71.0749804968486</v>
      </c>
      <c r="I670" s="418" t="n">
        <f aca="false">SQRT(vit_x^2+vit_z^2)</f>
        <v>71.8131322672779</v>
      </c>
      <c r="J670" s="419" t="n">
        <f aca="false">J669+0.5*(vit_x+G669)*pas*(K669&gt;=0)</f>
        <v>211.791153319536</v>
      </c>
      <c r="K670" s="420" t="n">
        <f aca="false">K669+0.5*(vit_z+H669)*pas</f>
        <v>-6.7112254858269</v>
      </c>
      <c r="L670" s="418" t="n">
        <f aca="false">SQRT(pos_x^2+pos_z^2)</f>
        <v>211.897459097415</v>
      </c>
      <c r="M670" s="419" t="n">
        <f aca="false">IF(AND(L669&gt;L_rampe,G670&gt;0),ATAN2(G670,H670),$M$4)</f>
        <v>-1.42729411314942</v>
      </c>
      <c r="N670" s="418" t="n">
        <f aca="false">DEGREES(Beta)</f>
        <v>-81.7779288073295</v>
      </c>
      <c r="O670" s="402"/>
      <c r="P670" s="421" t="n">
        <f aca="false">MATCH(t-pas/2-T_ini,CdP_t)</f>
        <v>23</v>
      </c>
      <c r="Q670" s="418" t="n">
        <f aca="false">(INDEX(CdP,2,i_P+1)-INDEX(CdP,2,i_P+0))/(INDEX(CdP,1,i_P+1)-INDEX(CdP,1,i_P+0))*(t-pas/2-T_ini-INDEX(CdP,1,i_P+0))+INDEX(CdP,2,i_P+0)</f>
        <v>0</v>
      </c>
      <c r="R670" s="419" t="n">
        <f aca="false">Poussee/(g*ISP)</f>
        <v>0</v>
      </c>
      <c r="S670" s="420" t="n">
        <f aca="false">S669-Débit*pas</f>
        <v>1.4843</v>
      </c>
      <c r="T670" s="418" t="n">
        <f aca="false">m*g</f>
        <v>14.560983</v>
      </c>
      <c r="U670" s="422" t="n">
        <f aca="false">IF(pos_xz&lt;L_rampe,Poids*COS(Beta),0)</f>
        <v>0</v>
      </c>
      <c r="V670" s="419" t="n">
        <f aca="false">Rho_moyen*(20000-Alt_rampe-pos_z)/(20000+Alt_rampe+pos_z)</f>
        <v>1.22582240108797</v>
      </c>
      <c r="W670" s="418" t="n">
        <f aca="false">1/2*Rho*Sref*Cx*vit_xz^2</f>
        <v>5.57255082932646</v>
      </c>
      <c r="X670" s="402"/>
      <c r="Y670" s="423" t="str">
        <f aca="false">IF(AND(pos_z&lt;=0,K669&gt;0),"Impact balistique","") &amp; IF(AND(H671&lt;0,vit_z&gt;=0),"Apogée","") &amp; IF(AND(Poussee=0,Q669&gt;0),"Fin de propulsion","") &amp; IF(AND(L671&gt;L_rampe,pos_xz&lt;=L_rampe),"Sortie de rampe","")</f>
        <v/>
      </c>
      <c r="Z670" s="424" t="str">
        <f aca="false">IF(ABS(t-T_para)&lt;pas/2,"Para","")</f>
        <v/>
      </c>
      <c r="AA670" s="425" t="str">
        <f aca="false">IF(ABS(t-T_satellite)&lt;pas/2,"Satellite","")</f>
        <v/>
      </c>
      <c r="AB670" s="413"/>
      <c r="AC670" s="421" t="e">
        <f aca="false">IF(ABS(t-ROUND(t,0))&lt;0.001,t,NA())</f>
        <v>#N/A</v>
      </c>
      <c r="AD670" s="426" t="e">
        <f aca="false">IF(ABS(t-ROUND(t,0))&lt;0.001,pos_x,NA())</f>
        <v>#N/A</v>
      </c>
      <c r="AE670" s="427" t="e">
        <f aca="false">IF(t&lt;T_para, pos_z, NA())</f>
        <v>#N/A</v>
      </c>
      <c r="AF670" s="413"/>
      <c r="AG670" s="419" t="n">
        <f aca="false">IF(AND(L669&lt;L_rampe,Poussee&lt;Poids*SIN(M669)),0,(-W669+Poussee)/m-Poids*SIN(M669)/m)</f>
        <v>5.95489810810828</v>
      </c>
      <c r="AH670" s="418" t="n">
        <f aca="false">IF(AND(L669&lt;L_rampe,Poussee&lt;Poids*SIN(M669)), g*SIN(M669), (-W669+Poussee)/m)</f>
        <v>-3.75426426700959</v>
      </c>
    </row>
    <row r="671" customFormat="false" ht="12" hidden="false" customHeight="false" outlineLevel="0" collapsed="false">
      <c r="A671" s="417" t="n">
        <f aca="false">IF(B670+0.01&lt;=T_ini+ROUNDUP(Temps_fin_propu,0), 0.01, IF(K670&gt;0, 0.1, 0.0001))</f>
        <v>0.0001</v>
      </c>
      <c r="B671" s="418" t="n">
        <f aca="false">B670+pas</f>
        <v>16.5321999999999</v>
      </c>
      <c r="C671" s="402"/>
      <c r="D671" s="419" t="n">
        <f aca="false">IF(AND(L670&lt;L_rampe,Poussee&lt;Poids*SIN(M670)),0,(-W670+Poussee)/m*COS(M670)-U670/m*SIN(M670))</f>
        <v>-0.53690736859131</v>
      </c>
      <c r="E671" s="420" t="n">
        <f aca="false">IF(AND(L670&lt;L_rampe,Poussee&lt;Poids*SIN(M670)),0,(-W670+Poussee)/m*SIN(M670)+U670/m*COS(M670)-Poids/m)</f>
        <v>-6.09426074539316</v>
      </c>
      <c r="F671" s="418" t="n">
        <f aca="false">SQRT(acc_x^2+acc_z^2)</f>
        <v>6.11786593145744</v>
      </c>
      <c r="G671" s="419" t="n">
        <f aca="false">G670+acc_x*pas</f>
        <v>10.2699566992358</v>
      </c>
      <c r="H671" s="420" t="n">
        <f aca="false">H670+acc_z*pas</f>
        <v>-71.0755899229231</v>
      </c>
      <c r="I671" s="418" t="n">
        <f aca="false">SQRT(vit_x^2+vit_z^2)</f>
        <v>71.8137277510067</v>
      </c>
      <c r="J671" s="419" t="n">
        <f aca="false">J670+0.5*(vit_x+G670)*pas*(K670&gt;=0)</f>
        <v>211.791153319536</v>
      </c>
      <c r="K671" s="420" t="n">
        <f aca="false">K670+0.5*(vit_z+H670)*pas</f>
        <v>-6.71833301434789</v>
      </c>
      <c r="L671" s="418" t="n">
        <f aca="false">SQRT(pos_x^2+pos_z^2)</f>
        <v>211.897684326448</v>
      </c>
      <c r="M671" s="419" t="n">
        <f aca="false">IF(AND(L670&gt;L_rampe,G671&gt;0),ATAN2(G671,H671),$M$4)</f>
        <v>-1.42729606671749</v>
      </c>
      <c r="N671" s="418" t="n">
        <f aca="false">DEGREES(Beta)</f>
        <v>-81.7780407385352</v>
      </c>
      <c r="O671" s="402"/>
      <c r="P671" s="421" t="n">
        <f aca="false">MATCH(t-pas/2-T_ini,CdP_t)</f>
        <v>23</v>
      </c>
      <c r="Q671" s="418" t="n">
        <f aca="false">(INDEX(CdP,2,i_P+1)-INDEX(CdP,2,i_P+0))/(INDEX(CdP,1,i_P+1)-INDEX(CdP,1,i_P+0))*(t-pas/2-T_ini-INDEX(CdP,1,i_P+0))+INDEX(CdP,2,i_P+0)</f>
        <v>0</v>
      </c>
      <c r="R671" s="419" t="n">
        <f aca="false">Poussee/(g*ISP)</f>
        <v>0</v>
      </c>
      <c r="S671" s="420" t="n">
        <f aca="false">S670-Débit*pas</f>
        <v>1.4843</v>
      </c>
      <c r="T671" s="418" t="n">
        <f aca="false">m*g</f>
        <v>14.560983</v>
      </c>
      <c r="U671" s="422" t="n">
        <f aca="false">IF(pos_xz&lt;L_rampe,Poids*COS(Beta),0)</f>
        <v>0</v>
      </c>
      <c r="V671" s="419" t="n">
        <f aca="false">Rho_moyen*(20000-Alt_rampe-pos_z)/(20000+Alt_rampe+pos_z)</f>
        <v>1.22582327234515</v>
      </c>
      <c r="W671" s="418" t="n">
        <f aca="false">1/2*Rho*Sref*Cx*vit_xz^2</f>
        <v>5.57264720709991</v>
      </c>
      <c r="X671" s="402"/>
      <c r="Y671" s="423" t="str">
        <f aca="false">IF(AND(pos_z&lt;=0,K670&gt;0),"Impact balistique","") &amp; IF(AND(H672&lt;0,vit_z&gt;=0),"Apogée","") &amp; IF(AND(Poussee=0,Q670&gt;0),"Fin de propulsion","") &amp; IF(AND(L672&gt;L_rampe,pos_xz&lt;=L_rampe),"Sortie de rampe","")</f>
        <v/>
      </c>
      <c r="Z671" s="424" t="str">
        <f aca="false">IF(ABS(t-T_para)&lt;pas/2,"Para","")</f>
        <v/>
      </c>
      <c r="AA671" s="425" t="str">
        <f aca="false">IF(ABS(t-T_satellite)&lt;pas/2,"Satellite","")</f>
        <v/>
      </c>
      <c r="AB671" s="413"/>
      <c r="AC671" s="421" t="e">
        <f aca="false">IF(ABS(t-ROUND(t,0))&lt;0.001,t,NA())</f>
        <v>#N/A</v>
      </c>
      <c r="AD671" s="426" t="e">
        <f aca="false">IF(ABS(t-ROUND(t,0))&lt;0.001,pos_x,NA())</f>
        <v>#N/A</v>
      </c>
      <c r="AE671" s="427" t="e">
        <f aca="false">IF(t&lt;T_para, pos_z, NA())</f>
        <v>#N/A</v>
      </c>
      <c r="AF671" s="413"/>
      <c r="AG671" s="419" t="n">
        <f aca="false">IF(AND(L670&lt;L_rampe,Poussee&lt;Poids*SIN(M670)),0,(-W670+Poussee)/m-Poids*SIN(M670)/m)</f>
        <v>5.95483591742033</v>
      </c>
      <c r="AH671" s="418" t="n">
        <f aca="false">IF(AND(L670&lt;L_rampe,Poussee&lt;Poids*SIN(M670)), g*SIN(M670), (-W670+Poussee)/m)</f>
        <v>-3.75432919849523</v>
      </c>
    </row>
    <row r="672" customFormat="false" ht="12" hidden="false" customHeight="false" outlineLevel="0" collapsed="false">
      <c r="A672" s="417" t="n">
        <f aca="false">IF(B671+0.01&lt;=T_ini+ROUNDUP(Temps_fin_propu,0), 0.01, IF(K671&gt;0, 0.1, 0.0001))</f>
        <v>0.0001</v>
      </c>
      <c r="B672" s="418" t="n">
        <f aca="false">B671+pas</f>
        <v>16.5322999999999</v>
      </c>
      <c r="C672" s="402"/>
      <c r="D672" s="419" t="n">
        <f aca="false">IF(AND(L671&lt;L_rampe,Poussee&lt;Poids*SIN(M671)),0,(-W671+Poussee)/m*COS(M671)-U671/m*SIN(M671))</f>
        <v>-0.53690939537693</v>
      </c>
      <c r="E672" s="420" t="n">
        <f aca="false">IF(AND(L671&lt;L_rampe,Poussee&lt;Poids*SIN(M671)),0,(-W671+Poussee)/m*SIN(M671)+U671/m*COS(M671)-Poids/m)</f>
        <v>-6.09419543244864</v>
      </c>
      <c r="F672" s="418" t="n">
        <f aca="false">SQRT(acc_x^2+acc_z^2)</f>
        <v>6.11780104839328</v>
      </c>
      <c r="G672" s="419" t="n">
        <f aca="false">G671+acc_x*pas</f>
        <v>10.2699030082963</v>
      </c>
      <c r="H672" s="420" t="n">
        <f aca="false">H671+acc_z*pas</f>
        <v>-71.0761993424663</v>
      </c>
      <c r="I672" s="418" t="n">
        <f aca="false">SQRT(vit_x^2+vit_z^2)</f>
        <v>71.8143232285164</v>
      </c>
      <c r="J672" s="419" t="n">
        <f aca="false">J671+0.5*(vit_x+G671)*pas*(K671&gt;=0)</f>
        <v>211.791153319536</v>
      </c>
      <c r="K672" s="420" t="n">
        <f aca="false">K671+0.5*(vit_z+H671)*pas</f>
        <v>-6.72544060381116</v>
      </c>
      <c r="L672" s="418" t="n">
        <f aca="false">SQRT(pos_x^2+pos_z^2)</f>
        <v>211.897909795577</v>
      </c>
      <c r="M672" s="419" t="n">
        <f aca="false">IF(AND(L671&gt;L_rampe,G672&gt;0),ATAN2(G672,H672),$M$4)</f>
        <v>-1.42729802024296</v>
      </c>
      <c r="N672" s="418" t="n">
        <f aca="false">DEGREES(Beta)</f>
        <v>-81.7781526672995</v>
      </c>
      <c r="O672" s="402"/>
      <c r="P672" s="421" t="n">
        <f aca="false">MATCH(t-pas/2-T_ini,CdP_t)</f>
        <v>23</v>
      </c>
      <c r="Q672" s="418" t="n">
        <f aca="false">(INDEX(CdP,2,i_P+1)-INDEX(CdP,2,i_P+0))/(INDEX(CdP,1,i_P+1)-INDEX(CdP,1,i_P+0))*(t-pas/2-T_ini-INDEX(CdP,1,i_P+0))+INDEX(CdP,2,i_P+0)</f>
        <v>0</v>
      </c>
      <c r="R672" s="419" t="n">
        <f aca="false">Poussee/(g*ISP)</f>
        <v>0</v>
      </c>
      <c r="S672" s="420" t="n">
        <f aca="false">S671-Débit*pas</f>
        <v>1.4843</v>
      </c>
      <c r="T672" s="418" t="n">
        <f aca="false">m*g</f>
        <v>14.560983</v>
      </c>
      <c r="U672" s="422" t="n">
        <f aca="false">IF(pos_xz&lt;L_rampe,Poids*COS(Beta),0)</f>
        <v>0</v>
      </c>
      <c r="V672" s="419" t="n">
        <f aca="false">Rho_moyen*(20000-Alt_rampe-pos_z)/(20000+Alt_rampe+pos_z)</f>
        <v>1.22582414361041</v>
      </c>
      <c r="W672" s="418" t="n">
        <f aca="false">1/2*Rho*Sref*Cx*vit_xz^2</f>
        <v>5.57274358484264</v>
      </c>
      <c r="X672" s="402"/>
      <c r="Y672" s="423" t="str">
        <f aca="false">IF(AND(pos_z&lt;=0,K671&gt;0),"Impact balistique","") &amp; IF(AND(H673&lt;0,vit_z&gt;=0),"Apogée","") &amp; IF(AND(Poussee=0,Q671&gt;0),"Fin de propulsion","") &amp; IF(AND(L673&gt;L_rampe,pos_xz&lt;=L_rampe),"Sortie de rampe","")</f>
        <v/>
      </c>
      <c r="Z672" s="424" t="str">
        <f aca="false">IF(ABS(t-T_para)&lt;pas/2,"Para","")</f>
        <v/>
      </c>
      <c r="AA672" s="425" t="str">
        <f aca="false">IF(ABS(t-T_satellite)&lt;pas/2,"Satellite","")</f>
        <v/>
      </c>
      <c r="AB672" s="413"/>
      <c r="AC672" s="421" t="e">
        <f aca="false">IF(ABS(t-ROUND(t,0))&lt;0.001,t,NA())</f>
        <v>#N/A</v>
      </c>
      <c r="AD672" s="426" t="e">
        <f aca="false">IF(ABS(t-ROUND(t,0))&lt;0.001,pos_x,NA())</f>
        <v>#N/A</v>
      </c>
      <c r="AE672" s="427" t="e">
        <f aca="false">IF(t&lt;T_para, pos_z, NA())</f>
        <v>#N/A</v>
      </c>
      <c r="AF672" s="413"/>
      <c r="AG672" s="419" t="n">
        <f aca="false">IF(AND(L671&lt;L_rampe,Poussee&lt;Poids*SIN(M671)),0,(-W671+Poussee)/m-Poids*SIN(M671)/m)</f>
        <v>5.95477372665621</v>
      </c>
      <c r="AH672" s="418" t="n">
        <f aca="false">IF(AND(L671&lt;L_rampe,Poussee&lt;Poids*SIN(M671)), g*SIN(M671), (-W671+Poussee)/m)</f>
        <v>-3.7543941299602</v>
      </c>
    </row>
    <row r="673" customFormat="false" ht="12" hidden="false" customHeight="false" outlineLevel="0" collapsed="false">
      <c r="A673" s="417" t="n">
        <f aca="false">IF(B672+0.01&lt;=T_ini+ROUNDUP(Temps_fin_propu,0), 0.01, IF(K672&gt;0, 0.1, 0.0001))</f>
        <v>0.0001</v>
      </c>
      <c r="B673" s="418" t="n">
        <f aca="false">B672+pas</f>
        <v>16.5323999999999</v>
      </c>
      <c r="C673" s="402"/>
      <c r="D673" s="419" t="n">
        <f aca="false">IF(AND(L672&lt;L_rampe,Poussee&lt;Poids*SIN(M672)),0,(-W672+Poussee)/m*COS(M672)-U672/m*SIN(M672))</f>
        <v>-0.536911422064788</v>
      </c>
      <c r="E673" s="420" t="n">
        <f aca="false">IF(AND(L672&lt;L_rampe,Poussee&lt;Poids*SIN(M672)),0,(-W672+Poussee)/m*SIN(M672)+U672/m*COS(M672)-Poids/m)</f>
        <v>-6.09413011952538</v>
      </c>
      <c r="F673" s="418" t="n">
        <f aca="false">SQRT(acc_x^2+acc_z^2)</f>
        <v>6.11773616535153</v>
      </c>
      <c r="G673" s="419" t="n">
        <f aca="false">G672+acc_x*pas</f>
        <v>10.2698493171541</v>
      </c>
      <c r="H673" s="420" t="n">
        <f aca="false">H672+acc_z*pas</f>
        <v>-71.0768087554783</v>
      </c>
      <c r="I673" s="418" t="n">
        <f aca="false">SQRT(vit_x^2+vit_z^2)</f>
        <v>71.814918699807</v>
      </c>
      <c r="J673" s="419" t="n">
        <f aca="false">J672+0.5*(vit_x+G672)*pas*(K672&gt;=0)</f>
        <v>211.791153319536</v>
      </c>
      <c r="K673" s="420" t="n">
        <f aca="false">K672+0.5*(vit_z+H672)*pas</f>
        <v>-6.73254825421606</v>
      </c>
      <c r="L673" s="418" t="n">
        <f aca="false">SQRT(pos_x^2+pos_z^2)</f>
        <v>211.89813550481</v>
      </c>
      <c r="M673" s="419" t="n">
        <f aca="false">IF(AND(L672&gt;L_rampe,G673&gt;0),ATAN2(G673,H673),$M$4)</f>
        <v>-1.42729997372582</v>
      </c>
      <c r="N673" s="418" t="n">
        <f aca="false">DEGREES(Beta)</f>
        <v>-81.7782645936225</v>
      </c>
      <c r="O673" s="402"/>
      <c r="P673" s="421" t="n">
        <f aca="false">MATCH(t-pas/2-T_ini,CdP_t)</f>
        <v>23</v>
      </c>
      <c r="Q673" s="418" t="n">
        <f aca="false">(INDEX(CdP,2,i_P+1)-INDEX(CdP,2,i_P+0))/(INDEX(CdP,1,i_P+1)-INDEX(CdP,1,i_P+0))*(t-pas/2-T_ini-INDEX(CdP,1,i_P+0))+INDEX(CdP,2,i_P+0)</f>
        <v>0</v>
      </c>
      <c r="R673" s="419" t="n">
        <f aca="false">Poussee/(g*ISP)</f>
        <v>0</v>
      </c>
      <c r="S673" s="420" t="n">
        <f aca="false">S672-Débit*pas</f>
        <v>1.4843</v>
      </c>
      <c r="T673" s="418" t="n">
        <f aca="false">m*g</f>
        <v>14.560983</v>
      </c>
      <c r="U673" s="422" t="n">
        <f aca="false">IF(pos_xz&lt;L_rampe,Poids*COS(Beta),0)</f>
        <v>0</v>
      </c>
      <c r="V673" s="419" t="n">
        <f aca="false">Rho_moyen*(20000-Alt_rampe-pos_z)/(20000+Alt_rampe+pos_z)</f>
        <v>1.22582501488377</v>
      </c>
      <c r="W673" s="418" t="n">
        <f aca="false">1/2*Rho*Sref*Cx*vit_xz^2</f>
        <v>5.57283996255464</v>
      </c>
      <c r="X673" s="402"/>
      <c r="Y673" s="423" t="str">
        <f aca="false">IF(AND(pos_z&lt;=0,K672&gt;0),"Impact balistique","") &amp; IF(AND(H674&lt;0,vit_z&gt;=0),"Apogée","") &amp; IF(AND(Poussee=0,Q672&gt;0),"Fin de propulsion","") &amp; IF(AND(L674&gt;L_rampe,pos_xz&lt;=L_rampe),"Sortie de rampe","")</f>
        <v/>
      </c>
      <c r="Z673" s="424" t="str">
        <f aca="false">IF(ABS(t-T_para)&lt;pas/2,"Para","")</f>
        <v/>
      </c>
      <c r="AA673" s="425" t="str">
        <f aca="false">IF(ABS(t-T_satellite)&lt;pas/2,"Satellite","")</f>
        <v/>
      </c>
      <c r="AB673" s="413"/>
      <c r="AC673" s="421" t="e">
        <f aca="false">IF(ABS(t-ROUND(t,0))&lt;0.001,t,NA())</f>
        <v>#N/A</v>
      </c>
      <c r="AD673" s="426" t="e">
        <f aca="false">IF(ABS(t-ROUND(t,0))&lt;0.001,pos_x,NA())</f>
        <v>#N/A</v>
      </c>
      <c r="AE673" s="427" t="e">
        <f aca="false">IF(t&lt;T_para, pos_z, NA())</f>
        <v>#N/A</v>
      </c>
      <c r="AF673" s="413"/>
      <c r="AG673" s="419" t="n">
        <f aca="false">IF(AND(L672&lt;L_rampe,Poussee&lt;Poids*SIN(M672)),0,(-W672+Poussee)/m-Poids*SIN(M672)/m)</f>
        <v>5.95471153581596</v>
      </c>
      <c r="AH673" s="418" t="n">
        <f aca="false">IF(AND(L672&lt;L_rampe,Poussee&lt;Poids*SIN(M672)), g*SIN(M672), (-W672+Poussee)/m)</f>
        <v>-3.75445906140447</v>
      </c>
    </row>
    <row r="674" customFormat="false" ht="12" hidden="false" customHeight="false" outlineLevel="0" collapsed="false">
      <c r="A674" s="417" t="n">
        <f aca="false">IF(B673+0.01&lt;=T_ini+ROUNDUP(Temps_fin_propu,0), 0.01, IF(K673&gt;0, 0.1, 0.0001))</f>
        <v>0.0001</v>
      </c>
      <c r="B674" s="418" t="n">
        <f aca="false">B673+pas</f>
        <v>16.5324999999999</v>
      </c>
      <c r="C674" s="402"/>
      <c r="D674" s="419" t="n">
        <f aca="false">IF(AND(L673&lt;L_rampe,Poussee&lt;Poids*SIN(M673)),0,(-W673+Poussee)/m*COS(M673)-U673/m*SIN(M673))</f>
        <v>-0.536913448654886</v>
      </c>
      <c r="E674" s="420" t="n">
        <f aca="false">IF(AND(L673&lt;L_rampe,Poussee&lt;Poids*SIN(M673)),0,(-W673+Poussee)/m*SIN(M673)+U673/m*COS(M673)-Poids/m)</f>
        <v>-6.09406480662339</v>
      </c>
      <c r="F674" s="418" t="n">
        <f aca="false">SQRT(acc_x^2+acc_z^2)</f>
        <v>6.11767128233221</v>
      </c>
      <c r="G674" s="419" t="n">
        <f aca="false">G673+acc_x*pas</f>
        <v>10.2697956258092</v>
      </c>
      <c r="H674" s="420" t="n">
        <f aca="false">H673+acc_z*pas</f>
        <v>-71.077418161959</v>
      </c>
      <c r="I674" s="418" t="n">
        <f aca="false">SQRT(vit_x^2+vit_z^2)</f>
        <v>71.8155141648785</v>
      </c>
      <c r="J674" s="419" t="n">
        <f aca="false">J673+0.5*(vit_x+G673)*pas*(K673&gt;=0)</f>
        <v>211.791153319536</v>
      </c>
      <c r="K674" s="420" t="n">
        <f aca="false">K673+0.5*(vit_z+H673)*pas</f>
        <v>-6.73965596556193</v>
      </c>
      <c r="L674" s="418" t="n">
        <f aca="false">SQRT(pos_x^2+pos_z^2)</f>
        <v>211.89836145415</v>
      </c>
      <c r="M674" s="419" t="n">
        <f aca="false">IF(AND(L673&gt;L_rampe,G674&gt;0),ATAN2(G674,H674),$M$4)</f>
        <v>-1.42730192716606</v>
      </c>
      <c r="N674" s="418" t="n">
        <f aca="false">DEGREES(Beta)</f>
        <v>-81.7783765175043</v>
      </c>
      <c r="O674" s="402"/>
      <c r="P674" s="421" t="n">
        <f aca="false">MATCH(t-pas/2-T_ini,CdP_t)</f>
        <v>23</v>
      </c>
      <c r="Q674" s="418" t="n">
        <f aca="false">(INDEX(CdP,2,i_P+1)-INDEX(CdP,2,i_P+0))/(INDEX(CdP,1,i_P+1)-INDEX(CdP,1,i_P+0))*(t-pas/2-T_ini-INDEX(CdP,1,i_P+0))+INDEX(CdP,2,i_P+0)</f>
        <v>0</v>
      </c>
      <c r="R674" s="419" t="n">
        <f aca="false">Poussee/(g*ISP)</f>
        <v>0</v>
      </c>
      <c r="S674" s="420" t="n">
        <f aca="false">S673-Débit*pas</f>
        <v>1.4843</v>
      </c>
      <c r="T674" s="418" t="n">
        <f aca="false">m*g</f>
        <v>14.560983</v>
      </c>
      <c r="U674" s="422" t="n">
        <f aca="false">IF(pos_xz&lt;L_rampe,Poids*COS(Beta),0)</f>
        <v>0</v>
      </c>
      <c r="V674" s="419" t="n">
        <f aca="false">Rho_moyen*(20000-Alt_rampe-pos_z)/(20000+Alt_rampe+pos_z)</f>
        <v>1.22582588616521</v>
      </c>
      <c r="W674" s="418" t="n">
        <f aca="false">1/2*Rho*Sref*Cx*vit_xz^2</f>
        <v>5.57293634023588</v>
      </c>
      <c r="X674" s="402"/>
      <c r="Y674" s="423" t="str">
        <f aca="false">IF(AND(pos_z&lt;=0,K673&gt;0),"Impact balistique","") &amp; IF(AND(H675&lt;0,vit_z&gt;=0),"Apogée","") &amp; IF(AND(Poussee=0,Q673&gt;0),"Fin de propulsion","") &amp; IF(AND(L675&gt;L_rampe,pos_xz&lt;=L_rampe),"Sortie de rampe","")</f>
        <v/>
      </c>
      <c r="Z674" s="424" t="str">
        <f aca="false">IF(ABS(t-T_para)&lt;pas/2,"Para","")</f>
        <v/>
      </c>
      <c r="AA674" s="425" t="str">
        <f aca="false">IF(ABS(t-T_satellite)&lt;pas/2,"Satellite","")</f>
        <v/>
      </c>
      <c r="AB674" s="413"/>
      <c r="AC674" s="421" t="e">
        <f aca="false">IF(ABS(t-ROUND(t,0))&lt;0.001,t,NA())</f>
        <v>#N/A</v>
      </c>
      <c r="AD674" s="426" t="e">
        <f aca="false">IF(ABS(t-ROUND(t,0))&lt;0.001,pos_x,NA())</f>
        <v>#N/A</v>
      </c>
      <c r="AE674" s="427" t="e">
        <f aca="false">IF(t&lt;T_para, pos_z, NA())</f>
        <v>#N/A</v>
      </c>
      <c r="AF674" s="413"/>
      <c r="AG674" s="419" t="n">
        <f aca="false">IF(AND(L673&lt;L_rampe,Poussee&lt;Poids*SIN(M673)),0,(-W673+Poussee)/m-Poids*SIN(M673)/m)</f>
        <v>5.95464934489958</v>
      </c>
      <c r="AH674" s="418" t="n">
        <f aca="false">IF(AND(L673&lt;L_rampe,Poussee&lt;Poids*SIN(M673)), g*SIN(M673), (-W673+Poussee)/m)</f>
        <v>-3.75452399282803</v>
      </c>
    </row>
    <row r="675" customFormat="false" ht="12" hidden="false" customHeight="false" outlineLevel="0" collapsed="false">
      <c r="A675" s="417" t="n">
        <f aca="false">IF(B674+0.01&lt;=T_ini+ROUNDUP(Temps_fin_propu,0), 0.01, IF(K674&gt;0, 0.1, 0.0001))</f>
        <v>0.0001</v>
      </c>
      <c r="B675" s="418" t="n">
        <f aca="false">B674+pas</f>
        <v>16.5325999999999</v>
      </c>
      <c r="C675" s="402"/>
      <c r="D675" s="419" t="n">
        <f aca="false">IF(AND(L674&lt;L_rampe,Poussee&lt;Poids*SIN(M674)),0,(-W674+Poussee)/m*COS(M674)-U674/m*SIN(M674))</f>
        <v>-0.536915475147225</v>
      </c>
      <c r="E675" s="420" t="n">
        <f aca="false">IF(AND(L674&lt;L_rampe,Poussee&lt;Poids*SIN(M674)),0,(-W674+Poussee)/m*SIN(M674)+U674/m*COS(M674)-Poids/m)</f>
        <v>-6.09399949374269</v>
      </c>
      <c r="F675" s="418" t="n">
        <f aca="false">SQRT(acc_x^2+acc_z^2)</f>
        <v>6.11760639933535</v>
      </c>
      <c r="G675" s="419" t="n">
        <f aca="false">G674+acc_x*pas</f>
        <v>10.2697419342617</v>
      </c>
      <c r="H675" s="420" t="n">
        <f aca="false">H674+acc_z*pas</f>
        <v>-71.0780275619083</v>
      </c>
      <c r="I675" s="418" t="n">
        <f aca="false">SQRT(vit_x^2+vit_z^2)</f>
        <v>71.8161096237309</v>
      </c>
      <c r="J675" s="419" t="n">
        <f aca="false">J674+0.5*(vit_x+G674)*pas*(K674&gt;=0)</f>
        <v>211.791153319536</v>
      </c>
      <c r="K675" s="420" t="n">
        <f aca="false">K674+0.5*(vit_z+H674)*pas</f>
        <v>-6.74676373784812</v>
      </c>
      <c r="L675" s="418" t="n">
        <f aca="false">SQRT(pos_x^2+pos_z^2)</f>
        <v>211.898587643603</v>
      </c>
      <c r="M675" s="419" t="n">
        <f aca="false">IF(AND(L674&gt;L_rampe,G675&gt;0),ATAN2(G675,H675),$M$4)</f>
        <v>-1.42730388056371</v>
      </c>
      <c r="N675" s="418" t="n">
        <f aca="false">DEGREES(Beta)</f>
        <v>-81.7784884389449</v>
      </c>
      <c r="O675" s="402"/>
      <c r="P675" s="421" t="n">
        <f aca="false">MATCH(t-pas/2-T_ini,CdP_t)</f>
        <v>23</v>
      </c>
      <c r="Q675" s="418" t="n">
        <f aca="false">(INDEX(CdP,2,i_P+1)-INDEX(CdP,2,i_P+0))/(INDEX(CdP,1,i_P+1)-INDEX(CdP,1,i_P+0))*(t-pas/2-T_ini-INDEX(CdP,1,i_P+0))+INDEX(CdP,2,i_P+0)</f>
        <v>0</v>
      </c>
      <c r="R675" s="419" t="n">
        <f aca="false">Poussee/(g*ISP)</f>
        <v>0</v>
      </c>
      <c r="S675" s="420" t="n">
        <f aca="false">S674-Débit*pas</f>
        <v>1.4843</v>
      </c>
      <c r="T675" s="418" t="n">
        <f aca="false">m*g</f>
        <v>14.560983</v>
      </c>
      <c r="U675" s="422" t="n">
        <f aca="false">IF(pos_xz&lt;L_rampe,Poids*COS(Beta),0)</f>
        <v>0</v>
      </c>
      <c r="V675" s="419" t="n">
        <f aca="false">Rho_moyen*(20000-Alt_rampe-pos_z)/(20000+Alt_rampe+pos_z)</f>
        <v>1.22582675745475</v>
      </c>
      <c r="W675" s="418" t="n">
        <f aca="false">1/2*Rho*Sref*Cx*vit_xz^2</f>
        <v>5.57303271788633</v>
      </c>
      <c r="X675" s="402"/>
      <c r="Y675" s="423" t="str">
        <f aca="false">IF(AND(pos_z&lt;=0,K674&gt;0),"Impact balistique","") &amp; IF(AND(H676&lt;0,vit_z&gt;=0),"Apogée","") &amp; IF(AND(Poussee=0,Q674&gt;0),"Fin de propulsion","") &amp; IF(AND(L676&gt;L_rampe,pos_xz&lt;=L_rampe),"Sortie de rampe","")</f>
        <v/>
      </c>
      <c r="Z675" s="424" t="str">
        <f aca="false">IF(ABS(t-T_para)&lt;pas/2,"Para","")</f>
        <v/>
      </c>
      <c r="AA675" s="425" t="str">
        <f aca="false">IF(ABS(t-T_satellite)&lt;pas/2,"Satellite","")</f>
        <v/>
      </c>
      <c r="AB675" s="413"/>
      <c r="AC675" s="421" t="e">
        <f aca="false">IF(ABS(t-ROUND(t,0))&lt;0.001,t,NA())</f>
        <v>#N/A</v>
      </c>
      <c r="AD675" s="426" t="e">
        <f aca="false">IF(ABS(t-ROUND(t,0))&lt;0.001,pos_x,NA())</f>
        <v>#N/A</v>
      </c>
      <c r="AE675" s="427" t="e">
        <f aca="false">IF(t&lt;T_para, pos_z, NA())</f>
        <v>#N/A</v>
      </c>
      <c r="AF675" s="413"/>
      <c r="AG675" s="419" t="n">
        <f aca="false">IF(AND(L674&lt;L_rampe,Poussee&lt;Poids*SIN(M674)),0,(-W674+Poussee)/m-Poids*SIN(M674)/m)</f>
        <v>5.95458715390711</v>
      </c>
      <c r="AH675" s="418" t="n">
        <f aca="false">IF(AND(L674&lt;L_rampe,Poussee&lt;Poids*SIN(M674)), g*SIN(M674), (-W674+Poussee)/m)</f>
        <v>-3.75458892423087</v>
      </c>
    </row>
    <row r="676" customFormat="false" ht="12" hidden="false" customHeight="false" outlineLevel="0" collapsed="false">
      <c r="A676" s="417" t="n">
        <f aca="false">IF(B675+0.01&lt;=T_ini+ROUNDUP(Temps_fin_propu,0), 0.01, IF(K675&gt;0, 0.1, 0.0001))</f>
        <v>0.0001</v>
      </c>
      <c r="B676" s="418" t="n">
        <f aca="false">B675+pas</f>
        <v>16.5326999999999</v>
      </c>
      <c r="C676" s="402"/>
      <c r="D676" s="419" t="n">
        <f aca="false">IF(AND(L675&lt;L_rampe,Poussee&lt;Poids*SIN(M675)),0,(-W675+Poussee)/m*COS(M675)-U675/m*SIN(M675))</f>
        <v>-0.536917501541805</v>
      </c>
      <c r="E676" s="420" t="n">
        <f aca="false">IF(AND(L675&lt;L_rampe,Poussee&lt;Poids*SIN(M675)),0,(-W675+Poussee)/m*SIN(M675)+U675/m*COS(M675)-Poids/m)</f>
        <v>-6.0939341808833</v>
      </c>
      <c r="F676" s="418" t="n">
        <f aca="false">SQRT(acc_x^2+acc_z^2)</f>
        <v>6.11754151636094</v>
      </c>
      <c r="G676" s="419" t="n">
        <f aca="false">G675+acc_x*pas</f>
        <v>10.2696882425116</v>
      </c>
      <c r="H676" s="420" t="n">
        <f aca="false">H675+acc_z*pas</f>
        <v>-71.0786369553264</v>
      </c>
      <c r="I676" s="418" t="n">
        <f aca="false">SQRT(vit_x^2+vit_z^2)</f>
        <v>71.8167050763642</v>
      </c>
      <c r="J676" s="419" t="n">
        <f aca="false">J675+0.5*(vit_x+G675)*pas*(K675&gt;=0)</f>
        <v>211.791153319536</v>
      </c>
      <c r="K676" s="420" t="n">
        <f aca="false">K675+0.5*(vit_z+H675)*pas</f>
        <v>-6.75387157107399</v>
      </c>
      <c r="L676" s="418" t="n">
        <f aca="false">SQRT(pos_x^2+pos_z^2)</f>
        <v>211.898814073175</v>
      </c>
      <c r="M676" s="419" t="n">
        <f aca="false">IF(AND(L675&gt;L_rampe,G676&gt;0),ATAN2(G676,H676),$M$4)</f>
        <v>-1.42730583391874</v>
      </c>
      <c r="N676" s="418" t="n">
        <f aca="false">DEGREES(Beta)</f>
        <v>-81.7786003579444</v>
      </c>
      <c r="O676" s="402"/>
      <c r="P676" s="421" t="n">
        <f aca="false">MATCH(t-pas/2-T_ini,CdP_t)</f>
        <v>23</v>
      </c>
      <c r="Q676" s="418" t="n">
        <f aca="false">(INDEX(CdP,2,i_P+1)-INDEX(CdP,2,i_P+0))/(INDEX(CdP,1,i_P+1)-INDEX(CdP,1,i_P+0))*(t-pas/2-T_ini-INDEX(CdP,1,i_P+0))+INDEX(CdP,2,i_P+0)</f>
        <v>0</v>
      </c>
      <c r="R676" s="419" t="n">
        <f aca="false">Poussee/(g*ISP)</f>
        <v>0</v>
      </c>
      <c r="S676" s="420" t="n">
        <f aca="false">S675-Débit*pas</f>
        <v>1.4843</v>
      </c>
      <c r="T676" s="418" t="n">
        <f aca="false">m*g</f>
        <v>14.560983</v>
      </c>
      <c r="U676" s="422" t="n">
        <f aca="false">IF(pos_xz&lt;L_rampe,Poids*COS(Beta),0)</f>
        <v>0</v>
      </c>
      <c r="V676" s="419" t="n">
        <f aca="false">Rho_moyen*(20000-Alt_rampe-pos_z)/(20000+Alt_rampe+pos_z)</f>
        <v>1.22582762875237</v>
      </c>
      <c r="W676" s="418" t="n">
        <f aca="false">1/2*Rho*Sref*Cx*vit_xz^2</f>
        <v>5.57312909550597</v>
      </c>
      <c r="X676" s="402"/>
      <c r="Y676" s="423" t="str">
        <f aca="false">IF(AND(pos_z&lt;=0,K675&gt;0),"Impact balistique","") &amp; IF(AND(H677&lt;0,vit_z&gt;=0),"Apogée","") &amp; IF(AND(Poussee=0,Q675&gt;0),"Fin de propulsion","") &amp; IF(AND(L677&gt;L_rampe,pos_xz&lt;=L_rampe),"Sortie de rampe","")</f>
        <v/>
      </c>
      <c r="Z676" s="424" t="str">
        <f aca="false">IF(ABS(t-T_para)&lt;pas/2,"Para","")</f>
        <v/>
      </c>
      <c r="AA676" s="425" t="str">
        <f aca="false">IF(ABS(t-T_satellite)&lt;pas/2,"Satellite","")</f>
        <v/>
      </c>
      <c r="AB676" s="413"/>
      <c r="AC676" s="421" t="e">
        <f aca="false">IF(ABS(t-ROUND(t,0))&lt;0.001,t,NA())</f>
        <v>#N/A</v>
      </c>
      <c r="AD676" s="426" t="e">
        <f aca="false">IF(ABS(t-ROUND(t,0))&lt;0.001,pos_x,NA())</f>
        <v>#N/A</v>
      </c>
      <c r="AE676" s="427" t="e">
        <f aca="false">IF(t&lt;T_para, pos_z, NA())</f>
        <v>#N/A</v>
      </c>
      <c r="AF676" s="413"/>
      <c r="AG676" s="419" t="n">
        <f aca="false">IF(AND(L675&lt;L_rampe,Poussee&lt;Poids*SIN(M675)),0,(-W675+Poussee)/m-Poids*SIN(M675)/m)</f>
        <v>5.95452496283855</v>
      </c>
      <c r="AH676" s="418" t="n">
        <f aca="false">IF(AND(L675&lt;L_rampe,Poussee&lt;Poids*SIN(M675)), g*SIN(M675), (-W675+Poussee)/m)</f>
        <v>-3.75465385561297</v>
      </c>
    </row>
    <row r="677" customFormat="false" ht="12" hidden="false" customHeight="false" outlineLevel="0" collapsed="false">
      <c r="A677" s="417" t="n">
        <f aca="false">IF(B676+0.01&lt;=T_ini+ROUNDUP(Temps_fin_propu,0), 0.01, IF(K676&gt;0, 0.1, 0.0001))</f>
        <v>0.0001</v>
      </c>
      <c r="B677" s="418" t="n">
        <f aca="false">B676+pas</f>
        <v>16.5327999999999</v>
      </c>
      <c r="C677" s="402"/>
      <c r="D677" s="419" t="n">
        <f aca="false">IF(AND(L676&lt;L_rampe,Poussee&lt;Poids*SIN(M676)),0,(-W676+Poussee)/m*COS(M676)-U676/m*SIN(M676))</f>
        <v>-0.536919527838627</v>
      </c>
      <c r="E677" s="420" t="n">
        <f aca="false">IF(AND(L676&lt;L_rampe,Poussee&lt;Poids*SIN(M676)),0,(-W676+Poussee)/m*SIN(M676)+U676/m*COS(M676)-Poids/m)</f>
        <v>-6.09386886804523</v>
      </c>
      <c r="F677" s="418" t="n">
        <f aca="false">SQRT(acc_x^2+acc_z^2)</f>
        <v>6.11747663340902</v>
      </c>
      <c r="G677" s="419" t="n">
        <f aca="false">G676+acc_x*pas</f>
        <v>10.2696345505588</v>
      </c>
      <c r="H677" s="420" t="n">
        <f aca="false">H676+acc_z*pas</f>
        <v>-71.0792463422132</v>
      </c>
      <c r="I677" s="418" t="n">
        <f aca="false">SQRT(vit_x^2+vit_z^2)</f>
        <v>71.8173005227784</v>
      </c>
      <c r="J677" s="419" t="n">
        <f aca="false">J676+0.5*(vit_x+G676)*pas*(K676&gt;=0)</f>
        <v>211.791153319536</v>
      </c>
      <c r="K677" s="420" t="n">
        <f aca="false">K676+0.5*(vit_z+H676)*pas</f>
        <v>-6.76097946523886</v>
      </c>
      <c r="L677" s="418" t="n">
        <f aca="false">SQRT(pos_x^2+pos_z^2)</f>
        <v>211.89904074287</v>
      </c>
      <c r="M677" s="419" t="n">
        <f aca="false">IF(AND(L676&gt;L_rampe,G677&gt;0),ATAN2(G677,H677),$M$4)</f>
        <v>-1.42730778723118</v>
      </c>
      <c r="N677" s="418" t="n">
        <f aca="false">DEGREES(Beta)</f>
        <v>-81.7787122745029</v>
      </c>
      <c r="O677" s="402"/>
      <c r="P677" s="421" t="n">
        <f aca="false">MATCH(t-pas/2-T_ini,CdP_t)</f>
        <v>23</v>
      </c>
      <c r="Q677" s="418" t="n">
        <f aca="false">(INDEX(CdP,2,i_P+1)-INDEX(CdP,2,i_P+0))/(INDEX(CdP,1,i_P+1)-INDEX(CdP,1,i_P+0))*(t-pas/2-T_ini-INDEX(CdP,1,i_P+0))+INDEX(CdP,2,i_P+0)</f>
        <v>0</v>
      </c>
      <c r="R677" s="419" t="n">
        <f aca="false">Poussee/(g*ISP)</f>
        <v>0</v>
      </c>
      <c r="S677" s="420" t="n">
        <f aca="false">S676-Débit*pas</f>
        <v>1.4843</v>
      </c>
      <c r="T677" s="418" t="n">
        <f aca="false">m*g</f>
        <v>14.560983</v>
      </c>
      <c r="U677" s="422" t="n">
        <f aca="false">IF(pos_xz&lt;L_rampe,Poids*COS(Beta),0)</f>
        <v>0</v>
      </c>
      <c r="V677" s="419" t="n">
        <f aca="false">Rho_moyen*(20000-Alt_rampe-pos_z)/(20000+Alt_rampe+pos_z)</f>
        <v>1.22582850005809</v>
      </c>
      <c r="W677" s="418" t="n">
        <f aca="false">1/2*Rho*Sref*Cx*vit_xz^2</f>
        <v>5.57322547309478</v>
      </c>
      <c r="X677" s="402"/>
      <c r="Y677" s="423" t="str">
        <f aca="false">IF(AND(pos_z&lt;=0,K676&gt;0),"Impact balistique","") &amp; IF(AND(H678&lt;0,vit_z&gt;=0),"Apogée","") &amp; IF(AND(Poussee=0,Q676&gt;0),"Fin de propulsion","") &amp; IF(AND(L678&gt;L_rampe,pos_xz&lt;=L_rampe),"Sortie de rampe","")</f>
        <v/>
      </c>
      <c r="Z677" s="424" t="str">
        <f aca="false">IF(ABS(t-T_para)&lt;pas/2,"Para","")</f>
        <v/>
      </c>
      <c r="AA677" s="425" t="str">
        <f aca="false">IF(ABS(t-T_satellite)&lt;pas/2,"Satellite","")</f>
        <v/>
      </c>
      <c r="AB677" s="413"/>
      <c r="AC677" s="421" t="e">
        <f aca="false">IF(ABS(t-ROUND(t,0))&lt;0.001,t,NA())</f>
        <v>#N/A</v>
      </c>
      <c r="AD677" s="426" t="e">
        <f aca="false">IF(ABS(t-ROUND(t,0))&lt;0.001,pos_x,NA())</f>
        <v>#N/A</v>
      </c>
      <c r="AE677" s="427" t="e">
        <f aca="false">IF(t&lt;T_para, pos_z, NA())</f>
        <v>#N/A</v>
      </c>
      <c r="AF677" s="413"/>
      <c r="AG677" s="419" t="n">
        <f aca="false">IF(AND(L676&lt;L_rampe,Poussee&lt;Poids*SIN(M676)),0,(-W676+Poussee)/m-Poids*SIN(M676)/m)</f>
        <v>5.95446277169394</v>
      </c>
      <c r="AH677" s="418" t="n">
        <f aca="false">IF(AND(L676&lt;L_rampe,Poussee&lt;Poids*SIN(M676)), g*SIN(M676), (-W676+Poussee)/m)</f>
        <v>-3.75471878697431</v>
      </c>
    </row>
    <row r="678" customFormat="false" ht="12" hidden="false" customHeight="false" outlineLevel="0" collapsed="false">
      <c r="A678" s="417" t="n">
        <f aca="false">IF(B677+0.01&lt;=T_ini+ROUNDUP(Temps_fin_propu,0), 0.01, IF(K677&gt;0, 0.1, 0.0001))</f>
        <v>0.0001</v>
      </c>
      <c r="B678" s="418" t="n">
        <f aca="false">B677+pas</f>
        <v>16.5328999999999</v>
      </c>
      <c r="C678" s="402"/>
      <c r="D678" s="419" t="n">
        <f aca="false">IF(AND(L677&lt;L_rampe,Poussee&lt;Poids*SIN(M677)),0,(-W677+Poussee)/m*COS(M677)-U677/m*SIN(M677))</f>
        <v>-0.536921554037693</v>
      </c>
      <c r="E678" s="420" t="n">
        <f aca="false">IF(AND(L677&lt;L_rampe,Poussee&lt;Poids*SIN(M677)),0,(-W677+Poussee)/m*SIN(M677)+U677/m*COS(M677)-Poids/m)</f>
        <v>-6.0938035552285</v>
      </c>
      <c r="F678" s="418" t="n">
        <f aca="false">SQRT(acc_x^2+acc_z^2)</f>
        <v>6.11741175047959</v>
      </c>
      <c r="G678" s="419" t="n">
        <f aca="false">G677+acc_x*pas</f>
        <v>10.2695808584034</v>
      </c>
      <c r="H678" s="420" t="n">
        <f aca="false">H677+acc_z*pas</f>
        <v>-71.0798557225687</v>
      </c>
      <c r="I678" s="418" t="n">
        <f aca="false">SQRT(vit_x^2+vit_z^2)</f>
        <v>71.8178959629734</v>
      </c>
      <c r="J678" s="419" t="n">
        <f aca="false">J677+0.5*(vit_x+G677)*pas*(K677&gt;=0)</f>
        <v>211.791153319536</v>
      </c>
      <c r="K678" s="420" t="n">
        <f aca="false">K677+0.5*(vit_z+H677)*pas</f>
        <v>-6.7680874203421</v>
      </c>
      <c r="L678" s="418" t="n">
        <f aca="false">SQRT(pos_x^2+pos_z^2)</f>
        <v>211.899267652695</v>
      </c>
      <c r="M678" s="419" t="n">
        <f aca="false">IF(AND(L677&gt;L_rampe,G678&gt;0),ATAN2(G678,H678),$M$4)</f>
        <v>-1.42730974050101</v>
      </c>
      <c r="N678" s="418" t="n">
        <f aca="false">DEGREES(Beta)</f>
        <v>-81.7788241886205</v>
      </c>
      <c r="O678" s="402"/>
      <c r="P678" s="421" t="n">
        <f aca="false">MATCH(t-pas/2-T_ini,CdP_t)</f>
        <v>23</v>
      </c>
      <c r="Q678" s="418" t="n">
        <f aca="false">(INDEX(CdP,2,i_P+1)-INDEX(CdP,2,i_P+0))/(INDEX(CdP,1,i_P+1)-INDEX(CdP,1,i_P+0))*(t-pas/2-T_ini-INDEX(CdP,1,i_P+0))+INDEX(CdP,2,i_P+0)</f>
        <v>0</v>
      </c>
      <c r="R678" s="419" t="n">
        <f aca="false">Poussee/(g*ISP)</f>
        <v>0</v>
      </c>
      <c r="S678" s="420" t="n">
        <f aca="false">S677-Débit*pas</f>
        <v>1.4843</v>
      </c>
      <c r="T678" s="418" t="n">
        <f aca="false">m*g</f>
        <v>14.560983</v>
      </c>
      <c r="U678" s="422" t="n">
        <f aca="false">IF(pos_xz&lt;L_rampe,Poids*COS(Beta),0)</f>
        <v>0</v>
      </c>
      <c r="V678" s="419" t="n">
        <f aca="false">Rho_moyen*(20000-Alt_rampe-pos_z)/(20000+Alt_rampe+pos_z)</f>
        <v>1.22582937137189</v>
      </c>
      <c r="W678" s="418" t="n">
        <f aca="false">1/2*Rho*Sref*Cx*vit_xz^2</f>
        <v>5.57332185065273</v>
      </c>
      <c r="X678" s="402"/>
      <c r="Y678" s="423" t="str">
        <f aca="false">IF(AND(pos_z&lt;=0,K677&gt;0),"Impact balistique","") &amp; IF(AND(H679&lt;0,vit_z&gt;=0),"Apogée","") &amp; IF(AND(Poussee=0,Q677&gt;0),"Fin de propulsion","") &amp; IF(AND(L679&gt;L_rampe,pos_xz&lt;=L_rampe),"Sortie de rampe","")</f>
        <v/>
      </c>
      <c r="Z678" s="424" t="str">
        <f aca="false">IF(ABS(t-T_para)&lt;pas/2,"Para","")</f>
        <v/>
      </c>
      <c r="AA678" s="425" t="str">
        <f aca="false">IF(ABS(t-T_satellite)&lt;pas/2,"Satellite","")</f>
        <v/>
      </c>
      <c r="AB678" s="413"/>
      <c r="AC678" s="421" t="e">
        <f aca="false">IF(ABS(t-ROUND(t,0))&lt;0.001,t,NA())</f>
        <v>#N/A</v>
      </c>
      <c r="AD678" s="426" t="e">
        <f aca="false">IF(ABS(t-ROUND(t,0))&lt;0.001,pos_x,NA())</f>
        <v>#N/A</v>
      </c>
      <c r="AE678" s="427" t="e">
        <f aca="false">IF(t&lt;T_para, pos_z, NA())</f>
        <v>#N/A</v>
      </c>
      <c r="AF678" s="413"/>
      <c r="AG678" s="419" t="n">
        <f aca="false">IF(AND(L677&lt;L_rampe,Poussee&lt;Poids*SIN(M677)),0,(-W677+Poussee)/m-Poids*SIN(M677)/m)</f>
        <v>5.95440058047329</v>
      </c>
      <c r="AH678" s="418" t="n">
        <f aca="false">IF(AND(L677&lt;L_rampe,Poussee&lt;Poids*SIN(M677)), g*SIN(M677), (-W677+Poussee)/m)</f>
        <v>-3.75478371831489</v>
      </c>
    </row>
    <row r="679" customFormat="false" ht="12" hidden="false" customHeight="false" outlineLevel="0" collapsed="false">
      <c r="A679" s="417" t="n">
        <f aca="false">IF(B678+0.01&lt;=T_ini+ROUNDUP(Temps_fin_propu,0), 0.01, IF(K678&gt;0, 0.1, 0.0001))</f>
        <v>0.0001</v>
      </c>
      <c r="B679" s="418" t="n">
        <f aca="false">B678+pas</f>
        <v>16.5329999999999</v>
      </c>
      <c r="C679" s="402"/>
      <c r="D679" s="419" t="n">
        <f aca="false">IF(AND(L678&lt;L_rampe,Poussee&lt;Poids*SIN(M678)),0,(-W678+Poussee)/m*COS(M678)-U678/m*SIN(M678))</f>
        <v>-0.536923580139001</v>
      </c>
      <c r="E679" s="420" t="n">
        <f aca="false">IF(AND(L678&lt;L_rampe,Poussee&lt;Poids*SIN(M678)),0,(-W678+Poussee)/m*SIN(M678)+U678/m*COS(M678)-Poids/m)</f>
        <v>-6.09373824243313</v>
      </c>
      <c r="F679" s="418" t="n">
        <f aca="false">SQRT(acc_x^2+acc_z^2)</f>
        <v>6.11734686757268</v>
      </c>
      <c r="G679" s="419" t="n">
        <f aca="false">G678+acc_x*pas</f>
        <v>10.2695271660454</v>
      </c>
      <c r="H679" s="420" t="n">
        <f aca="false">H678+acc_z*pas</f>
        <v>-71.080465096393</v>
      </c>
      <c r="I679" s="418" t="n">
        <f aca="false">SQRT(vit_x^2+vit_z^2)</f>
        <v>71.8184913969493</v>
      </c>
      <c r="J679" s="419" t="n">
        <f aca="false">J678+0.5*(vit_x+G678)*pas*(K678&gt;=0)</f>
        <v>211.791153319536</v>
      </c>
      <c r="K679" s="420" t="n">
        <f aca="false">K678+0.5*(vit_z+H678)*pas</f>
        <v>-6.77519543638305</v>
      </c>
      <c r="L679" s="418" t="n">
        <f aca="false">SQRT(pos_x^2+pos_z^2)</f>
        <v>211.899494802655</v>
      </c>
      <c r="M679" s="419" t="n">
        <f aca="false">IF(AND(L678&gt;L_rampe,G679&gt;0),ATAN2(G679,H679),$M$4)</f>
        <v>-1.42731169372824</v>
      </c>
      <c r="N679" s="418" t="n">
        <f aca="false">DEGREES(Beta)</f>
        <v>-81.7789361002972</v>
      </c>
      <c r="O679" s="402"/>
      <c r="P679" s="421" t="n">
        <f aca="false">MATCH(t-pas/2-T_ini,CdP_t)</f>
        <v>23</v>
      </c>
      <c r="Q679" s="418" t="n">
        <f aca="false">(INDEX(CdP,2,i_P+1)-INDEX(CdP,2,i_P+0))/(INDEX(CdP,1,i_P+1)-INDEX(CdP,1,i_P+0))*(t-pas/2-T_ini-INDEX(CdP,1,i_P+0))+INDEX(CdP,2,i_P+0)</f>
        <v>0</v>
      </c>
      <c r="R679" s="419" t="n">
        <f aca="false">Poussee/(g*ISP)</f>
        <v>0</v>
      </c>
      <c r="S679" s="420" t="n">
        <f aca="false">S678-Débit*pas</f>
        <v>1.4843</v>
      </c>
      <c r="T679" s="418" t="n">
        <f aca="false">m*g</f>
        <v>14.560983</v>
      </c>
      <c r="U679" s="422" t="n">
        <f aca="false">IF(pos_xz&lt;L_rampe,Poids*COS(Beta),0)</f>
        <v>0</v>
      </c>
      <c r="V679" s="419" t="n">
        <f aca="false">Rho_moyen*(20000-Alt_rampe-pos_z)/(20000+Alt_rampe+pos_z)</f>
        <v>1.22583024269378</v>
      </c>
      <c r="W679" s="418" t="n">
        <f aca="false">1/2*Rho*Sref*Cx*vit_xz^2</f>
        <v>5.57341822817981</v>
      </c>
      <c r="X679" s="402"/>
      <c r="Y679" s="423" t="str">
        <f aca="false">IF(AND(pos_z&lt;=0,K678&gt;0),"Impact balistique","") &amp; IF(AND(H680&lt;0,vit_z&gt;=0),"Apogée","") &amp; IF(AND(Poussee=0,Q678&gt;0),"Fin de propulsion","") &amp; IF(AND(L680&gt;L_rampe,pos_xz&lt;=L_rampe),"Sortie de rampe","")</f>
        <v/>
      </c>
      <c r="Z679" s="424" t="str">
        <f aca="false">IF(ABS(t-T_para)&lt;pas/2,"Para","")</f>
        <v/>
      </c>
      <c r="AA679" s="425" t="str">
        <f aca="false">IF(ABS(t-T_satellite)&lt;pas/2,"Satellite","")</f>
        <v/>
      </c>
      <c r="AB679" s="413"/>
      <c r="AC679" s="421" t="e">
        <f aca="false">IF(ABS(t-ROUND(t,0))&lt;0.001,t,NA())</f>
        <v>#N/A</v>
      </c>
      <c r="AD679" s="426" t="e">
        <f aca="false">IF(ABS(t-ROUND(t,0))&lt;0.001,pos_x,NA())</f>
        <v>#N/A</v>
      </c>
      <c r="AE679" s="427" t="e">
        <f aca="false">IF(t&lt;T_para, pos_z, NA())</f>
        <v>#N/A</v>
      </c>
      <c r="AF679" s="413"/>
      <c r="AG679" s="419" t="n">
        <f aca="false">IF(AND(L678&lt;L_rampe,Poussee&lt;Poids*SIN(M678)),0,(-W678+Poussee)/m-Poids*SIN(M678)/m)</f>
        <v>5.95433838917663</v>
      </c>
      <c r="AH679" s="418" t="n">
        <f aca="false">IF(AND(L678&lt;L_rampe,Poussee&lt;Poids*SIN(M678)), g*SIN(M678), (-W678+Poussee)/m)</f>
        <v>-3.75484864963467</v>
      </c>
    </row>
    <row r="680" customFormat="false" ht="12" hidden="false" customHeight="false" outlineLevel="0" collapsed="false">
      <c r="A680" s="417" t="n">
        <f aca="false">IF(B679+0.01&lt;=T_ini+ROUNDUP(Temps_fin_propu,0), 0.01, IF(K679&gt;0, 0.1, 0.0001))</f>
        <v>0.0001</v>
      </c>
      <c r="B680" s="418" t="n">
        <f aca="false">B679+pas</f>
        <v>16.5330999999999</v>
      </c>
      <c r="C680" s="402"/>
      <c r="D680" s="419" t="n">
        <f aca="false">IF(AND(L679&lt;L_rampe,Poussee&lt;Poids*SIN(M679)),0,(-W679+Poussee)/m*COS(M679)-U679/m*SIN(M679))</f>
        <v>-0.536925606142554</v>
      </c>
      <c r="E680" s="420" t="n">
        <f aca="false">IF(AND(L679&lt;L_rampe,Poussee&lt;Poids*SIN(M679)),0,(-W679+Poussee)/m*SIN(M679)+U679/m*COS(M679)-Poids/m)</f>
        <v>-6.09367292965912</v>
      </c>
      <c r="F680" s="418" t="n">
        <f aca="false">SQRT(acc_x^2+acc_z^2)</f>
        <v>6.1172819846883</v>
      </c>
      <c r="G680" s="419" t="n">
        <f aca="false">G679+acc_x*pas</f>
        <v>10.2694734734848</v>
      </c>
      <c r="H680" s="420" t="n">
        <f aca="false">H679+acc_z*pas</f>
        <v>-71.081074463686</v>
      </c>
      <c r="I680" s="418" t="n">
        <f aca="false">SQRT(vit_x^2+vit_z^2)</f>
        <v>71.8190868247061</v>
      </c>
      <c r="J680" s="419" t="n">
        <f aca="false">J679+0.5*(vit_x+G679)*pas*(K679&gt;=0)</f>
        <v>211.791153319536</v>
      </c>
      <c r="K680" s="420" t="n">
        <f aca="false">K679+0.5*(vit_z+H679)*pas</f>
        <v>-6.78230351336105</v>
      </c>
      <c r="L680" s="418" t="n">
        <f aca="false">SQRT(pos_x^2+pos_z^2)</f>
        <v>211.899722192755</v>
      </c>
      <c r="M680" s="419" t="n">
        <f aca="false">IF(AND(L679&gt;L_rampe,G680&gt;0),ATAN2(G680,H680),$M$4)</f>
        <v>-1.42731364691287</v>
      </c>
      <c r="N680" s="418" t="n">
        <f aca="false">DEGREES(Beta)</f>
        <v>-81.7790480095333</v>
      </c>
      <c r="O680" s="402"/>
      <c r="P680" s="421" t="n">
        <f aca="false">MATCH(t-pas/2-T_ini,CdP_t)</f>
        <v>23</v>
      </c>
      <c r="Q680" s="418" t="n">
        <f aca="false">(INDEX(CdP,2,i_P+1)-INDEX(CdP,2,i_P+0))/(INDEX(CdP,1,i_P+1)-INDEX(CdP,1,i_P+0))*(t-pas/2-T_ini-INDEX(CdP,1,i_P+0))+INDEX(CdP,2,i_P+0)</f>
        <v>0</v>
      </c>
      <c r="R680" s="419" t="n">
        <f aca="false">Poussee/(g*ISP)</f>
        <v>0</v>
      </c>
      <c r="S680" s="420" t="n">
        <f aca="false">S679-Débit*pas</f>
        <v>1.4843</v>
      </c>
      <c r="T680" s="418" t="n">
        <f aca="false">m*g</f>
        <v>14.560983</v>
      </c>
      <c r="U680" s="422" t="n">
        <f aca="false">IF(pos_xz&lt;L_rampe,Poids*COS(Beta),0)</f>
        <v>0</v>
      </c>
      <c r="V680" s="419" t="n">
        <f aca="false">Rho_moyen*(20000-Alt_rampe-pos_z)/(20000+Alt_rampe+pos_z)</f>
        <v>1.22583111402377</v>
      </c>
      <c r="W680" s="418" t="n">
        <f aca="false">1/2*Rho*Sref*Cx*vit_xz^2</f>
        <v>5.57351460567597</v>
      </c>
      <c r="X680" s="402"/>
      <c r="Y680" s="423" t="str">
        <f aca="false">IF(AND(pos_z&lt;=0,K679&gt;0),"Impact balistique","") &amp; IF(AND(H681&lt;0,vit_z&gt;=0),"Apogée","") &amp; IF(AND(Poussee=0,Q679&gt;0),"Fin de propulsion","") &amp; IF(AND(L681&gt;L_rampe,pos_xz&lt;=L_rampe),"Sortie de rampe","")</f>
        <v/>
      </c>
      <c r="Z680" s="424" t="str">
        <f aca="false">IF(ABS(t-T_para)&lt;pas/2,"Para","")</f>
        <v/>
      </c>
      <c r="AA680" s="425" t="str">
        <f aca="false">IF(ABS(t-T_satellite)&lt;pas/2,"Satellite","")</f>
        <v/>
      </c>
      <c r="AB680" s="413"/>
      <c r="AC680" s="421" t="e">
        <f aca="false">IF(ABS(t-ROUND(t,0))&lt;0.001,t,NA())</f>
        <v>#N/A</v>
      </c>
      <c r="AD680" s="426" t="e">
        <f aca="false">IF(ABS(t-ROUND(t,0))&lt;0.001,pos_x,NA())</f>
        <v>#N/A</v>
      </c>
      <c r="AE680" s="427" t="e">
        <f aca="false">IF(t&lt;T_para, pos_z, NA())</f>
        <v>#N/A</v>
      </c>
      <c r="AF680" s="413"/>
      <c r="AG680" s="419" t="n">
        <f aca="false">IF(AND(L679&lt;L_rampe,Poussee&lt;Poids*SIN(M679)),0,(-W679+Poussee)/m-Poids*SIN(M679)/m)</f>
        <v>5.95427619780396</v>
      </c>
      <c r="AH680" s="418" t="n">
        <f aca="false">IF(AND(L679&lt;L_rampe,Poussee&lt;Poids*SIN(M679)), g*SIN(M679), (-W679+Poussee)/m)</f>
        <v>-3.75491358093365</v>
      </c>
    </row>
    <row r="681" customFormat="false" ht="12" hidden="false" customHeight="false" outlineLevel="0" collapsed="false">
      <c r="A681" s="417" t="n">
        <f aca="false">IF(B680+0.01&lt;=T_ini+ROUNDUP(Temps_fin_propu,0), 0.01, IF(K680&gt;0, 0.1, 0.0001))</f>
        <v>0.0001</v>
      </c>
      <c r="B681" s="418" t="n">
        <f aca="false">B680+pas</f>
        <v>16.5331999999999</v>
      </c>
      <c r="C681" s="402"/>
      <c r="D681" s="419" t="n">
        <f aca="false">IF(AND(L680&lt;L_rampe,Poussee&lt;Poids*SIN(M680)),0,(-W680+Poussee)/m*COS(M680)-U680/m*SIN(M680))</f>
        <v>-0.536927632048351</v>
      </c>
      <c r="E681" s="420" t="n">
        <f aca="false">IF(AND(L680&lt;L_rampe,Poussee&lt;Poids*SIN(M680)),0,(-W680+Poussee)/m*SIN(M680)+U680/m*COS(M680)-Poids/m)</f>
        <v>-6.09360761690651</v>
      </c>
      <c r="F681" s="418" t="n">
        <f aca="false">SQRT(acc_x^2+acc_z^2)</f>
        <v>6.11721710182646</v>
      </c>
      <c r="G681" s="419" t="n">
        <f aca="false">G680+acc_x*pas</f>
        <v>10.2694197807215</v>
      </c>
      <c r="H681" s="420" t="n">
        <f aca="false">H680+acc_z*pas</f>
        <v>-71.0816838244476</v>
      </c>
      <c r="I681" s="418" t="n">
        <f aca="false">SQRT(vit_x^2+vit_z^2)</f>
        <v>71.8196822462437</v>
      </c>
      <c r="J681" s="419" t="n">
        <f aca="false">J680+0.5*(vit_x+G680)*pas*(K680&gt;=0)</f>
        <v>211.791153319536</v>
      </c>
      <c r="K681" s="420" t="n">
        <f aca="false">K680+0.5*(vit_z+H680)*pas</f>
        <v>-6.78941165127546</v>
      </c>
      <c r="L681" s="418" t="n">
        <f aca="false">SQRT(pos_x^2+pos_z^2)</f>
        <v>211.899949823</v>
      </c>
      <c r="M681" s="419" t="n">
        <f aca="false">IF(AND(L680&gt;L_rampe,G681&gt;0),ATAN2(G681,H681),$M$4)</f>
        <v>-1.4273156000549</v>
      </c>
      <c r="N681" s="418" t="n">
        <f aca="false">DEGREES(Beta)</f>
        <v>-81.7791599163286</v>
      </c>
      <c r="O681" s="402"/>
      <c r="P681" s="421" t="n">
        <f aca="false">MATCH(t-pas/2-T_ini,CdP_t)</f>
        <v>23</v>
      </c>
      <c r="Q681" s="418" t="n">
        <f aca="false">(INDEX(CdP,2,i_P+1)-INDEX(CdP,2,i_P+0))/(INDEX(CdP,1,i_P+1)-INDEX(CdP,1,i_P+0))*(t-pas/2-T_ini-INDEX(CdP,1,i_P+0))+INDEX(CdP,2,i_P+0)</f>
        <v>0</v>
      </c>
      <c r="R681" s="419" t="n">
        <f aca="false">Poussee/(g*ISP)</f>
        <v>0</v>
      </c>
      <c r="S681" s="420" t="n">
        <f aca="false">S680-Débit*pas</f>
        <v>1.4843</v>
      </c>
      <c r="T681" s="418" t="n">
        <f aca="false">m*g</f>
        <v>14.560983</v>
      </c>
      <c r="U681" s="422" t="n">
        <f aca="false">IF(pos_xz&lt;L_rampe,Poids*COS(Beta),0)</f>
        <v>0</v>
      </c>
      <c r="V681" s="419" t="n">
        <f aca="false">Rho_moyen*(20000-Alt_rampe-pos_z)/(20000+Alt_rampe+pos_z)</f>
        <v>1.22583198536184</v>
      </c>
      <c r="W681" s="418" t="n">
        <f aca="false">1/2*Rho*Sref*Cx*vit_xz^2</f>
        <v>5.57361098314121</v>
      </c>
      <c r="X681" s="402"/>
      <c r="Y681" s="423" t="str">
        <f aca="false">IF(AND(pos_z&lt;=0,K680&gt;0),"Impact balistique","") &amp; IF(AND(H682&lt;0,vit_z&gt;=0),"Apogée","") &amp; IF(AND(Poussee=0,Q680&gt;0),"Fin de propulsion","") &amp; IF(AND(L682&gt;L_rampe,pos_xz&lt;=L_rampe),"Sortie de rampe","")</f>
        <v/>
      </c>
      <c r="Z681" s="424" t="str">
        <f aca="false">IF(ABS(t-T_para)&lt;pas/2,"Para","")</f>
        <v/>
      </c>
      <c r="AA681" s="425" t="str">
        <f aca="false">IF(ABS(t-T_satellite)&lt;pas/2,"Satellite","")</f>
        <v/>
      </c>
      <c r="AB681" s="413"/>
      <c r="AC681" s="421" t="e">
        <f aca="false">IF(ABS(t-ROUND(t,0))&lt;0.001,t,NA())</f>
        <v>#N/A</v>
      </c>
      <c r="AD681" s="426" t="e">
        <f aca="false">IF(ABS(t-ROUND(t,0))&lt;0.001,pos_x,NA())</f>
        <v>#N/A</v>
      </c>
      <c r="AE681" s="427" t="e">
        <f aca="false">IF(t&lt;T_para, pos_z, NA())</f>
        <v>#N/A</v>
      </c>
      <c r="AF681" s="413"/>
      <c r="AG681" s="419" t="n">
        <f aca="false">IF(AND(L680&lt;L_rampe,Poussee&lt;Poids*SIN(M680)),0,(-W680+Poussee)/m-Poids*SIN(M680)/m)</f>
        <v>5.95421400635532</v>
      </c>
      <c r="AH681" s="418" t="n">
        <f aca="false">IF(AND(L680&lt;L_rampe,Poussee&lt;Poids*SIN(M680)), g*SIN(M680), (-W680+Poussee)/m)</f>
        <v>-3.7549785122118</v>
      </c>
    </row>
    <row r="682" customFormat="false" ht="12" hidden="false" customHeight="false" outlineLevel="0" collapsed="false">
      <c r="A682" s="417" t="n">
        <f aca="false">IF(B681+0.01&lt;=T_ini+ROUNDUP(Temps_fin_propu,0), 0.01, IF(K681&gt;0, 0.1, 0.0001))</f>
        <v>0.0001</v>
      </c>
      <c r="B682" s="418" t="n">
        <f aca="false">B681+pas</f>
        <v>16.5332999999999</v>
      </c>
      <c r="C682" s="402"/>
      <c r="D682" s="419" t="n">
        <f aca="false">IF(AND(L681&lt;L_rampe,Poussee&lt;Poids*SIN(M681)),0,(-W681+Poussee)/m*COS(M681)-U681/m*SIN(M681))</f>
        <v>-0.536929657856393</v>
      </c>
      <c r="E682" s="420" t="n">
        <f aca="false">IF(AND(L681&lt;L_rampe,Poussee&lt;Poids*SIN(M681)),0,(-W681+Poussee)/m*SIN(M681)+U681/m*COS(M681)-Poids/m)</f>
        <v>-6.0935423041753</v>
      </c>
      <c r="F682" s="418" t="n">
        <f aca="false">SQRT(acc_x^2+acc_z^2)</f>
        <v>6.11715221898718</v>
      </c>
      <c r="G682" s="419" t="n">
        <f aca="false">G681+acc_x*pas</f>
        <v>10.2693660877558</v>
      </c>
      <c r="H682" s="420" t="n">
        <f aca="false">H681+acc_z*pas</f>
        <v>-71.0822931786781</v>
      </c>
      <c r="I682" s="418" t="n">
        <f aca="false">SQRT(vit_x^2+vit_z^2)</f>
        <v>71.8202776615622</v>
      </c>
      <c r="J682" s="419" t="n">
        <f aca="false">J681+0.5*(vit_x+G681)*pas*(K681&gt;=0)</f>
        <v>211.791153319536</v>
      </c>
      <c r="K682" s="420" t="n">
        <f aca="false">K681+0.5*(vit_z+H681)*pas</f>
        <v>-6.79651985012562</v>
      </c>
      <c r="L682" s="418" t="n">
        <f aca="false">SQRT(pos_x^2+pos_z^2)</f>
        <v>211.900177693395</v>
      </c>
      <c r="M682" s="419" t="n">
        <f aca="false">IF(AND(L681&gt;L_rampe,G682&gt;0),ATAN2(G682,H682),$M$4)</f>
        <v>-1.42731755315434</v>
      </c>
      <c r="N682" s="418" t="n">
        <f aca="false">DEGREES(Beta)</f>
        <v>-81.7792718206834</v>
      </c>
      <c r="O682" s="402"/>
      <c r="P682" s="421" t="n">
        <f aca="false">MATCH(t-pas/2-T_ini,CdP_t)</f>
        <v>23</v>
      </c>
      <c r="Q682" s="418" t="n">
        <f aca="false">(INDEX(CdP,2,i_P+1)-INDEX(CdP,2,i_P+0))/(INDEX(CdP,1,i_P+1)-INDEX(CdP,1,i_P+0))*(t-pas/2-T_ini-INDEX(CdP,1,i_P+0))+INDEX(CdP,2,i_P+0)</f>
        <v>0</v>
      </c>
      <c r="R682" s="419" t="n">
        <f aca="false">Poussee/(g*ISP)</f>
        <v>0</v>
      </c>
      <c r="S682" s="420" t="n">
        <f aca="false">S681-Débit*pas</f>
        <v>1.4843</v>
      </c>
      <c r="T682" s="418" t="n">
        <f aca="false">m*g</f>
        <v>14.560983</v>
      </c>
      <c r="U682" s="422" t="n">
        <f aca="false">IF(pos_xz&lt;L_rampe,Poids*COS(Beta),0)</f>
        <v>0</v>
      </c>
      <c r="V682" s="419" t="n">
        <f aca="false">Rho_moyen*(20000-Alt_rampe-pos_z)/(20000+Alt_rampe+pos_z)</f>
        <v>1.225832856708</v>
      </c>
      <c r="W682" s="418" t="n">
        <f aca="false">1/2*Rho*Sref*Cx*vit_xz^2</f>
        <v>5.57370736057549</v>
      </c>
      <c r="X682" s="402"/>
      <c r="Y682" s="423" t="str">
        <f aca="false">IF(AND(pos_z&lt;=0,K681&gt;0),"Impact balistique","") &amp; IF(AND(H683&lt;0,vit_z&gt;=0),"Apogée","") &amp; IF(AND(Poussee=0,Q681&gt;0),"Fin de propulsion","") &amp; IF(AND(L683&gt;L_rampe,pos_xz&lt;=L_rampe),"Sortie de rampe","")</f>
        <v/>
      </c>
      <c r="Z682" s="424" t="str">
        <f aca="false">IF(ABS(t-T_para)&lt;pas/2,"Para","")</f>
        <v/>
      </c>
      <c r="AA682" s="425" t="str">
        <f aca="false">IF(ABS(t-T_satellite)&lt;pas/2,"Satellite","")</f>
        <v/>
      </c>
      <c r="AB682" s="413"/>
      <c r="AC682" s="421" t="e">
        <f aca="false">IF(ABS(t-ROUND(t,0))&lt;0.001,t,NA())</f>
        <v>#N/A</v>
      </c>
      <c r="AD682" s="426" t="e">
        <f aca="false">IF(ABS(t-ROUND(t,0))&lt;0.001,pos_x,NA())</f>
        <v>#N/A</v>
      </c>
      <c r="AE682" s="427" t="e">
        <f aca="false">IF(t&lt;T_para, pos_z, NA())</f>
        <v>#N/A</v>
      </c>
      <c r="AF682" s="413"/>
      <c r="AG682" s="419" t="n">
        <f aca="false">IF(AND(L681&lt;L_rampe,Poussee&lt;Poids*SIN(M681)),0,(-W681+Poussee)/m-Poids*SIN(M681)/m)</f>
        <v>5.95415181483073</v>
      </c>
      <c r="AH682" s="418" t="n">
        <f aca="false">IF(AND(L681&lt;L_rampe,Poussee&lt;Poids*SIN(M681)), g*SIN(M681), (-W681+Poussee)/m)</f>
        <v>-3.75504344346912</v>
      </c>
    </row>
    <row r="683" customFormat="false" ht="12" hidden="false" customHeight="false" outlineLevel="0" collapsed="false">
      <c r="A683" s="417" t="n">
        <f aca="false">IF(B682+0.01&lt;=T_ini+ROUNDUP(Temps_fin_propu,0), 0.01, IF(K682&gt;0, 0.1, 0.0001))</f>
        <v>0.0001</v>
      </c>
      <c r="B683" s="418" t="n">
        <f aca="false">B682+pas</f>
        <v>16.5333999999999</v>
      </c>
      <c r="C683" s="402"/>
      <c r="D683" s="419" t="n">
        <f aca="false">IF(AND(L682&lt;L_rampe,Poussee&lt;Poids*SIN(M682)),0,(-W682+Poussee)/m*COS(M682)-U682/m*SIN(M682))</f>
        <v>-0.536931683566682</v>
      </c>
      <c r="E683" s="420" t="n">
        <f aca="false">IF(AND(L682&lt;L_rampe,Poussee&lt;Poids*SIN(M682)),0,(-W682+Poussee)/m*SIN(M682)+U682/m*COS(M682)-Poids/m)</f>
        <v>-6.09347699146551</v>
      </c>
      <c r="F683" s="418" t="n">
        <f aca="false">SQRT(acc_x^2+acc_z^2)</f>
        <v>6.11708733617049</v>
      </c>
      <c r="G683" s="419" t="n">
        <f aca="false">G682+acc_x*pas</f>
        <v>10.2693123945874</v>
      </c>
      <c r="H683" s="420" t="n">
        <f aca="false">H682+acc_z*pas</f>
        <v>-71.0829025263772</v>
      </c>
      <c r="I683" s="418" t="n">
        <f aca="false">SQRT(vit_x^2+vit_z^2)</f>
        <v>71.8208730706615</v>
      </c>
      <c r="J683" s="419" t="n">
        <f aca="false">J682+0.5*(vit_x+G682)*pas*(K682&gt;=0)</f>
        <v>211.791153319536</v>
      </c>
      <c r="K683" s="420" t="n">
        <f aca="false">K682+0.5*(vit_z+H682)*pas</f>
        <v>-6.80362810991087</v>
      </c>
      <c r="L683" s="418" t="n">
        <f aca="false">SQRT(pos_x^2+pos_z^2)</f>
        <v>211.900405803947</v>
      </c>
      <c r="M683" s="419" t="n">
        <f aca="false">IF(AND(L682&gt;L_rampe,G683&gt;0),ATAN2(G683,H683),$M$4)</f>
        <v>-1.42731950621119</v>
      </c>
      <c r="N683" s="418" t="n">
        <f aca="false">DEGREES(Beta)</f>
        <v>-81.7793837225976</v>
      </c>
      <c r="O683" s="402"/>
      <c r="P683" s="421" t="n">
        <f aca="false">MATCH(t-pas/2-T_ini,CdP_t)</f>
        <v>23</v>
      </c>
      <c r="Q683" s="418" t="n">
        <f aca="false">(INDEX(CdP,2,i_P+1)-INDEX(CdP,2,i_P+0))/(INDEX(CdP,1,i_P+1)-INDEX(CdP,1,i_P+0))*(t-pas/2-T_ini-INDEX(CdP,1,i_P+0))+INDEX(CdP,2,i_P+0)</f>
        <v>0</v>
      </c>
      <c r="R683" s="419" t="n">
        <f aca="false">Poussee/(g*ISP)</f>
        <v>0</v>
      </c>
      <c r="S683" s="420" t="n">
        <f aca="false">S682-Débit*pas</f>
        <v>1.4843</v>
      </c>
      <c r="T683" s="418" t="n">
        <f aca="false">m*g</f>
        <v>14.560983</v>
      </c>
      <c r="U683" s="422" t="n">
        <f aca="false">IF(pos_xz&lt;L_rampe,Poids*COS(Beta),0)</f>
        <v>0</v>
      </c>
      <c r="V683" s="419" t="n">
        <f aca="false">Rho_moyen*(20000-Alt_rampe-pos_z)/(20000+Alt_rampe+pos_z)</f>
        <v>1.22583372806225</v>
      </c>
      <c r="W683" s="418" t="n">
        <f aca="false">1/2*Rho*Sref*Cx*vit_xz^2</f>
        <v>5.5738037379788</v>
      </c>
      <c r="X683" s="402"/>
      <c r="Y683" s="423" t="str">
        <f aca="false">IF(AND(pos_z&lt;=0,K682&gt;0),"Impact balistique","") &amp; IF(AND(H684&lt;0,vit_z&gt;=0),"Apogée","") &amp; IF(AND(Poussee=0,Q682&gt;0),"Fin de propulsion","") &amp; IF(AND(L684&gt;L_rampe,pos_xz&lt;=L_rampe),"Sortie de rampe","")</f>
        <v/>
      </c>
      <c r="Z683" s="424" t="str">
        <f aca="false">IF(ABS(t-T_para)&lt;pas/2,"Para","")</f>
        <v/>
      </c>
      <c r="AA683" s="425" t="str">
        <f aca="false">IF(ABS(t-T_satellite)&lt;pas/2,"Satellite","")</f>
        <v/>
      </c>
      <c r="AB683" s="413"/>
      <c r="AC683" s="421" t="e">
        <f aca="false">IF(ABS(t-ROUND(t,0))&lt;0.001,t,NA())</f>
        <v>#N/A</v>
      </c>
      <c r="AD683" s="426" t="e">
        <f aca="false">IF(ABS(t-ROUND(t,0))&lt;0.001,pos_x,NA())</f>
        <v>#N/A</v>
      </c>
      <c r="AE683" s="427" t="e">
        <f aca="false">IF(t&lt;T_para, pos_z, NA())</f>
        <v>#N/A</v>
      </c>
      <c r="AF683" s="413"/>
      <c r="AG683" s="419" t="n">
        <f aca="false">IF(AND(L682&lt;L_rampe,Poussee&lt;Poids*SIN(M682)),0,(-W682+Poussee)/m-Poids*SIN(M682)/m)</f>
        <v>5.9540896232302</v>
      </c>
      <c r="AH683" s="418" t="n">
        <f aca="false">IF(AND(L682&lt;L_rampe,Poussee&lt;Poids*SIN(M682)), g*SIN(M682), (-W682+Poussee)/m)</f>
        <v>-3.75510837470558</v>
      </c>
    </row>
    <row r="684" customFormat="false" ht="12" hidden="false" customHeight="false" outlineLevel="0" collapsed="false">
      <c r="A684" s="417" t="n">
        <f aca="false">IF(B683+0.01&lt;=T_ini+ROUNDUP(Temps_fin_propu,0), 0.01, IF(K683&gt;0, 0.1, 0.0001))</f>
        <v>0.0001</v>
      </c>
      <c r="B684" s="418" t="n">
        <f aca="false">B683+pas</f>
        <v>16.5334999999999</v>
      </c>
      <c r="C684" s="402"/>
      <c r="D684" s="419" t="n">
        <f aca="false">IF(AND(L683&lt;L_rampe,Poussee&lt;Poids*SIN(M683)),0,(-W683+Poussee)/m*COS(M683)-U683/m*SIN(M683))</f>
        <v>-0.536933709179219</v>
      </c>
      <c r="E684" s="420" t="n">
        <f aca="false">IF(AND(L683&lt;L_rampe,Poussee&lt;Poids*SIN(M683)),0,(-W683+Poussee)/m*SIN(M683)+U683/m*COS(M683)-Poids/m)</f>
        <v>-6.09341167877716</v>
      </c>
      <c r="F684" s="418" t="n">
        <f aca="false">SQRT(acc_x^2+acc_z^2)</f>
        <v>6.11702245337638</v>
      </c>
      <c r="G684" s="419" t="n">
        <f aca="false">G683+acc_x*pas</f>
        <v>10.2692587012165</v>
      </c>
      <c r="H684" s="420" t="n">
        <f aca="false">H683+acc_z*pas</f>
        <v>-71.0835118675451</v>
      </c>
      <c r="I684" s="418" t="n">
        <f aca="false">SQRT(vit_x^2+vit_z^2)</f>
        <v>71.8214684735416</v>
      </c>
      <c r="J684" s="419" t="n">
        <f aca="false">J683+0.5*(vit_x+G683)*pas*(K683&gt;=0)</f>
        <v>211.791153319536</v>
      </c>
      <c r="K684" s="420" t="n">
        <f aca="false">K683+0.5*(vit_z+H683)*pas</f>
        <v>-6.81073643063057</v>
      </c>
      <c r="L684" s="418" t="n">
        <f aca="false">SQRT(pos_x^2+pos_z^2)</f>
        <v>211.900634154659</v>
      </c>
      <c r="M684" s="419" t="n">
        <f aca="false">IF(AND(L683&gt;L_rampe,G684&gt;0),ATAN2(G684,H684),$M$4)</f>
        <v>-1.42732145922544</v>
      </c>
      <c r="N684" s="418" t="n">
        <f aca="false">DEGREES(Beta)</f>
        <v>-81.7794956220715</v>
      </c>
      <c r="O684" s="402"/>
      <c r="P684" s="421" t="n">
        <f aca="false">MATCH(t-pas/2-T_ini,CdP_t)</f>
        <v>23</v>
      </c>
      <c r="Q684" s="418" t="n">
        <f aca="false">(INDEX(CdP,2,i_P+1)-INDEX(CdP,2,i_P+0))/(INDEX(CdP,1,i_P+1)-INDEX(CdP,1,i_P+0))*(t-pas/2-T_ini-INDEX(CdP,1,i_P+0))+INDEX(CdP,2,i_P+0)</f>
        <v>0</v>
      </c>
      <c r="R684" s="419" t="n">
        <f aca="false">Poussee/(g*ISP)</f>
        <v>0</v>
      </c>
      <c r="S684" s="420" t="n">
        <f aca="false">S683-Débit*pas</f>
        <v>1.4843</v>
      </c>
      <c r="T684" s="418" t="n">
        <f aca="false">m*g</f>
        <v>14.560983</v>
      </c>
      <c r="U684" s="422" t="n">
        <f aca="false">IF(pos_xz&lt;L_rampe,Poids*COS(Beta),0)</f>
        <v>0</v>
      </c>
      <c r="V684" s="419" t="n">
        <f aca="false">Rho_moyen*(20000-Alt_rampe-pos_z)/(20000+Alt_rampe+pos_z)</f>
        <v>1.22583459942459</v>
      </c>
      <c r="W684" s="418" t="n">
        <f aca="false">1/2*Rho*Sref*Cx*vit_xz^2</f>
        <v>5.5739001153511</v>
      </c>
      <c r="X684" s="402"/>
      <c r="Y684" s="423" t="str">
        <f aca="false">IF(AND(pos_z&lt;=0,K683&gt;0),"Impact balistique","") &amp; IF(AND(H685&lt;0,vit_z&gt;=0),"Apogée","") &amp; IF(AND(Poussee=0,Q683&gt;0),"Fin de propulsion","") &amp; IF(AND(L685&gt;L_rampe,pos_xz&lt;=L_rampe),"Sortie de rampe","")</f>
        <v/>
      </c>
      <c r="Z684" s="424" t="str">
        <f aca="false">IF(ABS(t-T_para)&lt;pas/2,"Para","")</f>
        <v/>
      </c>
      <c r="AA684" s="425" t="str">
        <f aca="false">IF(ABS(t-T_satellite)&lt;pas/2,"Satellite","")</f>
        <v/>
      </c>
      <c r="AB684" s="413"/>
      <c r="AC684" s="421" t="e">
        <f aca="false">IF(ABS(t-ROUND(t,0))&lt;0.001,t,NA())</f>
        <v>#N/A</v>
      </c>
      <c r="AD684" s="426" t="e">
        <f aca="false">IF(ABS(t-ROUND(t,0))&lt;0.001,pos_x,NA())</f>
        <v>#N/A</v>
      </c>
      <c r="AE684" s="427" t="e">
        <f aca="false">IF(t&lt;T_para, pos_z, NA())</f>
        <v>#N/A</v>
      </c>
      <c r="AF684" s="413"/>
      <c r="AG684" s="419" t="n">
        <f aca="false">IF(AND(L683&lt;L_rampe,Poussee&lt;Poids*SIN(M683)),0,(-W683+Poussee)/m-Poids*SIN(M683)/m)</f>
        <v>5.95402743155376</v>
      </c>
      <c r="AH684" s="418" t="n">
        <f aca="false">IF(AND(L683&lt;L_rampe,Poussee&lt;Poids*SIN(M683)), g*SIN(M683), (-W683+Poussee)/m)</f>
        <v>-3.75517330592118</v>
      </c>
    </row>
    <row r="685" customFormat="false" ht="12" hidden="false" customHeight="false" outlineLevel="0" collapsed="false">
      <c r="A685" s="417" t="n">
        <f aca="false">IF(B684+0.01&lt;=T_ini+ROUNDUP(Temps_fin_propu,0), 0.01, IF(K684&gt;0, 0.1, 0.0001))</f>
        <v>0.0001</v>
      </c>
      <c r="B685" s="418" t="n">
        <f aca="false">B684+pas</f>
        <v>16.5335999999999</v>
      </c>
      <c r="C685" s="402"/>
      <c r="D685" s="419" t="n">
        <f aca="false">IF(AND(L684&lt;L_rampe,Poussee&lt;Poids*SIN(M684)),0,(-W684+Poussee)/m*COS(M684)-U684/m*SIN(M684))</f>
        <v>-0.536935734694002</v>
      </c>
      <c r="E685" s="420" t="n">
        <f aca="false">IF(AND(L684&lt;L_rampe,Poussee&lt;Poids*SIN(M684)),0,(-W684+Poussee)/m*SIN(M684)+U684/m*COS(M684)-Poids/m)</f>
        <v>-6.09334636611026</v>
      </c>
      <c r="F685" s="418" t="n">
        <f aca="false">SQRT(acc_x^2+acc_z^2)</f>
        <v>6.11695757060489</v>
      </c>
      <c r="G685" s="419" t="n">
        <f aca="false">G684+acc_x*pas</f>
        <v>10.269205007643</v>
      </c>
      <c r="H685" s="420" t="n">
        <f aca="false">H684+acc_z*pas</f>
        <v>-71.0841212021817</v>
      </c>
      <c r="I685" s="418" t="n">
        <f aca="false">SQRT(vit_x^2+vit_z^2)</f>
        <v>71.8220638702026</v>
      </c>
      <c r="J685" s="419" t="n">
        <f aca="false">J684+0.5*(vit_x+G684)*pas*(K684&gt;=0)</f>
        <v>211.791153319536</v>
      </c>
      <c r="K685" s="420" t="n">
        <f aca="false">K684+0.5*(vit_z+H684)*pas</f>
        <v>-6.81784481228405</v>
      </c>
      <c r="L685" s="418" t="n">
        <f aca="false">SQRT(pos_x^2+pos_z^2)</f>
        <v>211.900862745539</v>
      </c>
      <c r="M685" s="419" t="n">
        <f aca="false">IF(AND(L684&gt;L_rampe,G685&gt;0),ATAN2(G685,H685),$M$4)</f>
        <v>-1.42732341219709</v>
      </c>
      <c r="N685" s="418" t="n">
        <f aca="false">DEGREES(Beta)</f>
        <v>-81.779607519105</v>
      </c>
      <c r="O685" s="402"/>
      <c r="P685" s="421" t="n">
        <f aca="false">MATCH(t-pas/2-T_ini,CdP_t)</f>
        <v>23</v>
      </c>
      <c r="Q685" s="418" t="n">
        <f aca="false">(INDEX(CdP,2,i_P+1)-INDEX(CdP,2,i_P+0))/(INDEX(CdP,1,i_P+1)-INDEX(CdP,1,i_P+0))*(t-pas/2-T_ini-INDEX(CdP,1,i_P+0))+INDEX(CdP,2,i_P+0)</f>
        <v>0</v>
      </c>
      <c r="R685" s="419" t="n">
        <f aca="false">Poussee/(g*ISP)</f>
        <v>0</v>
      </c>
      <c r="S685" s="420" t="n">
        <f aca="false">S684-Débit*pas</f>
        <v>1.4843</v>
      </c>
      <c r="T685" s="418" t="n">
        <f aca="false">m*g</f>
        <v>14.560983</v>
      </c>
      <c r="U685" s="422" t="n">
        <f aca="false">IF(pos_xz&lt;L_rampe,Poids*COS(Beta),0)</f>
        <v>0</v>
      </c>
      <c r="V685" s="419" t="n">
        <f aca="false">Rho_moyen*(20000-Alt_rampe-pos_z)/(20000+Alt_rampe+pos_z)</f>
        <v>1.22583547079502</v>
      </c>
      <c r="W685" s="418" t="n">
        <f aca="false">1/2*Rho*Sref*Cx*vit_xz^2</f>
        <v>5.57399649269238</v>
      </c>
      <c r="X685" s="402"/>
      <c r="Y685" s="423" t="str">
        <f aca="false">IF(AND(pos_z&lt;=0,K684&gt;0),"Impact balistique","") &amp; IF(AND(H686&lt;0,vit_z&gt;=0),"Apogée","") &amp; IF(AND(Poussee=0,Q684&gt;0),"Fin de propulsion","") &amp; IF(AND(L686&gt;L_rampe,pos_xz&lt;=L_rampe),"Sortie de rampe","")</f>
        <v/>
      </c>
      <c r="Z685" s="424" t="str">
        <f aca="false">IF(ABS(t-T_para)&lt;pas/2,"Para","")</f>
        <v/>
      </c>
      <c r="AA685" s="425" t="str">
        <f aca="false">IF(ABS(t-T_satellite)&lt;pas/2,"Satellite","")</f>
        <v/>
      </c>
      <c r="AB685" s="413"/>
      <c r="AC685" s="421" t="e">
        <f aca="false">IF(ABS(t-ROUND(t,0))&lt;0.001,t,NA())</f>
        <v>#N/A</v>
      </c>
      <c r="AD685" s="426" t="e">
        <f aca="false">IF(ABS(t-ROUND(t,0))&lt;0.001,pos_x,NA())</f>
        <v>#N/A</v>
      </c>
      <c r="AE685" s="427" t="e">
        <f aca="false">IF(t&lt;T_para, pos_z, NA())</f>
        <v>#N/A</v>
      </c>
      <c r="AF685" s="413"/>
      <c r="AG685" s="419" t="n">
        <f aca="false">IF(AND(L684&lt;L_rampe,Poussee&lt;Poids*SIN(M684)),0,(-W684+Poussee)/m-Poids*SIN(M684)/m)</f>
        <v>5.95396523980142</v>
      </c>
      <c r="AH685" s="418" t="n">
        <f aca="false">IF(AND(L684&lt;L_rampe,Poussee&lt;Poids*SIN(M684)), g*SIN(M684), (-W684+Poussee)/m)</f>
        <v>-3.75523823711589</v>
      </c>
    </row>
    <row r="686" customFormat="false" ht="12" hidden="false" customHeight="false" outlineLevel="0" collapsed="false">
      <c r="A686" s="417" t="n">
        <f aca="false">IF(B685+0.01&lt;=T_ini+ROUNDUP(Temps_fin_propu,0), 0.01, IF(K685&gt;0, 0.1, 0.0001))</f>
        <v>0.0001</v>
      </c>
      <c r="B686" s="418" t="n">
        <f aca="false">B685+pas</f>
        <v>16.5336999999999</v>
      </c>
      <c r="C686" s="402"/>
      <c r="D686" s="419" t="n">
        <f aca="false">IF(AND(L685&lt;L_rampe,Poussee&lt;Poids*SIN(M685)),0,(-W685+Poussee)/m*COS(M685)-U685/m*SIN(M685))</f>
        <v>-0.536937760111034</v>
      </c>
      <c r="E686" s="420" t="n">
        <f aca="false">IF(AND(L685&lt;L_rampe,Poussee&lt;Poids*SIN(M685)),0,(-W685+Poussee)/m*SIN(M685)+U685/m*COS(M685)-Poids/m)</f>
        <v>-6.09328105346483</v>
      </c>
      <c r="F686" s="418" t="n">
        <f aca="false">SQRT(acc_x^2+acc_z^2)</f>
        <v>6.11689268785602</v>
      </c>
      <c r="G686" s="419" t="n">
        <f aca="false">G685+acc_x*pas</f>
        <v>10.269151313867</v>
      </c>
      <c r="H686" s="420" t="n">
        <f aca="false">H685+acc_z*pas</f>
        <v>-71.084730530287</v>
      </c>
      <c r="I686" s="418" t="n">
        <f aca="false">SQRT(vit_x^2+vit_z^2)</f>
        <v>71.8226592606443</v>
      </c>
      <c r="J686" s="419" t="n">
        <f aca="false">J685+0.5*(vit_x+G685)*pas*(K685&gt;=0)</f>
        <v>211.791153319536</v>
      </c>
      <c r="K686" s="420" t="n">
        <f aca="false">K685+0.5*(vit_z+H685)*pas</f>
        <v>-6.82495325487068</v>
      </c>
      <c r="L686" s="418" t="n">
        <f aca="false">SQRT(pos_x^2+pos_z^2)</f>
        <v>211.90109157659</v>
      </c>
      <c r="M686" s="419" t="n">
        <f aca="false">IF(AND(L685&gt;L_rampe,G686&gt;0),ATAN2(G686,H686),$M$4)</f>
        <v>-1.42732536512616</v>
      </c>
      <c r="N686" s="418" t="n">
        <f aca="false">DEGREES(Beta)</f>
        <v>-81.7797194136982</v>
      </c>
      <c r="O686" s="402"/>
      <c r="P686" s="421" t="n">
        <f aca="false">MATCH(t-pas/2-T_ini,CdP_t)</f>
        <v>23</v>
      </c>
      <c r="Q686" s="418" t="n">
        <f aca="false">(INDEX(CdP,2,i_P+1)-INDEX(CdP,2,i_P+0))/(INDEX(CdP,1,i_P+1)-INDEX(CdP,1,i_P+0))*(t-pas/2-T_ini-INDEX(CdP,1,i_P+0))+INDEX(CdP,2,i_P+0)</f>
        <v>0</v>
      </c>
      <c r="R686" s="419" t="n">
        <f aca="false">Poussee/(g*ISP)</f>
        <v>0</v>
      </c>
      <c r="S686" s="420" t="n">
        <f aca="false">S685-Débit*pas</f>
        <v>1.4843</v>
      </c>
      <c r="T686" s="418" t="n">
        <f aca="false">m*g</f>
        <v>14.560983</v>
      </c>
      <c r="U686" s="422" t="n">
        <f aca="false">IF(pos_xz&lt;L_rampe,Poids*COS(Beta),0)</f>
        <v>0</v>
      </c>
      <c r="V686" s="419" t="n">
        <f aca="false">Rho_moyen*(20000-Alt_rampe-pos_z)/(20000+Alt_rampe+pos_z)</f>
        <v>1.22583634217353</v>
      </c>
      <c r="W686" s="418" t="n">
        <f aca="false">1/2*Rho*Sref*Cx*vit_xz^2</f>
        <v>5.57409287000261</v>
      </c>
      <c r="X686" s="402"/>
      <c r="Y686" s="423" t="str">
        <f aca="false">IF(AND(pos_z&lt;=0,K685&gt;0),"Impact balistique","") &amp; IF(AND(H687&lt;0,vit_z&gt;=0),"Apogée","") &amp; IF(AND(Poussee=0,Q685&gt;0),"Fin de propulsion","") &amp; IF(AND(L687&gt;L_rampe,pos_xz&lt;=L_rampe),"Sortie de rampe","")</f>
        <v/>
      </c>
      <c r="Z686" s="424" t="str">
        <f aca="false">IF(ABS(t-T_para)&lt;pas/2,"Para","")</f>
        <v/>
      </c>
      <c r="AA686" s="425" t="str">
        <f aca="false">IF(ABS(t-T_satellite)&lt;pas/2,"Satellite","")</f>
        <v/>
      </c>
      <c r="AB686" s="413"/>
      <c r="AC686" s="421" t="e">
        <f aca="false">IF(ABS(t-ROUND(t,0))&lt;0.001,t,NA())</f>
        <v>#N/A</v>
      </c>
      <c r="AD686" s="426" t="e">
        <f aca="false">IF(ABS(t-ROUND(t,0))&lt;0.001,pos_x,NA())</f>
        <v>#N/A</v>
      </c>
      <c r="AE686" s="427" t="e">
        <f aca="false">IF(t&lt;T_para, pos_z, NA())</f>
        <v>#N/A</v>
      </c>
      <c r="AF686" s="413"/>
      <c r="AG686" s="419" t="n">
        <f aca="false">IF(AND(L685&lt;L_rampe,Poussee&lt;Poids*SIN(M685)),0,(-W685+Poussee)/m-Poids*SIN(M685)/m)</f>
        <v>5.95390304797322</v>
      </c>
      <c r="AH686" s="418" t="n">
        <f aca="false">IF(AND(L685&lt;L_rampe,Poussee&lt;Poids*SIN(M685)), g*SIN(M685), (-W685+Poussee)/m)</f>
        <v>-3.75530316828969</v>
      </c>
    </row>
    <row r="687" customFormat="false" ht="12" hidden="false" customHeight="false" outlineLevel="0" collapsed="false">
      <c r="A687" s="417" t="n">
        <f aca="false">IF(B686+0.01&lt;=T_ini+ROUNDUP(Temps_fin_propu,0), 0.01, IF(K686&gt;0, 0.1, 0.0001))</f>
        <v>0.0001</v>
      </c>
      <c r="B687" s="418" t="n">
        <f aca="false">B686+pas</f>
        <v>16.5337999999999</v>
      </c>
      <c r="C687" s="402"/>
      <c r="D687" s="419" t="n">
        <f aca="false">IF(AND(L686&lt;L_rampe,Poussee&lt;Poids*SIN(M686)),0,(-W686+Poussee)/m*COS(M686)-U686/m*SIN(M686))</f>
        <v>-0.536939785430316</v>
      </c>
      <c r="E687" s="420" t="n">
        <f aca="false">IF(AND(L686&lt;L_rampe,Poussee&lt;Poids*SIN(M686)),0,(-W686+Poussee)/m*SIN(M686)+U686/m*COS(M686)-Poids/m)</f>
        <v>-6.09321574084088</v>
      </c>
      <c r="F687" s="418" t="n">
        <f aca="false">SQRT(acc_x^2+acc_z^2)</f>
        <v>6.1168278051298</v>
      </c>
      <c r="G687" s="419" t="n">
        <f aca="false">G686+acc_x*pas</f>
        <v>10.2690976198885</v>
      </c>
      <c r="H687" s="420" t="n">
        <f aca="false">H686+acc_z*pas</f>
        <v>-71.0853398518611</v>
      </c>
      <c r="I687" s="418" t="n">
        <f aca="false">SQRT(vit_x^2+vit_z^2)</f>
        <v>71.8232546448669</v>
      </c>
      <c r="J687" s="419" t="n">
        <f aca="false">J686+0.5*(vit_x+G686)*pas*(K686&gt;=0)</f>
        <v>211.791153319536</v>
      </c>
      <c r="K687" s="420" t="n">
        <f aca="false">K686+0.5*(vit_z+H686)*pas</f>
        <v>-6.83206175838978</v>
      </c>
      <c r="L687" s="418" t="n">
        <f aca="false">SQRT(pos_x^2+pos_z^2)</f>
        <v>211.901320647819</v>
      </c>
      <c r="M687" s="419" t="n">
        <f aca="false">IF(AND(L686&gt;L_rampe,G687&gt;0),ATAN2(G687,H687),$M$4)</f>
        <v>-1.42732731801264</v>
      </c>
      <c r="N687" s="418" t="n">
        <f aca="false">DEGREES(Beta)</f>
        <v>-81.7798313058513</v>
      </c>
      <c r="O687" s="402"/>
      <c r="P687" s="421" t="n">
        <f aca="false">MATCH(t-pas/2-T_ini,CdP_t)</f>
        <v>23</v>
      </c>
      <c r="Q687" s="418" t="n">
        <f aca="false">(INDEX(CdP,2,i_P+1)-INDEX(CdP,2,i_P+0))/(INDEX(CdP,1,i_P+1)-INDEX(CdP,1,i_P+0))*(t-pas/2-T_ini-INDEX(CdP,1,i_P+0))+INDEX(CdP,2,i_P+0)</f>
        <v>0</v>
      </c>
      <c r="R687" s="419" t="n">
        <f aca="false">Poussee/(g*ISP)</f>
        <v>0</v>
      </c>
      <c r="S687" s="420" t="n">
        <f aca="false">S686-Débit*pas</f>
        <v>1.4843</v>
      </c>
      <c r="T687" s="418" t="n">
        <f aca="false">m*g</f>
        <v>14.560983</v>
      </c>
      <c r="U687" s="422" t="n">
        <f aca="false">IF(pos_xz&lt;L_rampe,Poids*COS(Beta),0)</f>
        <v>0</v>
      </c>
      <c r="V687" s="419" t="n">
        <f aca="false">Rho_moyen*(20000-Alt_rampe-pos_z)/(20000+Alt_rampe+pos_z)</f>
        <v>1.22583721356014</v>
      </c>
      <c r="W687" s="418" t="n">
        <f aca="false">1/2*Rho*Sref*Cx*vit_xz^2</f>
        <v>5.57418924728177</v>
      </c>
      <c r="X687" s="402"/>
      <c r="Y687" s="423" t="str">
        <f aca="false">IF(AND(pos_z&lt;=0,K686&gt;0),"Impact balistique","") &amp; IF(AND(H688&lt;0,vit_z&gt;=0),"Apogée","") &amp; IF(AND(Poussee=0,Q686&gt;0),"Fin de propulsion","") &amp; IF(AND(L688&gt;L_rampe,pos_xz&lt;=L_rampe),"Sortie de rampe","")</f>
        <v/>
      </c>
      <c r="Z687" s="424" t="str">
        <f aca="false">IF(ABS(t-T_para)&lt;pas/2,"Para","")</f>
        <v/>
      </c>
      <c r="AA687" s="425" t="str">
        <f aca="false">IF(ABS(t-T_satellite)&lt;pas/2,"Satellite","")</f>
        <v/>
      </c>
      <c r="AB687" s="413"/>
      <c r="AC687" s="421" t="e">
        <f aca="false">IF(ABS(t-ROUND(t,0))&lt;0.001,t,NA())</f>
        <v>#N/A</v>
      </c>
      <c r="AD687" s="426" t="e">
        <f aca="false">IF(ABS(t-ROUND(t,0))&lt;0.001,pos_x,NA())</f>
        <v>#N/A</v>
      </c>
      <c r="AE687" s="427" t="e">
        <f aca="false">IF(t&lt;T_para, pos_z, NA())</f>
        <v>#N/A</v>
      </c>
      <c r="AF687" s="413"/>
      <c r="AG687" s="419" t="n">
        <f aca="false">IF(AND(L686&lt;L_rampe,Poussee&lt;Poids*SIN(M686)),0,(-W686+Poussee)/m-Poids*SIN(M686)/m)</f>
        <v>5.95384085606916</v>
      </c>
      <c r="AH687" s="418" t="n">
        <f aca="false">IF(AND(L686&lt;L_rampe,Poussee&lt;Poids*SIN(M686)), g*SIN(M686), (-W686+Poussee)/m)</f>
        <v>-3.75536809944258</v>
      </c>
    </row>
    <row r="688" customFormat="false" ht="12" hidden="false" customHeight="false" outlineLevel="0" collapsed="false">
      <c r="A688" s="417" t="n">
        <f aca="false">IF(B687+0.01&lt;=T_ini+ROUNDUP(Temps_fin_propu,0), 0.01, IF(K687&gt;0, 0.1, 0.0001))</f>
        <v>0.0001</v>
      </c>
      <c r="B688" s="418" t="n">
        <f aca="false">B687+pas</f>
        <v>16.5338999999999</v>
      </c>
      <c r="C688" s="402"/>
      <c r="D688" s="419" t="n">
        <f aca="false">IF(AND(L687&lt;L_rampe,Poussee&lt;Poids*SIN(M687)),0,(-W687+Poussee)/m*COS(M687)-U687/m*SIN(M687))</f>
        <v>-0.536941810651846</v>
      </c>
      <c r="E688" s="420" t="n">
        <f aca="false">IF(AND(L687&lt;L_rampe,Poussee&lt;Poids*SIN(M687)),0,(-W687+Poussee)/m*SIN(M687)+U687/m*COS(M687)-Poids/m)</f>
        <v>-6.09315042823844</v>
      </c>
      <c r="F688" s="418" t="n">
        <f aca="false">SQRT(acc_x^2+acc_z^2)</f>
        <v>6.11676292242623</v>
      </c>
      <c r="G688" s="419" t="n">
        <f aca="false">G687+acc_x*pas</f>
        <v>10.2690439257074</v>
      </c>
      <c r="H688" s="420" t="n">
        <f aca="false">H687+acc_z*pas</f>
        <v>-71.0859491669039</v>
      </c>
      <c r="I688" s="418" t="n">
        <f aca="false">SQRT(vit_x^2+vit_z^2)</f>
        <v>71.8238500228703</v>
      </c>
      <c r="J688" s="419" t="n">
        <f aca="false">J687+0.5*(vit_x+G687)*pas*(K687&gt;=0)</f>
        <v>211.791153319536</v>
      </c>
      <c r="K688" s="420" t="n">
        <f aca="false">K687+0.5*(vit_z+H687)*pas</f>
        <v>-6.83917032284072</v>
      </c>
      <c r="L688" s="418" t="n">
        <f aca="false">SQRT(pos_x^2+pos_z^2)</f>
        <v>211.90154995923</v>
      </c>
      <c r="M688" s="419" t="n">
        <f aca="false">IF(AND(L687&gt;L_rampe,G688&gt;0),ATAN2(G688,H688),$M$4)</f>
        <v>-1.42732927085653</v>
      </c>
      <c r="N688" s="418" t="n">
        <f aca="false">DEGREES(Beta)</f>
        <v>-81.7799431955643</v>
      </c>
      <c r="O688" s="402"/>
      <c r="P688" s="421" t="n">
        <f aca="false">MATCH(t-pas/2-T_ini,CdP_t)</f>
        <v>23</v>
      </c>
      <c r="Q688" s="418" t="n">
        <f aca="false">(INDEX(CdP,2,i_P+1)-INDEX(CdP,2,i_P+0))/(INDEX(CdP,1,i_P+1)-INDEX(CdP,1,i_P+0))*(t-pas/2-T_ini-INDEX(CdP,1,i_P+0))+INDEX(CdP,2,i_P+0)</f>
        <v>0</v>
      </c>
      <c r="R688" s="419" t="n">
        <f aca="false">Poussee/(g*ISP)</f>
        <v>0</v>
      </c>
      <c r="S688" s="420" t="n">
        <f aca="false">S687-Débit*pas</f>
        <v>1.4843</v>
      </c>
      <c r="T688" s="418" t="n">
        <f aca="false">m*g</f>
        <v>14.560983</v>
      </c>
      <c r="U688" s="422" t="n">
        <f aca="false">IF(pos_xz&lt;L_rampe,Poids*COS(Beta),0)</f>
        <v>0</v>
      </c>
      <c r="V688" s="419" t="n">
        <f aca="false">Rho_moyen*(20000-Alt_rampe-pos_z)/(20000+Alt_rampe+pos_z)</f>
        <v>1.22583808495484</v>
      </c>
      <c r="W688" s="418" t="n">
        <f aca="false">1/2*Rho*Sref*Cx*vit_xz^2</f>
        <v>5.57428562452983</v>
      </c>
      <c r="X688" s="402"/>
      <c r="Y688" s="423" t="str">
        <f aca="false">IF(AND(pos_z&lt;=0,K687&gt;0),"Impact balistique","") &amp; IF(AND(H689&lt;0,vit_z&gt;=0),"Apogée","") &amp; IF(AND(Poussee=0,Q687&gt;0),"Fin de propulsion","") &amp; IF(AND(L689&gt;L_rampe,pos_xz&lt;=L_rampe),"Sortie de rampe","")</f>
        <v/>
      </c>
      <c r="Z688" s="424" t="str">
        <f aca="false">IF(ABS(t-T_para)&lt;pas/2,"Para","")</f>
        <v/>
      </c>
      <c r="AA688" s="425" t="str">
        <f aca="false">IF(ABS(t-T_satellite)&lt;pas/2,"Satellite","")</f>
        <v/>
      </c>
      <c r="AB688" s="413"/>
      <c r="AC688" s="421" t="e">
        <f aca="false">IF(ABS(t-ROUND(t,0))&lt;0.001,t,NA())</f>
        <v>#N/A</v>
      </c>
      <c r="AD688" s="426" t="e">
        <f aca="false">IF(ABS(t-ROUND(t,0))&lt;0.001,pos_x,NA())</f>
        <v>#N/A</v>
      </c>
      <c r="AE688" s="427" t="e">
        <f aca="false">IF(t&lt;T_para, pos_z, NA())</f>
        <v>#N/A</v>
      </c>
      <c r="AF688" s="413"/>
      <c r="AG688" s="419" t="n">
        <f aca="false">IF(AND(L687&lt;L_rampe,Poussee&lt;Poids*SIN(M687)),0,(-W687+Poussee)/m-Poids*SIN(M687)/m)</f>
        <v>5.95377866408927</v>
      </c>
      <c r="AH688" s="418" t="n">
        <f aca="false">IF(AND(L687&lt;L_rampe,Poussee&lt;Poids*SIN(M687)), g*SIN(M687), (-W687+Poussee)/m)</f>
        <v>-3.75543303057453</v>
      </c>
    </row>
    <row r="689" customFormat="false" ht="12" hidden="false" customHeight="false" outlineLevel="0" collapsed="false">
      <c r="A689" s="417" t="n">
        <f aca="false">IF(B688+0.01&lt;=T_ini+ROUNDUP(Temps_fin_propu,0), 0.01, IF(K688&gt;0, 0.1, 0.0001))</f>
        <v>0.0001</v>
      </c>
      <c r="B689" s="418" t="n">
        <f aca="false">B688+pas</f>
        <v>16.5339999999999</v>
      </c>
      <c r="C689" s="402"/>
      <c r="D689" s="419" t="n">
        <f aca="false">IF(AND(L688&lt;L_rampe,Poussee&lt;Poids*SIN(M688)),0,(-W688+Poussee)/m*COS(M688)-U688/m*SIN(M688))</f>
        <v>-0.536943835775627</v>
      </c>
      <c r="E689" s="420" t="n">
        <f aca="false">IF(AND(L688&lt;L_rampe,Poussee&lt;Poids*SIN(M688)),0,(-W688+Poussee)/m*SIN(M688)+U688/m*COS(M688)-Poids/m)</f>
        <v>-6.09308511565751</v>
      </c>
      <c r="F689" s="418" t="n">
        <f aca="false">SQRT(acc_x^2+acc_z^2)</f>
        <v>6.11669803974534</v>
      </c>
      <c r="G689" s="419" t="n">
        <f aca="false">G688+acc_x*pas</f>
        <v>10.2689902313238</v>
      </c>
      <c r="H689" s="420" t="n">
        <f aca="false">H688+acc_z*pas</f>
        <v>-71.0865584754155</v>
      </c>
      <c r="I689" s="418" t="n">
        <f aca="false">SQRT(vit_x^2+vit_z^2)</f>
        <v>71.8244453946544</v>
      </c>
      <c r="J689" s="419" t="n">
        <f aca="false">J688+0.5*(vit_x+G688)*pas*(K688&gt;=0)</f>
        <v>211.791153319536</v>
      </c>
      <c r="K689" s="420" t="n">
        <f aca="false">K688+0.5*(vit_z+H688)*pas</f>
        <v>-6.84627894822284</v>
      </c>
      <c r="L689" s="418" t="n">
        <f aca="false">SQRT(pos_x^2+pos_z^2)</f>
        <v>211.901779510829</v>
      </c>
      <c r="M689" s="419" t="n">
        <f aca="false">IF(AND(L688&gt;L_rampe,G689&gt;0),ATAN2(G689,H689),$M$4)</f>
        <v>-1.42733122365783</v>
      </c>
      <c r="N689" s="418" t="n">
        <f aca="false">DEGREES(Beta)</f>
        <v>-81.7800550828373</v>
      </c>
      <c r="O689" s="402"/>
      <c r="P689" s="421" t="n">
        <f aca="false">MATCH(t-pas/2-T_ini,CdP_t)</f>
        <v>23</v>
      </c>
      <c r="Q689" s="418" t="n">
        <f aca="false">(INDEX(CdP,2,i_P+1)-INDEX(CdP,2,i_P+0))/(INDEX(CdP,1,i_P+1)-INDEX(CdP,1,i_P+0))*(t-pas/2-T_ini-INDEX(CdP,1,i_P+0))+INDEX(CdP,2,i_P+0)</f>
        <v>0</v>
      </c>
      <c r="R689" s="419" t="n">
        <f aca="false">Poussee/(g*ISP)</f>
        <v>0</v>
      </c>
      <c r="S689" s="420" t="n">
        <f aca="false">S688-Débit*pas</f>
        <v>1.4843</v>
      </c>
      <c r="T689" s="418" t="n">
        <f aca="false">m*g</f>
        <v>14.560983</v>
      </c>
      <c r="U689" s="422" t="n">
        <f aca="false">IF(pos_xz&lt;L_rampe,Poids*COS(Beta),0)</f>
        <v>0</v>
      </c>
      <c r="V689" s="419" t="n">
        <f aca="false">Rho_moyen*(20000-Alt_rampe-pos_z)/(20000+Alt_rampe+pos_z)</f>
        <v>1.22583895635762</v>
      </c>
      <c r="W689" s="418" t="n">
        <f aca="false">1/2*Rho*Sref*Cx*vit_xz^2</f>
        <v>5.57438200174677</v>
      </c>
      <c r="X689" s="402"/>
      <c r="Y689" s="423" t="str">
        <f aca="false">IF(AND(pos_z&lt;=0,K688&gt;0),"Impact balistique","") &amp; IF(AND(H690&lt;0,vit_z&gt;=0),"Apogée","") &amp; IF(AND(Poussee=0,Q688&gt;0),"Fin de propulsion","") &amp; IF(AND(L690&gt;L_rampe,pos_xz&lt;=L_rampe),"Sortie de rampe","")</f>
        <v/>
      </c>
      <c r="Z689" s="424" t="str">
        <f aca="false">IF(ABS(t-T_para)&lt;pas/2,"Para","")</f>
        <v/>
      </c>
      <c r="AA689" s="425" t="str">
        <f aca="false">IF(ABS(t-T_satellite)&lt;pas/2,"Satellite","")</f>
        <v/>
      </c>
      <c r="AB689" s="413"/>
      <c r="AC689" s="421" t="e">
        <f aca="false">IF(ABS(t-ROUND(t,0))&lt;0.001,t,NA())</f>
        <v>#N/A</v>
      </c>
      <c r="AD689" s="426" t="e">
        <f aca="false">IF(ABS(t-ROUND(t,0))&lt;0.001,pos_x,NA())</f>
        <v>#N/A</v>
      </c>
      <c r="AE689" s="427" t="e">
        <f aca="false">IF(t&lt;T_para, pos_z, NA())</f>
        <v>#N/A</v>
      </c>
      <c r="AF689" s="413"/>
      <c r="AG689" s="419" t="n">
        <f aca="false">IF(AND(L688&lt;L_rampe,Poussee&lt;Poids*SIN(M688)),0,(-W688+Poussee)/m-Poids*SIN(M688)/m)</f>
        <v>5.95371647203357</v>
      </c>
      <c r="AH689" s="418" t="n">
        <f aca="false">IF(AND(L688&lt;L_rampe,Poussee&lt;Poids*SIN(M688)), g*SIN(M688), (-W688+Poussee)/m)</f>
        <v>-3.75549796168553</v>
      </c>
    </row>
    <row r="690" customFormat="false" ht="12" hidden="false" customHeight="false" outlineLevel="0" collapsed="false">
      <c r="A690" s="417" t="n">
        <f aca="false">IF(B689+0.01&lt;=T_ini+ROUNDUP(Temps_fin_propu,0), 0.01, IF(K689&gt;0, 0.1, 0.0001))</f>
        <v>0.0001</v>
      </c>
      <c r="B690" s="418" t="n">
        <f aca="false">B689+pas</f>
        <v>16.5340999999999</v>
      </c>
      <c r="C690" s="402"/>
      <c r="D690" s="419" t="n">
        <f aca="false">IF(AND(L689&lt;L_rampe,Poussee&lt;Poids*SIN(M689)),0,(-W689+Poussee)/m*COS(M689)-U689/m*SIN(M689))</f>
        <v>-0.536945860801659</v>
      </c>
      <c r="E690" s="420" t="n">
        <f aca="false">IF(AND(L689&lt;L_rampe,Poussee&lt;Poids*SIN(M689)),0,(-W689+Poussee)/m*SIN(M689)+U689/m*COS(M689)-Poids/m)</f>
        <v>-6.09301980309812</v>
      </c>
      <c r="F690" s="418" t="n">
        <f aca="false">SQRT(acc_x^2+acc_z^2)</f>
        <v>6.11663315708715</v>
      </c>
      <c r="G690" s="419" t="n">
        <f aca="false">G689+acc_x*pas</f>
        <v>10.2689365367377</v>
      </c>
      <c r="H690" s="420" t="n">
        <f aca="false">H689+acc_z*pas</f>
        <v>-71.0871677773958</v>
      </c>
      <c r="I690" s="418" t="n">
        <f aca="false">SQRT(vit_x^2+vit_z^2)</f>
        <v>71.8250407602193</v>
      </c>
      <c r="J690" s="419" t="n">
        <f aca="false">J689+0.5*(vit_x+G689)*pas*(K689&gt;=0)</f>
        <v>211.791153319536</v>
      </c>
      <c r="K690" s="420" t="n">
        <f aca="false">K689+0.5*(vit_z+H689)*pas</f>
        <v>-6.85338763453548</v>
      </c>
      <c r="L690" s="418" t="n">
        <f aca="false">SQRT(pos_x^2+pos_z^2)</f>
        <v>211.902009302622</v>
      </c>
      <c r="M690" s="419" t="n">
        <f aca="false">IF(AND(L689&gt;L_rampe,G690&gt;0),ATAN2(G690,H690),$M$4)</f>
        <v>-1.42733317641655</v>
      </c>
      <c r="N690" s="418" t="n">
        <f aca="false">DEGREES(Beta)</f>
        <v>-81.7801669676703</v>
      </c>
      <c r="O690" s="402"/>
      <c r="P690" s="421" t="n">
        <f aca="false">MATCH(t-pas/2-T_ini,CdP_t)</f>
        <v>23</v>
      </c>
      <c r="Q690" s="418" t="n">
        <f aca="false">(INDEX(CdP,2,i_P+1)-INDEX(CdP,2,i_P+0))/(INDEX(CdP,1,i_P+1)-INDEX(CdP,1,i_P+0))*(t-pas/2-T_ini-INDEX(CdP,1,i_P+0))+INDEX(CdP,2,i_P+0)</f>
        <v>0</v>
      </c>
      <c r="R690" s="419" t="n">
        <f aca="false">Poussee/(g*ISP)</f>
        <v>0</v>
      </c>
      <c r="S690" s="420" t="n">
        <f aca="false">S689-Débit*pas</f>
        <v>1.4843</v>
      </c>
      <c r="T690" s="418" t="n">
        <f aca="false">m*g</f>
        <v>14.560983</v>
      </c>
      <c r="U690" s="422" t="n">
        <f aca="false">IF(pos_xz&lt;L_rampe,Poids*COS(Beta),0)</f>
        <v>0</v>
      </c>
      <c r="V690" s="419" t="n">
        <f aca="false">Rho_moyen*(20000-Alt_rampe-pos_z)/(20000+Alt_rampe+pos_z)</f>
        <v>1.22583982776849</v>
      </c>
      <c r="W690" s="418" t="n">
        <f aca="false">1/2*Rho*Sref*Cx*vit_xz^2</f>
        <v>5.57447837893256</v>
      </c>
      <c r="X690" s="402"/>
      <c r="Y690" s="423" t="str">
        <f aca="false">IF(AND(pos_z&lt;=0,K689&gt;0),"Impact balistique","") &amp; IF(AND(H691&lt;0,vit_z&gt;=0),"Apogée","") &amp; IF(AND(Poussee=0,Q689&gt;0),"Fin de propulsion","") &amp; IF(AND(L691&gt;L_rampe,pos_xz&lt;=L_rampe),"Sortie de rampe","")</f>
        <v/>
      </c>
      <c r="Z690" s="424" t="str">
        <f aca="false">IF(ABS(t-T_para)&lt;pas/2,"Para","")</f>
        <v/>
      </c>
      <c r="AA690" s="425" t="str">
        <f aca="false">IF(ABS(t-T_satellite)&lt;pas/2,"Satellite","")</f>
        <v/>
      </c>
      <c r="AB690" s="413"/>
      <c r="AC690" s="421" t="e">
        <f aca="false">IF(ABS(t-ROUND(t,0))&lt;0.001,t,NA())</f>
        <v>#N/A</v>
      </c>
      <c r="AD690" s="426" t="e">
        <f aca="false">IF(ABS(t-ROUND(t,0))&lt;0.001,pos_x,NA())</f>
        <v>#N/A</v>
      </c>
      <c r="AE690" s="427" t="e">
        <f aca="false">IF(t&lt;T_para, pos_z, NA())</f>
        <v>#N/A</v>
      </c>
      <c r="AF690" s="413"/>
      <c r="AG690" s="419" t="n">
        <f aca="false">IF(AND(L689&lt;L_rampe,Poussee&lt;Poids*SIN(M689)),0,(-W689+Poussee)/m-Poids*SIN(M689)/m)</f>
        <v>5.95365427990208</v>
      </c>
      <c r="AH690" s="418" t="n">
        <f aca="false">IF(AND(L689&lt;L_rampe,Poussee&lt;Poids*SIN(M689)), g*SIN(M689), (-W689+Poussee)/m)</f>
        <v>-3.75556289277557</v>
      </c>
    </row>
    <row r="691" customFormat="false" ht="12" hidden="false" customHeight="false" outlineLevel="0" collapsed="false">
      <c r="A691" s="417" t="n">
        <f aca="false">IF(B690+0.01&lt;=T_ini+ROUNDUP(Temps_fin_propu,0), 0.01, IF(K690&gt;0, 0.1, 0.0001))</f>
        <v>0.0001</v>
      </c>
      <c r="B691" s="418" t="n">
        <f aca="false">B690+pas</f>
        <v>16.5341999999999</v>
      </c>
      <c r="C691" s="402"/>
      <c r="D691" s="419" t="n">
        <f aca="false">IF(AND(L690&lt;L_rampe,Poussee&lt;Poids*SIN(M690)),0,(-W690+Poussee)/m*COS(M690)-U690/m*SIN(M690))</f>
        <v>-0.536947885729944</v>
      </c>
      <c r="E691" s="420" t="n">
        <f aca="false">IF(AND(L690&lt;L_rampe,Poussee&lt;Poids*SIN(M690)),0,(-W690+Poussee)/m*SIN(M690)+U690/m*COS(M690)-Poids/m)</f>
        <v>-6.09295449056028</v>
      </c>
      <c r="F691" s="418" t="n">
        <f aca="false">SQRT(acc_x^2+acc_z^2)</f>
        <v>6.11656827445166</v>
      </c>
      <c r="G691" s="419" t="n">
        <f aca="false">G690+acc_x*pas</f>
        <v>10.2688828419492</v>
      </c>
      <c r="H691" s="420" t="n">
        <f aca="false">H690+acc_z*pas</f>
        <v>-71.0877770728449</v>
      </c>
      <c r="I691" s="418" t="n">
        <f aca="false">SQRT(vit_x^2+vit_z^2)</f>
        <v>71.825636119565</v>
      </c>
      <c r="J691" s="419" t="n">
        <f aca="false">J690+0.5*(vit_x+G690)*pas*(K690&gt;=0)</f>
        <v>211.791153319536</v>
      </c>
      <c r="K691" s="420" t="n">
        <f aca="false">K690+0.5*(vit_z+H690)*pas</f>
        <v>-6.86049638177799</v>
      </c>
      <c r="L691" s="418" t="n">
        <f aca="false">SQRT(pos_x^2+pos_z^2)</f>
        <v>211.902239334613</v>
      </c>
      <c r="M691" s="419" t="n">
        <f aca="false">IF(AND(L690&gt;L_rampe,G691&gt;0),ATAN2(G691,H691),$M$4)</f>
        <v>-1.42733512913269</v>
      </c>
      <c r="N691" s="418" t="n">
        <f aca="false">DEGREES(Beta)</f>
        <v>-81.7802788500635</v>
      </c>
      <c r="O691" s="402"/>
      <c r="P691" s="421" t="n">
        <f aca="false">MATCH(t-pas/2-T_ini,CdP_t)</f>
        <v>23</v>
      </c>
      <c r="Q691" s="418" t="n">
        <f aca="false">(INDEX(CdP,2,i_P+1)-INDEX(CdP,2,i_P+0))/(INDEX(CdP,1,i_P+1)-INDEX(CdP,1,i_P+0))*(t-pas/2-T_ini-INDEX(CdP,1,i_P+0))+INDEX(CdP,2,i_P+0)</f>
        <v>0</v>
      </c>
      <c r="R691" s="419" t="n">
        <f aca="false">Poussee/(g*ISP)</f>
        <v>0</v>
      </c>
      <c r="S691" s="420" t="n">
        <f aca="false">S690-Débit*pas</f>
        <v>1.4843</v>
      </c>
      <c r="T691" s="418" t="n">
        <f aca="false">m*g</f>
        <v>14.560983</v>
      </c>
      <c r="U691" s="422" t="n">
        <f aca="false">IF(pos_xz&lt;L_rampe,Poids*COS(Beta),0)</f>
        <v>0</v>
      </c>
      <c r="V691" s="419" t="n">
        <f aca="false">Rho_moyen*(20000-Alt_rampe-pos_z)/(20000+Alt_rampe+pos_z)</f>
        <v>1.22584069918745</v>
      </c>
      <c r="W691" s="418" t="n">
        <f aca="false">1/2*Rho*Sref*Cx*vit_xz^2</f>
        <v>5.57457475608718</v>
      </c>
      <c r="X691" s="402"/>
      <c r="Y691" s="423" t="str">
        <f aca="false">IF(AND(pos_z&lt;=0,K690&gt;0),"Impact balistique","") &amp; IF(AND(H692&lt;0,vit_z&gt;=0),"Apogée","") &amp; IF(AND(Poussee=0,Q690&gt;0),"Fin de propulsion","") &amp; IF(AND(L692&gt;L_rampe,pos_xz&lt;=L_rampe),"Sortie de rampe","")</f>
        <v/>
      </c>
      <c r="Z691" s="424" t="str">
        <f aca="false">IF(ABS(t-T_para)&lt;pas/2,"Para","")</f>
        <v/>
      </c>
      <c r="AA691" s="425" t="str">
        <f aca="false">IF(ABS(t-T_satellite)&lt;pas/2,"Satellite","")</f>
        <v/>
      </c>
      <c r="AB691" s="413"/>
      <c r="AC691" s="421" t="e">
        <f aca="false">IF(ABS(t-ROUND(t,0))&lt;0.001,t,NA())</f>
        <v>#N/A</v>
      </c>
      <c r="AD691" s="426" t="e">
        <f aca="false">IF(ABS(t-ROUND(t,0))&lt;0.001,pos_x,NA())</f>
        <v>#N/A</v>
      </c>
      <c r="AE691" s="427" t="e">
        <f aca="false">IF(t&lt;T_para, pos_z, NA())</f>
        <v>#N/A</v>
      </c>
      <c r="AF691" s="413"/>
      <c r="AG691" s="419" t="n">
        <f aca="false">IF(AND(L690&lt;L_rampe,Poussee&lt;Poids*SIN(M690)),0,(-W690+Poussee)/m-Poids*SIN(M690)/m)</f>
        <v>5.95359208769482</v>
      </c>
      <c r="AH691" s="418" t="n">
        <f aca="false">IF(AND(L690&lt;L_rampe,Poussee&lt;Poids*SIN(M690)), g*SIN(M690), (-W690+Poussee)/m)</f>
        <v>-3.75562782384462</v>
      </c>
    </row>
    <row r="692" customFormat="false" ht="12" hidden="false" customHeight="false" outlineLevel="0" collapsed="false">
      <c r="A692" s="417" t="n">
        <f aca="false">IF(B691+0.01&lt;=T_ini+ROUNDUP(Temps_fin_propu,0), 0.01, IF(K691&gt;0, 0.1, 0.0001))</f>
        <v>0.0001</v>
      </c>
      <c r="B692" s="418" t="n">
        <f aca="false">B691+pas</f>
        <v>16.5342999999999</v>
      </c>
      <c r="C692" s="402"/>
      <c r="D692" s="419" t="n">
        <f aca="false">IF(AND(L691&lt;L_rampe,Poussee&lt;Poids*SIN(M691)),0,(-W691+Poussee)/m*COS(M691)-U691/m*SIN(M691))</f>
        <v>-0.536949910560481</v>
      </c>
      <c r="E692" s="420" t="n">
        <f aca="false">IF(AND(L691&lt;L_rampe,Poussee&lt;Poids*SIN(M691)),0,(-W691+Poussee)/m*SIN(M691)+U691/m*COS(M691)-Poids/m)</f>
        <v>-6.09288917804401</v>
      </c>
      <c r="F692" s="418" t="n">
        <f aca="false">SQRT(acc_x^2+acc_z^2)</f>
        <v>6.11650339183889</v>
      </c>
      <c r="G692" s="419" t="n">
        <f aca="false">G691+acc_x*pas</f>
        <v>10.2688291469581</v>
      </c>
      <c r="H692" s="420" t="n">
        <f aca="false">H691+acc_z*pas</f>
        <v>-71.0883863617627</v>
      </c>
      <c r="I692" s="418" t="n">
        <f aca="false">SQRT(vit_x^2+vit_z^2)</f>
        <v>71.8262314726915</v>
      </c>
      <c r="J692" s="419" t="n">
        <f aca="false">J691+0.5*(vit_x+G691)*pas*(K691&gt;=0)</f>
        <v>211.791153319536</v>
      </c>
      <c r="K692" s="420" t="n">
        <f aca="false">K691+0.5*(vit_z+H691)*pas</f>
        <v>-6.86760518994972</v>
      </c>
      <c r="L692" s="418" t="n">
        <f aca="false">SQRT(pos_x^2+pos_z^2)</f>
        <v>211.902469606808</v>
      </c>
      <c r="M692" s="419" t="n">
        <f aca="false">IF(AND(L691&gt;L_rampe,G692&gt;0),ATAN2(G692,H692),$M$4)</f>
        <v>-1.42733708180625</v>
      </c>
      <c r="N692" s="418" t="n">
        <f aca="false">DEGREES(Beta)</f>
        <v>-81.780390730017</v>
      </c>
      <c r="O692" s="402"/>
      <c r="P692" s="421" t="n">
        <f aca="false">MATCH(t-pas/2-T_ini,CdP_t)</f>
        <v>23</v>
      </c>
      <c r="Q692" s="418" t="n">
        <f aca="false">(INDEX(CdP,2,i_P+1)-INDEX(CdP,2,i_P+0))/(INDEX(CdP,1,i_P+1)-INDEX(CdP,1,i_P+0))*(t-pas/2-T_ini-INDEX(CdP,1,i_P+0))+INDEX(CdP,2,i_P+0)</f>
        <v>0</v>
      </c>
      <c r="R692" s="419" t="n">
        <f aca="false">Poussee/(g*ISP)</f>
        <v>0</v>
      </c>
      <c r="S692" s="420" t="n">
        <f aca="false">S691-Débit*pas</f>
        <v>1.4843</v>
      </c>
      <c r="T692" s="418" t="n">
        <f aca="false">m*g</f>
        <v>14.560983</v>
      </c>
      <c r="U692" s="422" t="n">
        <f aca="false">IF(pos_xz&lt;L_rampe,Poids*COS(Beta),0)</f>
        <v>0</v>
      </c>
      <c r="V692" s="419" t="n">
        <f aca="false">Rho_moyen*(20000-Alt_rampe-pos_z)/(20000+Alt_rampe+pos_z)</f>
        <v>1.22584157061451</v>
      </c>
      <c r="W692" s="418" t="n">
        <f aca="false">1/2*Rho*Sref*Cx*vit_xz^2</f>
        <v>5.57467113321061</v>
      </c>
      <c r="X692" s="402"/>
      <c r="Y692" s="423" t="str">
        <f aca="false">IF(AND(pos_z&lt;=0,K691&gt;0),"Impact balistique","") &amp; IF(AND(H693&lt;0,vit_z&gt;=0),"Apogée","") &amp; IF(AND(Poussee=0,Q691&gt;0),"Fin de propulsion","") &amp; IF(AND(L693&gt;L_rampe,pos_xz&lt;=L_rampe),"Sortie de rampe","")</f>
        <v/>
      </c>
      <c r="Z692" s="424" t="str">
        <f aca="false">IF(ABS(t-T_para)&lt;pas/2,"Para","")</f>
        <v/>
      </c>
      <c r="AA692" s="425" t="str">
        <f aca="false">IF(ABS(t-T_satellite)&lt;pas/2,"Satellite","")</f>
        <v/>
      </c>
      <c r="AB692" s="413"/>
      <c r="AC692" s="421" t="e">
        <f aca="false">IF(ABS(t-ROUND(t,0))&lt;0.001,t,NA())</f>
        <v>#N/A</v>
      </c>
      <c r="AD692" s="426" t="e">
        <f aca="false">IF(ABS(t-ROUND(t,0))&lt;0.001,pos_x,NA())</f>
        <v>#N/A</v>
      </c>
      <c r="AE692" s="427" t="e">
        <f aca="false">IF(t&lt;T_para, pos_z, NA())</f>
        <v>#N/A</v>
      </c>
      <c r="AF692" s="413"/>
      <c r="AG692" s="419" t="n">
        <f aca="false">IF(AND(L691&lt;L_rampe,Poussee&lt;Poids*SIN(M691)),0,(-W691+Poussee)/m-Poids*SIN(M691)/m)</f>
        <v>5.95352989541181</v>
      </c>
      <c r="AH692" s="418" t="n">
        <f aca="false">IF(AND(L691&lt;L_rampe,Poussee&lt;Poids*SIN(M691)), g*SIN(M691), (-W691+Poussee)/m)</f>
        <v>-3.75569275489267</v>
      </c>
    </row>
    <row r="693" customFormat="false" ht="12" hidden="false" customHeight="false" outlineLevel="0" collapsed="false">
      <c r="A693" s="417" t="n">
        <f aca="false">IF(B692+0.01&lt;=T_ini+ROUNDUP(Temps_fin_propu,0), 0.01, IF(K692&gt;0, 0.1, 0.0001))</f>
        <v>0.0001</v>
      </c>
      <c r="B693" s="418" t="n">
        <f aca="false">B692+pas</f>
        <v>16.5343999999999</v>
      </c>
      <c r="C693" s="402"/>
      <c r="D693" s="419" t="n">
        <f aca="false">IF(AND(L692&lt;L_rampe,Poussee&lt;Poids*SIN(M692)),0,(-W692+Poussee)/m*COS(M692)-U692/m*SIN(M692))</f>
        <v>-0.536951935293271</v>
      </c>
      <c r="E693" s="420" t="n">
        <f aca="false">IF(AND(L692&lt;L_rampe,Poussee&lt;Poids*SIN(M692)),0,(-W692+Poussee)/m*SIN(M692)+U692/m*COS(M692)-Poids/m)</f>
        <v>-6.09282386554932</v>
      </c>
      <c r="F693" s="418" t="n">
        <f aca="false">SQRT(acc_x^2+acc_z^2)</f>
        <v>6.11643850924887</v>
      </c>
      <c r="G693" s="419" t="n">
        <f aca="false">G692+acc_x*pas</f>
        <v>10.2687754517646</v>
      </c>
      <c r="H693" s="420" t="n">
        <f aca="false">H692+acc_z*pas</f>
        <v>-71.0889956441492</v>
      </c>
      <c r="I693" s="418" t="n">
        <f aca="false">SQRT(vit_x^2+vit_z^2)</f>
        <v>71.8268268195987</v>
      </c>
      <c r="J693" s="419" t="n">
        <f aca="false">J692+0.5*(vit_x+G692)*pas*(K692&gt;=0)</f>
        <v>211.791153319536</v>
      </c>
      <c r="K693" s="420" t="n">
        <f aca="false">K692+0.5*(vit_z+H692)*pas</f>
        <v>-6.87471405905001</v>
      </c>
      <c r="L693" s="418" t="n">
        <f aca="false">SQRT(pos_x^2+pos_z^2)</f>
        <v>211.902700119213</v>
      </c>
      <c r="M693" s="419" t="n">
        <f aca="false">IF(AND(L692&gt;L_rampe,G693&gt;0),ATAN2(G693,H693),$M$4)</f>
        <v>-1.42733903443722</v>
      </c>
      <c r="N693" s="418" t="n">
        <f aca="false">DEGREES(Beta)</f>
        <v>-81.7805026075307</v>
      </c>
      <c r="O693" s="402"/>
      <c r="P693" s="421" t="n">
        <f aca="false">MATCH(t-pas/2-T_ini,CdP_t)</f>
        <v>23</v>
      </c>
      <c r="Q693" s="418" t="n">
        <f aca="false">(INDEX(CdP,2,i_P+1)-INDEX(CdP,2,i_P+0))/(INDEX(CdP,1,i_P+1)-INDEX(CdP,1,i_P+0))*(t-pas/2-T_ini-INDEX(CdP,1,i_P+0))+INDEX(CdP,2,i_P+0)</f>
        <v>0</v>
      </c>
      <c r="R693" s="419" t="n">
        <f aca="false">Poussee/(g*ISP)</f>
        <v>0</v>
      </c>
      <c r="S693" s="420" t="n">
        <f aca="false">S692-Débit*pas</f>
        <v>1.4843</v>
      </c>
      <c r="T693" s="418" t="n">
        <f aca="false">m*g</f>
        <v>14.560983</v>
      </c>
      <c r="U693" s="422" t="n">
        <f aca="false">IF(pos_xz&lt;L_rampe,Poids*COS(Beta),0)</f>
        <v>0</v>
      </c>
      <c r="V693" s="419" t="n">
        <f aca="false">Rho_moyen*(20000-Alt_rampe-pos_z)/(20000+Alt_rampe+pos_z)</f>
        <v>1.22584244204964</v>
      </c>
      <c r="W693" s="418" t="n">
        <f aca="false">1/2*Rho*Sref*Cx*vit_xz^2</f>
        <v>5.57476751030282</v>
      </c>
      <c r="X693" s="402"/>
      <c r="Y693" s="423" t="str">
        <f aca="false">IF(AND(pos_z&lt;=0,K692&gt;0),"Impact balistique","") &amp; IF(AND(H694&lt;0,vit_z&gt;=0),"Apogée","") &amp; IF(AND(Poussee=0,Q692&gt;0),"Fin de propulsion","") &amp; IF(AND(L694&gt;L_rampe,pos_xz&lt;=L_rampe),"Sortie de rampe","")</f>
        <v/>
      </c>
      <c r="Z693" s="424" t="str">
        <f aca="false">IF(ABS(t-T_para)&lt;pas/2,"Para","")</f>
        <v/>
      </c>
      <c r="AA693" s="425" t="str">
        <f aca="false">IF(ABS(t-T_satellite)&lt;pas/2,"Satellite","")</f>
        <v/>
      </c>
      <c r="AB693" s="413"/>
      <c r="AC693" s="421" t="e">
        <f aca="false">IF(ABS(t-ROUND(t,0))&lt;0.001,t,NA())</f>
        <v>#N/A</v>
      </c>
      <c r="AD693" s="426" t="e">
        <f aca="false">IF(ABS(t-ROUND(t,0))&lt;0.001,pos_x,NA())</f>
        <v>#N/A</v>
      </c>
      <c r="AE693" s="427" t="e">
        <f aca="false">IF(t&lt;T_para, pos_z, NA())</f>
        <v>#N/A</v>
      </c>
      <c r="AF693" s="413"/>
      <c r="AG693" s="419" t="n">
        <f aca="false">IF(AND(L692&lt;L_rampe,Poussee&lt;Poids*SIN(M692)),0,(-W692+Poussee)/m-Poids*SIN(M692)/m)</f>
        <v>5.95346770305307</v>
      </c>
      <c r="AH693" s="418" t="n">
        <f aca="false">IF(AND(L692&lt;L_rampe,Poussee&lt;Poids*SIN(M692)), g*SIN(M692), (-W692+Poussee)/m)</f>
        <v>-3.7557576859197</v>
      </c>
    </row>
    <row r="694" customFormat="false" ht="12" hidden="false" customHeight="false" outlineLevel="0" collapsed="false">
      <c r="A694" s="417" t="n">
        <f aca="false">IF(B693+0.01&lt;=T_ini+ROUNDUP(Temps_fin_propu,0), 0.01, IF(K693&gt;0, 0.1, 0.0001))</f>
        <v>0.0001</v>
      </c>
      <c r="B694" s="418" t="n">
        <f aca="false">B693+pas</f>
        <v>16.5344999999999</v>
      </c>
      <c r="C694" s="402"/>
      <c r="D694" s="419" t="n">
        <f aca="false">IF(AND(L693&lt;L_rampe,Poussee&lt;Poids*SIN(M693)),0,(-W693+Poussee)/m*COS(M693)-U693/m*SIN(M693))</f>
        <v>-0.536953959928316</v>
      </c>
      <c r="E694" s="420" t="n">
        <f aca="false">IF(AND(L693&lt;L_rampe,Poussee&lt;Poids*SIN(M693)),0,(-W693+Poussee)/m*SIN(M693)+U693/m*COS(M693)-Poids/m)</f>
        <v>-6.09275855307623</v>
      </c>
      <c r="F694" s="418" t="n">
        <f aca="false">SQRT(acc_x^2+acc_z^2)</f>
        <v>6.1163736266816</v>
      </c>
      <c r="G694" s="419" t="n">
        <f aca="false">G693+acc_x*pas</f>
        <v>10.2687217563686</v>
      </c>
      <c r="H694" s="420" t="n">
        <f aca="false">H693+acc_z*pas</f>
        <v>-71.0896049200045</v>
      </c>
      <c r="I694" s="418" t="n">
        <f aca="false">SQRT(vit_x^2+vit_z^2)</f>
        <v>71.8274221602867</v>
      </c>
      <c r="J694" s="419" t="n">
        <f aca="false">J693+0.5*(vit_x+G693)*pas*(K693&gt;=0)</f>
        <v>211.791153319536</v>
      </c>
      <c r="K694" s="420" t="n">
        <f aca="false">K693+0.5*(vit_z+H693)*pas</f>
        <v>-6.88182298907822</v>
      </c>
      <c r="L694" s="418" t="n">
        <f aca="false">SQRT(pos_x^2+pos_z^2)</f>
        <v>211.902930871832</v>
      </c>
      <c r="M694" s="419" t="n">
        <f aca="false">IF(AND(L693&gt;L_rampe,G694&gt;0),ATAN2(G694,H694),$M$4)</f>
        <v>-1.42734098702562</v>
      </c>
      <c r="N694" s="418" t="n">
        <f aca="false">DEGREES(Beta)</f>
        <v>-81.7806144826049</v>
      </c>
      <c r="O694" s="402"/>
      <c r="P694" s="421" t="n">
        <f aca="false">MATCH(t-pas/2-T_ini,CdP_t)</f>
        <v>23</v>
      </c>
      <c r="Q694" s="418" t="n">
        <f aca="false">(INDEX(CdP,2,i_P+1)-INDEX(CdP,2,i_P+0))/(INDEX(CdP,1,i_P+1)-INDEX(CdP,1,i_P+0))*(t-pas/2-T_ini-INDEX(CdP,1,i_P+0))+INDEX(CdP,2,i_P+0)</f>
        <v>0</v>
      </c>
      <c r="R694" s="419" t="n">
        <f aca="false">Poussee/(g*ISP)</f>
        <v>0</v>
      </c>
      <c r="S694" s="420" t="n">
        <f aca="false">S693-Débit*pas</f>
        <v>1.4843</v>
      </c>
      <c r="T694" s="418" t="n">
        <f aca="false">m*g</f>
        <v>14.560983</v>
      </c>
      <c r="U694" s="422" t="n">
        <f aca="false">IF(pos_xz&lt;L_rampe,Poids*COS(Beta),0)</f>
        <v>0</v>
      </c>
      <c r="V694" s="419" t="n">
        <f aca="false">Rho_moyen*(20000-Alt_rampe-pos_z)/(20000+Alt_rampe+pos_z)</f>
        <v>1.22584331349287</v>
      </c>
      <c r="W694" s="418" t="n">
        <f aca="false">1/2*Rho*Sref*Cx*vit_xz^2</f>
        <v>5.57486388736379</v>
      </c>
      <c r="X694" s="402"/>
      <c r="Y694" s="423" t="str">
        <f aca="false">IF(AND(pos_z&lt;=0,K693&gt;0),"Impact balistique","") &amp; IF(AND(H695&lt;0,vit_z&gt;=0),"Apogée","") &amp; IF(AND(Poussee=0,Q693&gt;0),"Fin de propulsion","") &amp; IF(AND(L695&gt;L_rampe,pos_xz&lt;=L_rampe),"Sortie de rampe","")</f>
        <v/>
      </c>
      <c r="Z694" s="424" t="str">
        <f aca="false">IF(ABS(t-T_para)&lt;pas/2,"Para","")</f>
        <v/>
      </c>
      <c r="AA694" s="425" t="str">
        <f aca="false">IF(ABS(t-T_satellite)&lt;pas/2,"Satellite","")</f>
        <v/>
      </c>
      <c r="AB694" s="413"/>
      <c r="AC694" s="421" t="e">
        <f aca="false">IF(ABS(t-ROUND(t,0))&lt;0.001,t,NA())</f>
        <v>#N/A</v>
      </c>
      <c r="AD694" s="426" t="e">
        <f aca="false">IF(ABS(t-ROUND(t,0))&lt;0.001,pos_x,NA())</f>
        <v>#N/A</v>
      </c>
      <c r="AE694" s="427" t="e">
        <f aca="false">IF(t&lt;T_para, pos_z, NA())</f>
        <v>#N/A</v>
      </c>
      <c r="AF694" s="413"/>
      <c r="AG694" s="419" t="n">
        <f aca="false">IF(AND(L693&lt;L_rampe,Poussee&lt;Poids*SIN(M693)),0,(-W693+Poussee)/m-Poids*SIN(M693)/m)</f>
        <v>5.95340551061863</v>
      </c>
      <c r="AH694" s="418" t="n">
        <f aca="false">IF(AND(L693&lt;L_rampe,Poussee&lt;Poids*SIN(M693)), g*SIN(M693), (-W693+Poussee)/m)</f>
        <v>-3.7558226169257</v>
      </c>
    </row>
    <row r="695" customFormat="false" ht="12" hidden="false" customHeight="false" outlineLevel="0" collapsed="false">
      <c r="A695" s="417" t="n">
        <f aca="false">IF(B694+0.01&lt;=T_ini+ROUNDUP(Temps_fin_propu,0), 0.01, IF(K694&gt;0, 0.1, 0.0001))</f>
        <v>0.0001</v>
      </c>
      <c r="B695" s="418" t="n">
        <f aca="false">B694+pas</f>
        <v>16.5345999999999</v>
      </c>
      <c r="C695" s="402"/>
      <c r="D695" s="419" t="n">
        <f aca="false">IF(AND(L694&lt;L_rampe,Poussee&lt;Poids*SIN(M694)),0,(-W694+Poussee)/m*COS(M694)-U694/m*SIN(M694))</f>
        <v>-0.536955984465615</v>
      </c>
      <c r="E695" s="420" t="n">
        <f aca="false">IF(AND(L694&lt;L_rampe,Poussee&lt;Poids*SIN(M694)),0,(-W694+Poussee)/m*SIN(M694)+U694/m*COS(M694)-Poids/m)</f>
        <v>-6.09269324062475</v>
      </c>
      <c r="F695" s="418" t="n">
        <f aca="false">SQRT(acc_x^2+acc_z^2)</f>
        <v>6.1163087441371</v>
      </c>
      <c r="G695" s="419" t="n">
        <f aca="false">G694+acc_x*pas</f>
        <v>10.2686680607701</v>
      </c>
      <c r="H695" s="420" t="n">
        <f aca="false">H694+acc_z*pas</f>
        <v>-71.0902141893286</v>
      </c>
      <c r="I695" s="418" t="n">
        <f aca="false">SQRT(vit_x^2+vit_z^2)</f>
        <v>71.8280174947555</v>
      </c>
      <c r="J695" s="419" t="n">
        <f aca="false">J694+0.5*(vit_x+G694)*pas*(K694&gt;=0)</f>
        <v>211.791153319536</v>
      </c>
      <c r="K695" s="420" t="n">
        <f aca="false">K694+0.5*(vit_z+H694)*pas</f>
        <v>-6.88893198003369</v>
      </c>
      <c r="L695" s="418" t="n">
        <f aca="false">SQRT(pos_x^2+pos_z^2)</f>
        <v>211.903161864671</v>
      </c>
      <c r="M695" s="419" t="n">
        <f aca="false">IF(AND(L694&gt;L_rampe,G695&gt;0),ATAN2(G695,H695),$M$4)</f>
        <v>-1.42734293957143</v>
      </c>
      <c r="N695" s="418" t="n">
        <f aca="false">DEGREES(Beta)</f>
        <v>-81.7807263552396</v>
      </c>
      <c r="O695" s="402"/>
      <c r="P695" s="421" t="n">
        <f aca="false">MATCH(t-pas/2-T_ini,CdP_t)</f>
        <v>23</v>
      </c>
      <c r="Q695" s="418" t="n">
        <f aca="false">(INDEX(CdP,2,i_P+1)-INDEX(CdP,2,i_P+0))/(INDEX(CdP,1,i_P+1)-INDEX(CdP,1,i_P+0))*(t-pas/2-T_ini-INDEX(CdP,1,i_P+0))+INDEX(CdP,2,i_P+0)</f>
        <v>0</v>
      </c>
      <c r="R695" s="419" t="n">
        <f aca="false">Poussee/(g*ISP)</f>
        <v>0</v>
      </c>
      <c r="S695" s="420" t="n">
        <f aca="false">S694-Débit*pas</f>
        <v>1.4843</v>
      </c>
      <c r="T695" s="418" t="n">
        <f aca="false">m*g</f>
        <v>14.560983</v>
      </c>
      <c r="U695" s="422" t="n">
        <f aca="false">IF(pos_xz&lt;L_rampe,Poids*COS(Beta),0)</f>
        <v>0</v>
      </c>
      <c r="V695" s="419" t="n">
        <f aca="false">Rho_moyen*(20000-Alt_rampe-pos_z)/(20000+Alt_rampe+pos_z)</f>
        <v>1.22584418494419</v>
      </c>
      <c r="W695" s="418" t="n">
        <f aca="false">1/2*Rho*Sref*Cx*vit_xz^2</f>
        <v>5.57496026439349</v>
      </c>
      <c r="X695" s="402"/>
      <c r="Y695" s="423" t="str">
        <f aca="false">IF(AND(pos_z&lt;=0,K694&gt;0),"Impact balistique","") &amp; IF(AND(H696&lt;0,vit_z&gt;=0),"Apogée","") &amp; IF(AND(Poussee=0,Q694&gt;0),"Fin de propulsion","") &amp; IF(AND(L696&gt;L_rampe,pos_xz&lt;=L_rampe),"Sortie de rampe","")</f>
        <v/>
      </c>
      <c r="Z695" s="424" t="str">
        <f aca="false">IF(ABS(t-T_para)&lt;pas/2,"Para","")</f>
        <v/>
      </c>
      <c r="AA695" s="425" t="str">
        <f aca="false">IF(ABS(t-T_satellite)&lt;pas/2,"Satellite","")</f>
        <v/>
      </c>
      <c r="AB695" s="413"/>
      <c r="AC695" s="421" t="e">
        <f aca="false">IF(ABS(t-ROUND(t,0))&lt;0.001,t,NA())</f>
        <v>#N/A</v>
      </c>
      <c r="AD695" s="426" t="e">
        <f aca="false">IF(ABS(t-ROUND(t,0))&lt;0.001,pos_x,NA())</f>
        <v>#N/A</v>
      </c>
      <c r="AE695" s="427" t="e">
        <f aca="false">IF(t&lt;T_para, pos_z, NA())</f>
        <v>#N/A</v>
      </c>
      <c r="AF695" s="413"/>
      <c r="AG695" s="419" t="n">
        <f aca="false">IF(AND(L694&lt;L_rampe,Poussee&lt;Poids*SIN(M694)),0,(-W694+Poussee)/m-Poids*SIN(M694)/m)</f>
        <v>5.9533433181085</v>
      </c>
      <c r="AH695" s="418" t="n">
        <f aca="false">IF(AND(L694&lt;L_rampe,Poussee&lt;Poids*SIN(M694)), g*SIN(M694), (-W694+Poussee)/m)</f>
        <v>-3.75588754791066</v>
      </c>
    </row>
    <row r="696" customFormat="false" ht="12" hidden="false" customHeight="false" outlineLevel="0" collapsed="false">
      <c r="A696" s="417" t="n">
        <f aca="false">IF(B695+0.01&lt;=T_ini+ROUNDUP(Temps_fin_propu,0), 0.01, IF(K695&gt;0, 0.1, 0.0001))</f>
        <v>0.0001</v>
      </c>
      <c r="B696" s="418" t="n">
        <f aca="false">B695+pas</f>
        <v>16.5346999999999</v>
      </c>
      <c r="C696" s="402"/>
      <c r="D696" s="419" t="n">
        <f aca="false">IF(AND(L695&lt;L_rampe,Poussee&lt;Poids*SIN(M695)),0,(-W695+Poussee)/m*COS(M695)-U695/m*SIN(M695))</f>
        <v>-0.536958008905169</v>
      </c>
      <c r="E696" s="420" t="n">
        <f aca="false">IF(AND(L695&lt;L_rampe,Poussee&lt;Poids*SIN(M695)),0,(-W695+Poussee)/m*SIN(M695)+U695/m*COS(M695)-Poids/m)</f>
        <v>-6.09262792819491</v>
      </c>
      <c r="F696" s="418" t="n">
        <f aca="false">SQRT(acc_x^2+acc_z^2)</f>
        <v>6.1162438616154</v>
      </c>
      <c r="G696" s="419" t="n">
        <f aca="false">G695+acc_x*pas</f>
        <v>10.2686143649693</v>
      </c>
      <c r="H696" s="420" t="n">
        <f aca="false">H695+acc_z*pas</f>
        <v>-71.0908234521214</v>
      </c>
      <c r="I696" s="418" t="n">
        <f aca="false">SQRT(vit_x^2+vit_z^2)</f>
        <v>71.8286128230049</v>
      </c>
      <c r="J696" s="419" t="n">
        <f aca="false">J695+0.5*(vit_x+G695)*pas*(K695&gt;=0)</f>
        <v>211.791153319536</v>
      </c>
      <c r="K696" s="420" t="n">
        <f aca="false">K695+0.5*(vit_z+H695)*pas</f>
        <v>-6.89604103191576</v>
      </c>
      <c r="L696" s="418" t="n">
        <f aca="false">SQRT(pos_x^2+pos_z^2)</f>
        <v>211.903393097735</v>
      </c>
      <c r="M696" s="419" t="n">
        <f aca="false">IF(AND(L695&gt;L_rampe,G696&gt;0),ATAN2(G696,H696),$M$4)</f>
        <v>-1.42734489207468</v>
      </c>
      <c r="N696" s="418" t="n">
        <f aca="false">DEGREES(Beta)</f>
        <v>-81.7808382254349</v>
      </c>
      <c r="O696" s="402"/>
      <c r="P696" s="421" t="n">
        <f aca="false">MATCH(t-pas/2-T_ini,CdP_t)</f>
        <v>23</v>
      </c>
      <c r="Q696" s="418" t="n">
        <f aca="false">(INDEX(CdP,2,i_P+1)-INDEX(CdP,2,i_P+0))/(INDEX(CdP,1,i_P+1)-INDEX(CdP,1,i_P+0))*(t-pas/2-T_ini-INDEX(CdP,1,i_P+0))+INDEX(CdP,2,i_P+0)</f>
        <v>0</v>
      </c>
      <c r="R696" s="419" t="n">
        <f aca="false">Poussee/(g*ISP)</f>
        <v>0</v>
      </c>
      <c r="S696" s="420" t="n">
        <f aca="false">S695-Débit*pas</f>
        <v>1.4843</v>
      </c>
      <c r="T696" s="418" t="n">
        <f aca="false">m*g</f>
        <v>14.560983</v>
      </c>
      <c r="U696" s="422" t="n">
        <f aca="false">IF(pos_xz&lt;L_rampe,Poids*COS(Beta),0)</f>
        <v>0</v>
      </c>
      <c r="V696" s="419" t="n">
        <f aca="false">Rho_moyen*(20000-Alt_rampe-pos_z)/(20000+Alt_rampe+pos_z)</f>
        <v>1.22584505640359</v>
      </c>
      <c r="W696" s="418" t="n">
        <f aca="false">1/2*Rho*Sref*Cx*vit_xz^2</f>
        <v>5.5750566413919</v>
      </c>
      <c r="X696" s="402"/>
      <c r="Y696" s="423" t="str">
        <f aca="false">IF(AND(pos_z&lt;=0,K695&gt;0),"Impact balistique","") &amp; IF(AND(H697&lt;0,vit_z&gt;=0),"Apogée","") &amp; IF(AND(Poussee=0,Q695&gt;0),"Fin de propulsion","") &amp; IF(AND(L697&gt;L_rampe,pos_xz&lt;=L_rampe),"Sortie de rampe","")</f>
        <v/>
      </c>
      <c r="Z696" s="424" t="str">
        <f aca="false">IF(ABS(t-T_para)&lt;pas/2,"Para","")</f>
        <v/>
      </c>
      <c r="AA696" s="425" t="str">
        <f aca="false">IF(ABS(t-T_satellite)&lt;pas/2,"Satellite","")</f>
        <v/>
      </c>
      <c r="AB696" s="413"/>
      <c r="AC696" s="421" t="e">
        <f aca="false">IF(ABS(t-ROUND(t,0))&lt;0.001,t,NA())</f>
        <v>#N/A</v>
      </c>
      <c r="AD696" s="426" t="e">
        <f aca="false">IF(ABS(t-ROUND(t,0))&lt;0.001,pos_x,NA())</f>
        <v>#N/A</v>
      </c>
      <c r="AE696" s="427" t="e">
        <f aca="false">IF(t&lt;T_para, pos_z, NA())</f>
        <v>#N/A</v>
      </c>
      <c r="AF696" s="413"/>
      <c r="AG696" s="419" t="n">
        <f aca="false">IF(AND(L695&lt;L_rampe,Poussee&lt;Poids*SIN(M695)),0,(-W695+Poussee)/m-Poids*SIN(M695)/m)</f>
        <v>5.9532811255227</v>
      </c>
      <c r="AH696" s="418" t="n">
        <f aca="false">IF(AND(L695&lt;L_rampe,Poussee&lt;Poids*SIN(M695)), g*SIN(M695), (-W695+Poussee)/m)</f>
        <v>-3.75595247887455</v>
      </c>
    </row>
    <row r="697" customFormat="false" ht="12" hidden="false" customHeight="false" outlineLevel="0" collapsed="false">
      <c r="A697" s="417" t="n">
        <f aca="false">IF(B696+0.01&lt;=T_ini+ROUNDUP(Temps_fin_propu,0), 0.01, IF(K696&gt;0, 0.1, 0.0001))</f>
        <v>0.0001</v>
      </c>
      <c r="B697" s="418" t="n">
        <f aca="false">B696+pas</f>
        <v>16.5347999999999</v>
      </c>
      <c r="C697" s="402"/>
      <c r="D697" s="419" t="n">
        <f aca="false">IF(AND(L696&lt;L_rampe,Poussee&lt;Poids*SIN(M696)),0,(-W696+Poussee)/m*COS(M696)-U696/m*SIN(M696))</f>
        <v>-0.53696003324698</v>
      </c>
      <c r="E697" s="420" t="n">
        <f aca="false">IF(AND(L696&lt;L_rampe,Poussee&lt;Poids*SIN(M696)),0,(-W696+Poussee)/m*SIN(M696)+U696/m*COS(M696)-Poids/m)</f>
        <v>-6.09256261578672</v>
      </c>
      <c r="F697" s="418" t="n">
        <f aca="false">SQRT(acc_x^2+acc_z^2)</f>
        <v>6.11617897911649</v>
      </c>
      <c r="G697" s="419" t="n">
        <f aca="false">G696+acc_x*pas</f>
        <v>10.2685606689659</v>
      </c>
      <c r="H697" s="420" t="n">
        <f aca="false">H696+acc_z*pas</f>
        <v>-71.091432708383</v>
      </c>
      <c r="I697" s="418" t="n">
        <f aca="false">SQRT(vit_x^2+vit_z^2)</f>
        <v>71.8292081450351</v>
      </c>
      <c r="J697" s="419" t="n">
        <f aca="false">J696+0.5*(vit_x+G696)*pas*(K696&gt;=0)</f>
        <v>211.791153319536</v>
      </c>
      <c r="K697" s="420" t="n">
        <f aca="false">K696+0.5*(vit_z+H696)*pas</f>
        <v>-6.90315014472379</v>
      </c>
      <c r="L697" s="418" t="n">
        <f aca="false">SQRT(pos_x^2+pos_z^2)</f>
        <v>211.90362457103</v>
      </c>
      <c r="M697" s="419" t="n">
        <f aca="false">IF(AND(L696&gt;L_rampe,G697&gt;0),ATAN2(G697,H697),$M$4)</f>
        <v>-1.42734684453534</v>
      </c>
      <c r="N697" s="418" t="n">
        <f aca="false">DEGREES(Beta)</f>
        <v>-81.7809500931908</v>
      </c>
      <c r="O697" s="402"/>
      <c r="P697" s="421" t="n">
        <f aca="false">MATCH(t-pas/2-T_ini,CdP_t)</f>
        <v>23</v>
      </c>
      <c r="Q697" s="418" t="n">
        <f aca="false">(INDEX(CdP,2,i_P+1)-INDEX(CdP,2,i_P+0))/(INDEX(CdP,1,i_P+1)-INDEX(CdP,1,i_P+0))*(t-pas/2-T_ini-INDEX(CdP,1,i_P+0))+INDEX(CdP,2,i_P+0)</f>
        <v>0</v>
      </c>
      <c r="R697" s="419" t="n">
        <f aca="false">Poussee/(g*ISP)</f>
        <v>0</v>
      </c>
      <c r="S697" s="420" t="n">
        <f aca="false">S696-Débit*pas</f>
        <v>1.4843</v>
      </c>
      <c r="T697" s="418" t="n">
        <f aca="false">m*g</f>
        <v>14.560983</v>
      </c>
      <c r="U697" s="422" t="n">
        <f aca="false">IF(pos_xz&lt;L_rampe,Poids*COS(Beta),0)</f>
        <v>0</v>
      </c>
      <c r="V697" s="419" t="n">
        <f aca="false">Rho_moyen*(20000-Alt_rampe-pos_z)/(20000+Alt_rampe+pos_z)</f>
        <v>1.22584592787108</v>
      </c>
      <c r="W697" s="418" t="n">
        <f aca="false">1/2*Rho*Sref*Cx*vit_xz^2</f>
        <v>5.575153018359</v>
      </c>
      <c r="X697" s="402"/>
      <c r="Y697" s="423" t="str">
        <f aca="false">IF(AND(pos_z&lt;=0,K696&gt;0),"Impact balistique","") &amp; IF(AND(H698&lt;0,vit_z&gt;=0),"Apogée","") &amp; IF(AND(Poussee=0,Q696&gt;0),"Fin de propulsion","") &amp; IF(AND(L698&gt;L_rampe,pos_xz&lt;=L_rampe),"Sortie de rampe","")</f>
        <v/>
      </c>
      <c r="Z697" s="424" t="str">
        <f aca="false">IF(ABS(t-T_para)&lt;pas/2,"Para","")</f>
        <v/>
      </c>
      <c r="AA697" s="425" t="str">
        <f aca="false">IF(ABS(t-T_satellite)&lt;pas/2,"Satellite","")</f>
        <v/>
      </c>
      <c r="AB697" s="413"/>
      <c r="AC697" s="421" t="e">
        <f aca="false">IF(ABS(t-ROUND(t,0))&lt;0.001,t,NA())</f>
        <v>#N/A</v>
      </c>
      <c r="AD697" s="426" t="e">
        <f aca="false">IF(ABS(t-ROUND(t,0))&lt;0.001,pos_x,NA())</f>
        <v>#N/A</v>
      </c>
      <c r="AE697" s="427" t="e">
        <f aca="false">IF(t&lt;T_para, pos_z, NA())</f>
        <v>#N/A</v>
      </c>
      <c r="AF697" s="413"/>
      <c r="AG697" s="419" t="n">
        <f aca="false">IF(AND(L696&lt;L_rampe,Poussee&lt;Poids*SIN(M696)),0,(-W696+Poussee)/m-Poids*SIN(M696)/m)</f>
        <v>5.95321893286126</v>
      </c>
      <c r="AH697" s="418" t="n">
        <f aca="false">IF(AND(L696&lt;L_rampe,Poussee&lt;Poids*SIN(M696)), g*SIN(M696), (-W696+Poussee)/m)</f>
        <v>-3.75601740981736</v>
      </c>
    </row>
    <row r="698" customFormat="false" ht="12" hidden="false" customHeight="false" outlineLevel="0" collapsed="false">
      <c r="A698" s="417" t="n">
        <f aca="false">IF(B697+0.01&lt;=T_ini+ROUNDUP(Temps_fin_propu,0), 0.01, IF(K697&gt;0, 0.1, 0.0001))</f>
        <v>0.0001</v>
      </c>
      <c r="B698" s="418" t="n">
        <f aca="false">B697+pas</f>
        <v>16.5348999999999</v>
      </c>
      <c r="C698" s="402"/>
      <c r="D698" s="419" t="n">
        <f aca="false">IF(AND(L697&lt;L_rampe,Poussee&lt;Poids*SIN(M697)),0,(-W697+Poussee)/m*COS(M697)-U697/m*SIN(M697))</f>
        <v>-0.536962057491046</v>
      </c>
      <c r="E698" s="420" t="n">
        <f aca="false">IF(AND(L697&lt;L_rampe,Poussee&lt;Poids*SIN(M697)),0,(-W697+Poussee)/m*SIN(M697)+U697/m*COS(M697)-Poids/m)</f>
        <v>-6.09249730340019</v>
      </c>
      <c r="F698" s="418" t="n">
        <f aca="false">SQRT(acc_x^2+acc_z^2)</f>
        <v>6.11611409664041</v>
      </c>
      <c r="G698" s="419" t="n">
        <f aca="false">G697+acc_x*pas</f>
        <v>10.2685069727602</v>
      </c>
      <c r="H698" s="420" t="n">
        <f aca="false">H697+acc_z*pas</f>
        <v>-71.0920419581133</v>
      </c>
      <c r="I698" s="418" t="n">
        <f aca="false">SQRT(vit_x^2+vit_z^2)</f>
        <v>71.829803460846</v>
      </c>
      <c r="J698" s="419" t="n">
        <f aca="false">J697+0.5*(vit_x+G697)*pas*(K697&gt;=0)</f>
        <v>211.791153319536</v>
      </c>
      <c r="K698" s="420" t="n">
        <f aca="false">K697+0.5*(vit_z+H697)*pas</f>
        <v>-6.91025931845711</v>
      </c>
      <c r="L698" s="418" t="n">
        <f aca="false">SQRT(pos_x^2+pos_z^2)</f>
        <v>211.90385628456</v>
      </c>
      <c r="M698" s="419" t="n">
        <f aca="false">IF(AND(L697&gt;L_rampe,G698&gt;0),ATAN2(G698,H698),$M$4)</f>
        <v>-1.42734879695344</v>
      </c>
      <c r="N698" s="418" t="n">
        <f aca="false">DEGREES(Beta)</f>
        <v>-81.7810619585074</v>
      </c>
      <c r="O698" s="402"/>
      <c r="P698" s="421" t="n">
        <f aca="false">MATCH(t-pas/2-T_ini,CdP_t)</f>
        <v>23</v>
      </c>
      <c r="Q698" s="418" t="n">
        <f aca="false">(INDEX(CdP,2,i_P+1)-INDEX(CdP,2,i_P+0))/(INDEX(CdP,1,i_P+1)-INDEX(CdP,1,i_P+0))*(t-pas/2-T_ini-INDEX(CdP,1,i_P+0))+INDEX(CdP,2,i_P+0)</f>
        <v>0</v>
      </c>
      <c r="R698" s="419" t="n">
        <f aca="false">Poussee/(g*ISP)</f>
        <v>0</v>
      </c>
      <c r="S698" s="420" t="n">
        <f aca="false">S697-Débit*pas</f>
        <v>1.4843</v>
      </c>
      <c r="T698" s="418" t="n">
        <f aca="false">m*g</f>
        <v>14.560983</v>
      </c>
      <c r="U698" s="422" t="n">
        <f aca="false">IF(pos_xz&lt;L_rampe,Poids*COS(Beta),0)</f>
        <v>0</v>
      </c>
      <c r="V698" s="419" t="n">
        <f aca="false">Rho_moyen*(20000-Alt_rampe-pos_z)/(20000+Alt_rampe+pos_z)</f>
        <v>1.22584679934667</v>
      </c>
      <c r="W698" s="418" t="n">
        <f aca="false">1/2*Rho*Sref*Cx*vit_xz^2</f>
        <v>5.57524939529476</v>
      </c>
      <c r="X698" s="402"/>
      <c r="Y698" s="423" t="str">
        <f aca="false">IF(AND(pos_z&lt;=0,K697&gt;0),"Impact balistique","") &amp; IF(AND(H699&lt;0,vit_z&gt;=0),"Apogée","") &amp; IF(AND(Poussee=0,Q697&gt;0),"Fin de propulsion","") &amp; IF(AND(L699&gt;L_rampe,pos_xz&lt;=L_rampe),"Sortie de rampe","")</f>
        <v/>
      </c>
      <c r="Z698" s="424" t="str">
        <f aca="false">IF(ABS(t-T_para)&lt;pas/2,"Para","")</f>
        <v/>
      </c>
      <c r="AA698" s="425" t="str">
        <f aca="false">IF(ABS(t-T_satellite)&lt;pas/2,"Satellite","")</f>
        <v/>
      </c>
      <c r="AB698" s="413"/>
      <c r="AC698" s="421" t="e">
        <f aca="false">IF(ABS(t-ROUND(t,0))&lt;0.001,t,NA())</f>
        <v>#N/A</v>
      </c>
      <c r="AD698" s="426" t="e">
        <f aca="false">IF(ABS(t-ROUND(t,0))&lt;0.001,pos_x,NA())</f>
        <v>#N/A</v>
      </c>
      <c r="AE698" s="427" t="e">
        <f aca="false">IF(t&lt;T_para, pos_z, NA())</f>
        <v>#N/A</v>
      </c>
      <c r="AF698" s="413"/>
      <c r="AG698" s="419" t="n">
        <f aca="false">IF(AND(L697&lt;L_rampe,Poussee&lt;Poids*SIN(M697)),0,(-W697+Poussee)/m-Poids*SIN(M697)/m)</f>
        <v>5.9531567401242</v>
      </c>
      <c r="AH698" s="418" t="n">
        <f aca="false">IF(AND(L697&lt;L_rampe,Poussee&lt;Poids*SIN(M697)), g*SIN(M697), (-W697+Poussee)/m)</f>
        <v>-3.75608234073907</v>
      </c>
    </row>
    <row r="699" customFormat="false" ht="12" hidden="false" customHeight="false" outlineLevel="0" collapsed="false">
      <c r="A699" s="417" t="n">
        <f aca="false">IF(B698+0.01&lt;=T_ini+ROUNDUP(Temps_fin_propu,0), 0.01, IF(K698&gt;0, 0.1, 0.0001))</f>
        <v>0.0001</v>
      </c>
      <c r="B699" s="418" t="n">
        <f aca="false">B698+pas</f>
        <v>16.5349999999999</v>
      </c>
      <c r="C699" s="402"/>
      <c r="D699" s="419" t="n">
        <f aca="false">IF(AND(L698&lt;L_rampe,Poussee&lt;Poids*SIN(M698)),0,(-W698+Poussee)/m*COS(M698)-U698/m*SIN(M698))</f>
        <v>-0.536964081637372</v>
      </c>
      <c r="E699" s="420" t="n">
        <f aca="false">IF(AND(L698&lt;L_rampe,Poussee&lt;Poids*SIN(M698)),0,(-W698+Poussee)/m*SIN(M698)+U698/m*COS(M698)-Poids/m)</f>
        <v>-6.09243199103534</v>
      </c>
      <c r="F699" s="418" t="n">
        <f aca="false">SQRT(acc_x^2+acc_z^2)</f>
        <v>6.11604921418717</v>
      </c>
      <c r="G699" s="419" t="n">
        <f aca="false">G698+acc_x*pas</f>
        <v>10.268453276352</v>
      </c>
      <c r="H699" s="420" t="n">
        <f aca="false">H698+acc_z*pas</f>
        <v>-71.0926512013124</v>
      </c>
      <c r="I699" s="418" t="n">
        <f aca="false">SQRT(vit_x^2+vit_z^2)</f>
        <v>71.8303987704377</v>
      </c>
      <c r="J699" s="419" t="n">
        <f aca="false">J698+0.5*(vit_x+G698)*pas*(K698&gt;=0)</f>
        <v>211.791153319536</v>
      </c>
      <c r="K699" s="420" t="n">
        <f aca="false">K698+0.5*(vit_z+H698)*pas</f>
        <v>-6.91736855311508</v>
      </c>
      <c r="L699" s="418" t="n">
        <f aca="false">SQRT(pos_x^2+pos_z^2)</f>
        <v>211.904088238332</v>
      </c>
      <c r="M699" s="419" t="n">
        <f aca="false">IF(AND(L698&gt;L_rampe,G699&gt;0),ATAN2(G699,H699),$M$4)</f>
        <v>-1.42735074932896</v>
      </c>
      <c r="N699" s="418" t="n">
        <f aca="false">DEGREES(Beta)</f>
        <v>-81.7811738213849</v>
      </c>
      <c r="O699" s="402"/>
      <c r="P699" s="421" t="n">
        <f aca="false">MATCH(t-pas/2-T_ini,CdP_t)</f>
        <v>23</v>
      </c>
      <c r="Q699" s="418" t="n">
        <f aca="false">(INDEX(CdP,2,i_P+1)-INDEX(CdP,2,i_P+0))/(INDEX(CdP,1,i_P+1)-INDEX(CdP,1,i_P+0))*(t-pas/2-T_ini-INDEX(CdP,1,i_P+0))+INDEX(CdP,2,i_P+0)</f>
        <v>0</v>
      </c>
      <c r="R699" s="419" t="n">
        <f aca="false">Poussee/(g*ISP)</f>
        <v>0</v>
      </c>
      <c r="S699" s="420" t="n">
        <f aca="false">S698-Débit*pas</f>
        <v>1.4843</v>
      </c>
      <c r="T699" s="418" t="n">
        <f aca="false">m*g</f>
        <v>14.560983</v>
      </c>
      <c r="U699" s="422" t="n">
        <f aca="false">IF(pos_xz&lt;L_rampe,Poids*COS(Beta),0)</f>
        <v>0</v>
      </c>
      <c r="V699" s="419" t="n">
        <f aca="false">Rho_moyen*(20000-Alt_rampe-pos_z)/(20000+Alt_rampe+pos_z)</f>
        <v>1.22584767083033</v>
      </c>
      <c r="W699" s="418" t="n">
        <f aca="false">1/2*Rho*Sref*Cx*vit_xz^2</f>
        <v>5.57534577219916</v>
      </c>
      <c r="X699" s="402"/>
      <c r="Y699" s="423" t="str">
        <f aca="false">IF(AND(pos_z&lt;=0,K698&gt;0),"Impact balistique","") &amp; IF(AND(H700&lt;0,vit_z&gt;=0),"Apogée","") &amp; IF(AND(Poussee=0,Q698&gt;0),"Fin de propulsion","") &amp; IF(AND(L700&gt;L_rampe,pos_xz&lt;=L_rampe),"Sortie de rampe","")</f>
        <v/>
      </c>
      <c r="Z699" s="424" t="str">
        <f aca="false">IF(ABS(t-T_para)&lt;pas/2,"Para","")</f>
        <v/>
      </c>
      <c r="AA699" s="425" t="str">
        <f aca="false">IF(ABS(t-T_satellite)&lt;pas/2,"Satellite","")</f>
        <v/>
      </c>
      <c r="AB699" s="413"/>
      <c r="AC699" s="421" t="e">
        <f aca="false">IF(ABS(t-ROUND(t,0))&lt;0.001,t,NA())</f>
        <v>#N/A</v>
      </c>
      <c r="AD699" s="426" t="e">
        <f aca="false">IF(ABS(t-ROUND(t,0))&lt;0.001,pos_x,NA())</f>
        <v>#N/A</v>
      </c>
      <c r="AE699" s="427" t="e">
        <f aca="false">IF(t&lt;T_para, pos_z, NA())</f>
        <v>#N/A</v>
      </c>
      <c r="AF699" s="413"/>
      <c r="AG699" s="419" t="n">
        <f aca="false">IF(AND(L698&lt;L_rampe,Poussee&lt;Poids*SIN(M698)),0,(-W698+Poussee)/m-Poids*SIN(M698)/m)</f>
        <v>5.95309454731153</v>
      </c>
      <c r="AH699" s="418" t="n">
        <f aca="false">IF(AND(L698&lt;L_rampe,Poussee&lt;Poids*SIN(M698)), g*SIN(M698), (-W698+Poussee)/m)</f>
        <v>-3.75614727163967</v>
      </c>
    </row>
    <row r="700" customFormat="false" ht="12" hidden="false" customHeight="false" outlineLevel="0" collapsed="false">
      <c r="A700" s="417" t="n">
        <f aca="false">IF(B699+0.01&lt;=T_ini+ROUNDUP(Temps_fin_propu,0), 0.01, IF(K699&gt;0, 0.1, 0.0001))</f>
        <v>0.0001</v>
      </c>
      <c r="B700" s="418" t="n">
        <f aca="false">B699+pas</f>
        <v>16.5350999999999</v>
      </c>
      <c r="C700" s="402"/>
      <c r="D700" s="419" t="n">
        <f aca="false">IF(AND(L699&lt;L_rampe,Poussee&lt;Poids*SIN(M699)),0,(-W699+Poussee)/m*COS(M699)-U699/m*SIN(M699))</f>
        <v>-0.536966105685955</v>
      </c>
      <c r="E700" s="420" t="n">
        <f aca="false">IF(AND(L699&lt;L_rampe,Poussee&lt;Poids*SIN(M699)),0,(-W699+Poussee)/m*SIN(M699)+U699/m*COS(M699)-Poids/m)</f>
        <v>-6.09236667869219</v>
      </c>
      <c r="F700" s="418" t="n">
        <f aca="false">SQRT(acc_x^2+acc_z^2)</f>
        <v>6.11598433175678</v>
      </c>
      <c r="G700" s="419" t="n">
        <f aca="false">G699+acc_x*pas</f>
        <v>10.2683995797414</v>
      </c>
      <c r="H700" s="420" t="n">
        <f aca="false">H699+acc_z*pas</f>
        <v>-71.0932604379803</v>
      </c>
      <c r="I700" s="418" t="n">
        <f aca="false">SQRT(vit_x^2+vit_z^2)</f>
        <v>71.83099407381</v>
      </c>
      <c r="J700" s="419" t="n">
        <f aca="false">J699+0.5*(vit_x+G699)*pas*(K699&gt;=0)</f>
        <v>211.791153319536</v>
      </c>
      <c r="K700" s="420" t="n">
        <f aca="false">K699+0.5*(vit_z+H699)*pas</f>
        <v>-6.92447784869705</v>
      </c>
      <c r="L700" s="418" t="n">
        <f aca="false">SQRT(pos_x^2+pos_z^2)</f>
        <v>211.904320432351</v>
      </c>
      <c r="M700" s="419" t="n">
        <f aca="false">IF(AND(L699&gt;L_rampe,G700&gt;0),ATAN2(G700,H700),$M$4)</f>
        <v>-1.42735270166191</v>
      </c>
      <c r="N700" s="418" t="n">
        <f aca="false">DEGREES(Beta)</f>
        <v>-81.7812856818233</v>
      </c>
      <c r="O700" s="402"/>
      <c r="P700" s="421" t="n">
        <f aca="false">MATCH(t-pas/2-T_ini,CdP_t)</f>
        <v>23</v>
      </c>
      <c r="Q700" s="418" t="n">
        <f aca="false">(INDEX(CdP,2,i_P+1)-INDEX(CdP,2,i_P+0))/(INDEX(CdP,1,i_P+1)-INDEX(CdP,1,i_P+0))*(t-pas/2-T_ini-INDEX(CdP,1,i_P+0))+INDEX(CdP,2,i_P+0)</f>
        <v>0</v>
      </c>
      <c r="R700" s="419" t="n">
        <f aca="false">Poussee/(g*ISP)</f>
        <v>0</v>
      </c>
      <c r="S700" s="420" t="n">
        <f aca="false">S699-Débit*pas</f>
        <v>1.4843</v>
      </c>
      <c r="T700" s="418" t="n">
        <f aca="false">m*g</f>
        <v>14.560983</v>
      </c>
      <c r="U700" s="422" t="n">
        <f aca="false">IF(pos_xz&lt;L_rampe,Poids*COS(Beta),0)</f>
        <v>0</v>
      </c>
      <c r="V700" s="419" t="n">
        <f aca="false">Rho_moyen*(20000-Alt_rampe-pos_z)/(20000+Alt_rampe+pos_z)</f>
        <v>1.22584854232209</v>
      </c>
      <c r="W700" s="418" t="n">
        <f aca="false">1/2*Rho*Sref*Cx*vit_xz^2</f>
        <v>5.57544214907217</v>
      </c>
      <c r="X700" s="402"/>
      <c r="Y700" s="423" t="str">
        <f aca="false">IF(AND(pos_z&lt;=0,K699&gt;0),"Impact balistique","") &amp; IF(AND(H701&lt;0,vit_z&gt;=0),"Apogée","") &amp; IF(AND(Poussee=0,Q699&gt;0),"Fin de propulsion","") &amp; IF(AND(L701&gt;L_rampe,pos_xz&lt;=L_rampe),"Sortie de rampe","")</f>
        <v/>
      </c>
      <c r="Z700" s="424" t="str">
        <f aca="false">IF(ABS(t-T_para)&lt;pas/2,"Para","")</f>
        <v/>
      </c>
      <c r="AA700" s="425" t="str">
        <f aca="false">IF(ABS(t-T_satellite)&lt;pas/2,"Satellite","")</f>
        <v/>
      </c>
      <c r="AB700" s="413"/>
      <c r="AC700" s="421" t="e">
        <f aca="false">IF(ABS(t-ROUND(t,0))&lt;0.001,t,NA())</f>
        <v>#N/A</v>
      </c>
      <c r="AD700" s="426" t="e">
        <f aca="false">IF(ABS(t-ROUND(t,0))&lt;0.001,pos_x,NA())</f>
        <v>#N/A</v>
      </c>
      <c r="AE700" s="427" t="e">
        <f aca="false">IF(t&lt;T_para, pos_z, NA())</f>
        <v>#N/A</v>
      </c>
      <c r="AF700" s="413"/>
      <c r="AG700" s="419" t="n">
        <f aca="false">IF(AND(L699&lt;L_rampe,Poussee&lt;Poids*SIN(M699)),0,(-W699+Poussee)/m-Poids*SIN(M699)/m)</f>
        <v>5.95303235442327</v>
      </c>
      <c r="AH700" s="418" t="n">
        <f aca="false">IF(AND(L699&lt;L_rampe,Poussee&lt;Poids*SIN(M699)), g*SIN(M699), (-W699+Poussee)/m)</f>
        <v>-3.75621220251914</v>
      </c>
    </row>
    <row r="701" customFormat="false" ht="12" hidden="false" customHeight="false" outlineLevel="0" collapsed="false">
      <c r="A701" s="417" t="n">
        <f aca="false">IF(B700+0.01&lt;=T_ini+ROUNDUP(Temps_fin_propu,0), 0.01, IF(K700&gt;0, 0.1, 0.0001))</f>
        <v>0.0001</v>
      </c>
      <c r="B701" s="418" t="n">
        <f aca="false">B700+pas</f>
        <v>16.5351999999999</v>
      </c>
      <c r="C701" s="402"/>
      <c r="D701" s="419" t="n">
        <f aca="false">IF(AND(L700&lt;L_rampe,Poussee&lt;Poids*SIN(M700)),0,(-W700+Poussee)/m*COS(M700)-U700/m*SIN(M700))</f>
        <v>-0.536968129636796</v>
      </c>
      <c r="E701" s="420" t="n">
        <f aca="false">IF(AND(L700&lt;L_rampe,Poussee&lt;Poids*SIN(M700)),0,(-W700+Poussee)/m*SIN(M700)+U700/m*COS(M700)-Poids/m)</f>
        <v>-6.09230136637075</v>
      </c>
      <c r="F701" s="418" t="n">
        <f aca="false">SQRT(acc_x^2+acc_z^2)</f>
        <v>6.11591944934926</v>
      </c>
      <c r="G701" s="419" t="n">
        <f aca="false">G700+acc_x*pas</f>
        <v>10.2683458829285</v>
      </c>
      <c r="H701" s="420" t="n">
        <f aca="false">H700+acc_z*pas</f>
        <v>-71.0938696681169</v>
      </c>
      <c r="I701" s="418" t="n">
        <f aca="false">SQRT(vit_x^2+vit_z^2)</f>
        <v>71.831589370963</v>
      </c>
      <c r="J701" s="419" t="n">
        <f aca="false">J700+0.5*(vit_x+G700)*pas*(K700&gt;=0)</f>
        <v>211.791153319536</v>
      </c>
      <c r="K701" s="420" t="n">
        <f aca="false">K700+0.5*(vit_z+H700)*pas</f>
        <v>-6.93158720520235</v>
      </c>
      <c r="L701" s="418" t="n">
        <f aca="false">SQRT(pos_x^2+pos_z^2)</f>
        <v>211.904552866621</v>
      </c>
      <c r="M701" s="419" t="n">
        <f aca="false">IF(AND(L700&gt;L_rampe,G701&gt;0),ATAN2(G701,H701),$M$4)</f>
        <v>-1.4273546539523</v>
      </c>
      <c r="N701" s="418" t="n">
        <f aca="false">DEGREES(Beta)</f>
        <v>-81.7813975398226</v>
      </c>
      <c r="O701" s="402"/>
      <c r="P701" s="421" t="n">
        <f aca="false">MATCH(t-pas/2-T_ini,CdP_t)</f>
        <v>23</v>
      </c>
      <c r="Q701" s="418" t="n">
        <f aca="false">(INDEX(CdP,2,i_P+1)-INDEX(CdP,2,i_P+0))/(INDEX(CdP,1,i_P+1)-INDEX(CdP,1,i_P+0))*(t-pas/2-T_ini-INDEX(CdP,1,i_P+0))+INDEX(CdP,2,i_P+0)</f>
        <v>0</v>
      </c>
      <c r="R701" s="419" t="n">
        <f aca="false">Poussee/(g*ISP)</f>
        <v>0</v>
      </c>
      <c r="S701" s="420" t="n">
        <f aca="false">S700-Débit*pas</f>
        <v>1.4843</v>
      </c>
      <c r="T701" s="418" t="n">
        <f aca="false">m*g</f>
        <v>14.560983</v>
      </c>
      <c r="U701" s="422" t="n">
        <f aca="false">IF(pos_xz&lt;L_rampe,Poids*COS(Beta),0)</f>
        <v>0</v>
      </c>
      <c r="V701" s="419" t="n">
        <f aca="false">Rho_moyen*(20000-Alt_rampe-pos_z)/(20000+Alt_rampe+pos_z)</f>
        <v>1.22584941382194</v>
      </c>
      <c r="W701" s="418" t="n">
        <f aca="false">1/2*Rho*Sref*Cx*vit_xz^2</f>
        <v>5.57553852591376</v>
      </c>
      <c r="X701" s="402"/>
      <c r="Y701" s="423" t="str">
        <f aca="false">IF(AND(pos_z&lt;=0,K700&gt;0),"Impact balistique","") &amp; IF(AND(H702&lt;0,vit_z&gt;=0),"Apogée","") &amp; IF(AND(Poussee=0,Q700&gt;0),"Fin de propulsion","") &amp; IF(AND(L702&gt;L_rampe,pos_xz&lt;=L_rampe),"Sortie de rampe","")</f>
        <v/>
      </c>
      <c r="Z701" s="424" t="str">
        <f aca="false">IF(ABS(t-T_para)&lt;pas/2,"Para","")</f>
        <v/>
      </c>
      <c r="AA701" s="425" t="str">
        <f aca="false">IF(ABS(t-T_satellite)&lt;pas/2,"Satellite","")</f>
        <v/>
      </c>
      <c r="AB701" s="413"/>
      <c r="AC701" s="421" t="e">
        <f aca="false">IF(ABS(t-ROUND(t,0))&lt;0.001,t,NA())</f>
        <v>#N/A</v>
      </c>
      <c r="AD701" s="426" t="e">
        <f aca="false">IF(ABS(t-ROUND(t,0))&lt;0.001,pos_x,NA())</f>
        <v>#N/A</v>
      </c>
      <c r="AE701" s="427" t="e">
        <f aca="false">IF(t&lt;T_para, pos_z, NA())</f>
        <v>#N/A</v>
      </c>
      <c r="AF701" s="413"/>
      <c r="AG701" s="419" t="n">
        <f aca="false">IF(AND(L700&lt;L_rampe,Poussee&lt;Poids*SIN(M700)),0,(-W700+Poussee)/m-Poids*SIN(M700)/m)</f>
        <v>5.95297016145945</v>
      </c>
      <c r="AH701" s="418" t="n">
        <f aca="false">IF(AND(L700&lt;L_rampe,Poussee&lt;Poids*SIN(M700)), g*SIN(M700), (-W700+Poussee)/m)</f>
        <v>-3.75627713337747</v>
      </c>
    </row>
    <row r="702" customFormat="false" ht="12" hidden="false" customHeight="false" outlineLevel="0" collapsed="false">
      <c r="A702" s="417" t="n">
        <f aca="false">IF(B701+0.01&lt;=T_ini+ROUNDUP(Temps_fin_propu,0), 0.01, IF(K701&gt;0, 0.1, 0.0001))</f>
        <v>0.0001</v>
      </c>
      <c r="B702" s="418" t="n">
        <f aca="false">B701+pas</f>
        <v>16.5352999999999</v>
      </c>
      <c r="C702" s="402"/>
      <c r="D702" s="419" t="n">
        <f aca="false">IF(AND(L701&lt;L_rampe,Poussee&lt;Poids*SIN(M701)),0,(-W701+Poussee)/m*COS(M701)-U701/m*SIN(M701))</f>
        <v>-0.536970153489898</v>
      </c>
      <c r="E702" s="420" t="n">
        <f aca="false">IF(AND(L701&lt;L_rampe,Poussee&lt;Poids*SIN(M701)),0,(-W701+Poussee)/m*SIN(M701)+U701/m*COS(M701)-Poids/m)</f>
        <v>-6.09223605407104</v>
      </c>
      <c r="F702" s="418" t="n">
        <f aca="false">SQRT(acc_x^2+acc_z^2)</f>
        <v>6.11585456696463</v>
      </c>
      <c r="G702" s="419" t="n">
        <f aca="false">G701+acc_x*pas</f>
        <v>10.2682921859131</v>
      </c>
      <c r="H702" s="420" t="n">
        <f aca="false">H701+acc_z*pas</f>
        <v>-71.0944788917224</v>
      </c>
      <c r="I702" s="418" t="n">
        <f aca="false">SQRT(vit_x^2+vit_z^2)</f>
        <v>71.8321846618968</v>
      </c>
      <c r="J702" s="419" t="n">
        <f aca="false">J701+0.5*(vit_x+G701)*pas*(K701&gt;=0)</f>
        <v>211.791153319536</v>
      </c>
      <c r="K702" s="420" t="n">
        <f aca="false">K701+0.5*(vit_z+H701)*pas</f>
        <v>-6.93869662263034</v>
      </c>
      <c r="L702" s="418" t="n">
        <f aca="false">SQRT(pos_x^2+pos_z^2)</f>
        <v>211.904785541149</v>
      </c>
      <c r="M702" s="419" t="n">
        <f aca="false">IF(AND(L701&gt;L_rampe,G702&gt;0),ATAN2(G702,H702),$M$4)</f>
        <v>-1.42735660620011</v>
      </c>
      <c r="N702" s="418" t="n">
        <f aca="false">DEGREES(Beta)</f>
        <v>-81.781509395383</v>
      </c>
      <c r="O702" s="402"/>
      <c r="P702" s="421" t="n">
        <f aca="false">MATCH(t-pas/2-T_ini,CdP_t)</f>
        <v>23</v>
      </c>
      <c r="Q702" s="418" t="n">
        <f aca="false">(INDEX(CdP,2,i_P+1)-INDEX(CdP,2,i_P+0))/(INDEX(CdP,1,i_P+1)-INDEX(CdP,1,i_P+0))*(t-pas/2-T_ini-INDEX(CdP,1,i_P+0))+INDEX(CdP,2,i_P+0)</f>
        <v>0</v>
      </c>
      <c r="R702" s="419" t="n">
        <f aca="false">Poussee/(g*ISP)</f>
        <v>0</v>
      </c>
      <c r="S702" s="420" t="n">
        <f aca="false">S701-Débit*pas</f>
        <v>1.4843</v>
      </c>
      <c r="T702" s="418" t="n">
        <f aca="false">m*g</f>
        <v>14.560983</v>
      </c>
      <c r="U702" s="422" t="n">
        <f aca="false">IF(pos_xz&lt;L_rampe,Poids*COS(Beta),0)</f>
        <v>0</v>
      </c>
      <c r="V702" s="419" t="n">
        <f aca="false">Rho_moyen*(20000-Alt_rampe-pos_z)/(20000+Alt_rampe+pos_z)</f>
        <v>1.22585028532987</v>
      </c>
      <c r="W702" s="418" t="n">
        <f aca="false">1/2*Rho*Sref*Cx*vit_xz^2</f>
        <v>5.57563490272393</v>
      </c>
      <c r="X702" s="402"/>
      <c r="Y702" s="423" t="str">
        <f aca="false">IF(AND(pos_z&lt;=0,K701&gt;0),"Impact balistique","") &amp; IF(AND(H703&lt;0,vit_z&gt;=0),"Apogée","") &amp; IF(AND(Poussee=0,Q701&gt;0),"Fin de propulsion","") &amp; IF(AND(L703&gt;L_rampe,pos_xz&lt;=L_rampe),"Sortie de rampe","")</f>
        <v/>
      </c>
      <c r="Z702" s="424" t="str">
        <f aca="false">IF(ABS(t-T_para)&lt;pas/2,"Para","")</f>
        <v/>
      </c>
      <c r="AA702" s="425" t="str">
        <f aca="false">IF(ABS(t-T_satellite)&lt;pas/2,"Satellite","")</f>
        <v/>
      </c>
      <c r="AB702" s="413"/>
      <c r="AC702" s="421" t="e">
        <f aca="false">IF(ABS(t-ROUND(t,0))&lt;0.001,t,NA())</f>
        <v>#N/A</v>
      </c>
      <c r="AD702" s="426" t="e">
        <f aca="false">IF(ABS(t-ROUND(t,0))&lt;0.001,pos_x,NA())</f>
        <v>#N/A</v>
      </c>
      <c r="AE702" s="427" t="e">
        <f aca="false">IF(t&lt;T_para, pos_z, NA())</f>
        <v>#N/A</v>
      </c>
      <c r="AF702" s="413"/>
      <c r="AG702" s="419" t="n">
        <f aca="false">IF(AND(L701&lt;L_rampe,Poussee&lt;Poids*SIN(M701)),0,(-W701+Poussee)/m-Poids*SIN(M701)/m)</f>
        <v>5.9529079684201</v>
      </c>
      <c r="AH702" s="418" t="n">
        <f aca="false">IF(AND(L701&lt;L_rampe,Poussee&lt;Poids*SIN(M701)), g*SIN(M701), (-W701+Poussee)/m)</f>
        <v>-3.75634206421463</v>
      </c>
    </row>
    <row r="703" customFormat="false" ht="12" hidden="false" customHeight="false" outlineLevel="0" collapsed="false">
      <c r="A703" s="417" t="n">
        <f aca="false">IF(B702+0.01&lt;=T_ini+ROUNDUP(Temps_fin_propu,0), 0.01, IF(K702&gt;0, 0.1, 0.0001))</f>
        <v>0.0001</v>
      </c>
      <c r="B703" s="418" t="n">
        <f aca="false">B702+pas</f>
        <v>16.5353999999999</v>
      </c>
      <c r="C703" s="402"/>
      <c r="D703" s="419" t="n">
        <f aca="false">IF(AND(L702&lt;L_rampe,Poussee&lt;Poids*SIN(M702)),0,(-W702+Poussee)/m*COS(M702)-U702/m*SIN(M702))</f>
        <v>-0.53697217724526</v>
      </c>
      <c r="E703" s="420" t="n">
        <f aca="false">IF(AND(L702&lt;L_rampe,Poussee&lt;Poids*SIN(M702)),0,(-W702+Poussee)/m*SIN(M702)+U702/m*COS(M702)-Poids/m)</f>
        <v>-6.09217074179308</v>
      </c>
      <c r="F703" s="418" t="n">
        <f aca="false">SQRT(acc_x^2+acc_z^2)</f>
        <v>6.1157896846029</v>
      </c>
      <c r="G703" s="419" t="n">
        <f aca="false">G702+acc_x*pas</f>
        <v>10.2682384886954</v>
      </c>
      <c r="H703" s="420" t="n">
        <f aca="false">H702+acc_z*pas</f>
        <v>-71.0950881087965</v>
      </c>
      <c r="I703" s="418" t="n">
        <f aca="false">SQRT(vit_x^2+vit_z^2)</f>
        <v>71.8327799466112</v>
      </c>
      <c r="J703" s="419" t="n">
        <f aca="false">J702+0.5*(vit_x+G702)*pas*(K702&gt;=0)</f>
        <v>211.791153319536</v>
      </c>
      <c r="K703" s="420" t="n">
        <f aca="false">K702+0.5*(vit_z+H702)*pas</f>
        <v>-6.94580610098037</v>
      </c>
      <c r="L703" s="418" t="n">
        <f aca="false">SQRT(pos_x^2+pos_z^2)</f>
        <v>211.905018455939</v>
      </c>
      <c r="M703" s="419" t="n">
        <f aca="false">IF(AND(L702&gt;L_rampe,G703&gt;0),ATAN2(G703,H703),$M$4)</f>
        <v>-1.42735855840536</v>
      </c>
      <c r="N703" s="418" t="n">
        <f aca="false">DEGREES(Beta)</f>
        <v>-81.7816212485046</v>
      </c>
      <c r="O703" s="402"/>
      <c r="P703" s="421" t="n">
        <f aca="false">MATCH(t-pas/2-T_ini,CdP_t)</f>
        <v>23</v>
      </c>
      <c r="Q703" s="418" t="n">
        <f aca="false">(INDEX(CdP,2,i_P+1)-INDEX(CdP,2,i_P+0))/(INDEX(CdP,1,i_P+1)-INDEX(CdP,1,i_P+0))*(t-pas/2-T_ini-INDEX(CdP,1,i_P+0))+INDEX(CdP,2,i_P+0)</f>
        <v>0</v>
      </c>
      <c r="R703" s="419" t="n">
        <f aca="false">Poussee/(g*ISP)</f>
        <v>0</v>
      </c>
      <c r="S703" s="420" t="n">
        <f aca="false">S702-Débit*pas</f>
        <v>1.4843</v>
      </c>
      <c r="T703" s="418" t="n">
        <f aca="false">m*g</f>
        <v>14.560983</v>
      </c>
      <c r="U703" s="422" t="n">
        <f aca="false">IF(pos_xz&lt;L_rampe,Poids*COS(Beta),0)</f>
        <v>0</v>
      </c>
      <c r="V703" s="419" t="n">
        <f aca="false">Rho_moyen*(20000-Alt_rampe-pos_z)/(20000+Alt_rampe+pos_z)</f>
        <v>1.22585115684589</v>
      </c>
      <c r="W703" s="418" t="n">
        <f aca="false">1/2*Rho*Sref*Cx*vit_xz^2</f>
        <v>5.57573127950264</v>
      </c>
      <c r="X703" s="402"/>
      <c r="Y703" s="423" t="str">
        <f aca="false">IF(AND(pos_z&lt;=0,K702&gt;0),"Impact balistique","") &amp; IF(AND(H704&lt;0,vit_z&gt;=0),"Apogée","") &amp; IF(AND(Poussee=0,Q702&gt;0),"Fin de propulsion","") &amp; IF(AND(L704&gt;L_rampe,pos_xz&lt;=L_rampe),"Sortie de rampe","")</f>
        <v/>
      </c>
      <c r="Z703" s="424" t="str">
        <f aca="false">IF(ABS(t-T_para)&lt;pas/2,"Para","")</f>
        <v/>
      </c>
      <c r="AA703" s="425" t="str">
        <f aca="false">IF(ABS(t-T_satellite)&lt;pas/2,"Satellite","")</f>
        <v/>
      </c>
      <c r="AB703" s="413"/>
      <c r="AC703" s="421" t="e">
        <f aca="false">IF(ABS(t-ROUND(t,0))&lt;0.001,t,NA())</f>
        <v>#N/A</v>
      </c>
      <c r="AD703" s="426" t="e">
        <f aca="false">IF(ABS(t-ROUND(t,0))&lt;0.001,pos_x,NA())</f>
        <v>#N/A</v>
      </c>
      <c r="AE703" s="427" t="e">
        <f aca="false">IF(t&lt;T_para, pos_z, NA())</f>
        <v>#N/A</v>
      </c>
      <c r="AF703" s="413"/>
      <c r="AG703" s="419" t="n">
        <f aca="false">IF(AND(L702&lt;L_rampe,Poussee&lt;Poids*SIN(M702)),0,(-W702+Poussee)/m-Poids*SIN(M702)/m)</f>
        <v>5.95284577530522</v>
      </c>
      <c r="AH703" s="418" t="n">
        <f aca="false">IF(AND(L702&lt;L_rampe,Poussee&lt;Poids*SIN(M702)), g*SIN(M702), (-W702+Poussee)/m)</f>
        <v>-3.75640699503061</v>
      </c>
    </row>
    <row r="704" customFormat="false" ht="12" hidden="false" customHeight="false" outlineLevel="0" collapsed="false">
      <c r="A704" s="417" t="n">
        <f aca="false">IF(B703+0.01&lt;=T_ini+ROUNDUP(Temps_fin_propu,0), 0.01, IF(K703&gt;0, 0.1, 0.0001))</f>
        <v>0.0001</v>
      </c>
      <c r="B704" s="418" t="n">
        <f aca="false">B703+pas</f>
        <v>16.5354999999999</v>
      </c>
      <c r="C704" s="402"/>
      <c r="D704" s="419" t="n">
        <f aca="false">IF(AND(L703&lt;L_rampe,Poussee&lt;Poids*SIN(M703)),0,(-W703+Poussee)/m*COS(M703)-U703/m*SIN(M703))</f>
        <v>-0.536974200902883</v>
      </c>
      <c r="E704" s="420" t="n">
        <f aca="false">IF(AND(L703&lt;L_rampe,Poussee&lt;Poids*SIN(M703)),0,(-W703+Poussee)/m*SIN(M703)+U703/m*COS(M703)-Poids/m)</f>
        <v>-6.09210542953688</v>
      </c>
      <c r="F704" s="418" t="n">
        <f aca="false">SQRT(acc_x^2+acc_z^2)</f>
        <v>6.11572480226409</v>
      </c>
      <c r="G704" s="419" t="n">
        <f aca="false">G703+acc_x*pas</f>
        <v>10.2681847912753</v>
      </c>
      <c r="H704" s="420" t="n">
        <f aca="false">H703+acc_z*pas</f>
        <v>-71.0956973193395</v>
      </c>
      <c r="I704" s="418" t="n">
        <f aca="false">SQRT(vit_x^2+vit_z^2)</f>
        <v>71.8333752251063</v>
      </c>
      <c r="J704" s="419" t="n">
        <f aca="false">J703+0.5*(vit_x+G703)*pas*(K703&gt;=0)</f>
        <v>211.791153319536</v>
      </c>
      <c r="K704" s="420" t="n">
        <f aca="false">K703+0.5*(vit_z+H703)*pas</f>
        <v>-6.95291564025178</v>
      </c>
      <c r="L704" s="418" t="n">
        <f aca="false">SQRT(pos_x^2+pos_z^2)</f>
        <v>211.905251610996</v>
      </c>
      <c r="M704" s="419" t="n">
        <f aca="false">IF(AND(L703&gt;L_rampe,G704&gt;0),ATAN2(G704,H704),$M$4)</f>
        <v>-1.42736051056805</v>
      </c>
      <c r="N704" s="418" t="n">
        <f aca="false">DEGREES(Beta)</f>
        <v>-81.7817330991874</v>
      </c>
      <c r="O704" s="402"/>
      <c r="P704" s="421" t="n">
        <f aca="false">MATCH(t-pas/2-T_ini,CdP_t)</f>
        <v>23</v>
      </c>
      <c r="Q704" s="418" t="n">
        <f aca="false">(INDEX(CdP,2,i_P+1)-INDEX(CdP,2,i_P+0))/(INDEX(CdP,1,i_P+1)-INDEX(CdP,1,i_P+0))*(t-pas/2-T_ini-INDEX(CdP,1,i_P+0))+INDEX(CdP,2,i_P+0)</f>
        <v>0</v>
      </c>
      <c r="R704" s="419" t="n">
        <f aca="false">Poussee/(g*ISP)</f>
        <v>0</v>
      </c>
      <c r="S704" s="420" t="n">
        <f aca="false">S703-Débit*pas</f>
        <v>1.4843</v>
      </c>
      <c r="T704" s="418" t="n">
        <f aca="false">m*g</f>
        <v>14.560983</v>
      </c>
      <c r="U704" s="422" t="n">
        <f aca="false">IF(pos_xz&lt;L_rampe,Poids*COS(Beta),0)</f>
        <v>0</v>
      </c>
      <c r="V704" s="419" t="n">
        <f aca="false">Rho_moyen*(20000-Alt_rampe-pos_z)/(20000+Alt_rampe+pos_z)</f>
        <v>1.22585202837</v>
      </c>
      <c r="W704" s="418" t="n">
        <f aca="false">1/2*Rho*Sref*Cx*vit_xz^2</f>
        <v>5.57582765624986</v>
      </c>
      <c r="X704" s="402"/>
      <c r="Y704" s="423" t="str">
        <f aca="false">IF(AND(pos_z&lt;=0,K703&gt;0),"Impact balistique","") &amp; IF(AND(H705&lt;0,vit_z&gt;=0),"Apogée","") &amp; IF(AND(Poussee=0,Q703&gt;0),"Fin de propulsion","") &amp; IF(AND(L705&gt;L_rampe,pos_xz&lt;=L_rampe),"Sortie de rampe","")</f>
        <v/>
      </c>
      <c r="Z704" s="424" t="str">
        <f aca="false">IF(ABS(t-T_para)&lt;pas/2,"Para","")</f>
        <v/>
      </c>
      <c r="AA704" s="425" t="str">
        <f aca="false">IF(ABS(t-T_satellite)&lt;pas/2,"Satellite","")</f>
        <v/>
      </c>
      <c r="AB704" s="413"/>
      <c r="AC704" s="421" t="e">
        <f aca="false">IF(ABS(t-ROUND(t,0))&lt;0.001,t,NA())</f>
        <v>#N/A</v>
      </c>
      <c r="AD704" s="426" t="e">
        <f aca="false">IF(ABS(t-ROUND(t,0))&lt;0.001,pos_x,NA())</f>
        <v>#N/A</v>
      </c>
      <c r="AE704" s="427" t="e">
        <f aca="false">IF(t&lt;T_para, pos_z, NA())</f>
        <v>#N/A</v>
      </c>
      <c r="AF704" s="413"/>
      <c r="AG704" s="419" t="n">
        <f aca="false">IF(AND(L703&lt;L_rampe,Poussee&lt;Poids*SIN(M703)),0,(-W703+Poussee)/m-Poids*SIN(M703)/m)</f>
        <v>5.95278358211484</v>
      </c>
      <c r="AH704" s="418" t="n">
        <f aca="false">IF(AND(L703&lt;L_rampe,Poussee&lt;Poids*SIN(M703)), g*SIN(M703), (-W703+Poussee)/m)</f>
        <v>-3.7564719258254</v>
      </c>
    </row>
    <row r="705" customFormat="false" ht="12" hidden="false" customHeight="false" outlineLevel="0" collapsed="false">
      <c r="A705" s="417" t="n">
        <f aca="false">IF(B704+0.01&lt;=T_ini+ROUNDUP(Temps_fin_propu,0), 0.01, IF(K704&gt;0, 0.1, 0.0001))</f>
        <v>0.0001</v>
      </c>
      <c r="B705" s="418" t="n">
        <f aca="false">B704+pas</f>
        <v>16.5355999999999</v>
      </c>
      <c r="C705" s="402"/>
      <c r="D705" s="419" t="n">
        <f aca="false">IF(AND(L704&lt;L_rampe,Poussee&lt;Poids*SIN(M704)),0,(-W704+Poussee)/m*COS(M704)-U704/m*SIN(M704))</f>
        <v>-0.536976224462767</v>
      </c>
      <c r="E705" s="420" t="n">
        <f aca="false">IF(AND(L704&lt;L_rampe,Poussee&lt;Poids*SIN(M704)),0,(-W704+Poussee)/m*SIN(M704)+U704/m*COS(M704)-Poids/m)</f>
        <v>-6.09204011730247</v>
      </c>
      <c r="F705" s="418" t="n">
        <f aca="false">SQRT(acc_x^2+acc_z^2)</f>
        <v>6.11565991994821</v>
      </c>
      <c r="G705" s="419" t="n">
        <f aca="false">G704+acc_x*pas</f>
        <v>10.2681310936529</v>
      </c>
      <c r="H705" s="420" t="n">
        <f aca="false">H704+acc_z*pas</f>
        <v>-71.0963065233512</v>
      </c>
      <c r="I705" s="418" t="n">
        <f aca="false">SQRT(vit_x^2+vit_z^2)</f>
        <v>71.833970497382</v>
      </c>
      <c r="J705" s="419" t="n">
        <f aca="false">J704+0.5*(vit_x+G704)*pas*(K704&gt;=0)</f>
        <v>211.791153319536</v>
      </c>
      <c r="K705" s="420" t="n">
        <f aca="false">K704+0.5*(vit_z+H704)*pas</f>
        <v>-6.96002524044391</v>
      </c>
      <c r="L705" s="418" t="n">
        <f aca="false">SQRT(pos_x^2+pos_z^2)</f>
        <v>211.905485006327</v>
      </c>
      <c r="M705" s="419" t="n">
        <f aca="false">IF(AND(L704&gt;L_rampe,G705&gt;0),ATAN2(G705,H705),$M$4)</f>
        <v>-1.42736246268817</v>
      </c>
      <c r="N705" s="418" t="n">
        <f aca="false">DEGREES(Beta)</f>
        <v>-81.7818449474316</v>
      </c>
      <c r="O705" s="402"/>
      <c r="P705" s="421" t="n">
        <f aca="false">MATCH(t-pas/2-T_ini,CdP_t)</f>
        <v>23</v>
      </c>
      <c r="Q705" s="418" t="n">
        <f aca="false">(INDEX(CdP,2,i_P+1)-INDEX(CdP,2,i_P+0))/(INDEX(CdP,1,i_P+1)-INDEX(CdP,1,i_P+0))*(t-pas/2-T_ini-INDEX(CdP,1,i_P+0))+INDEX(CdP,2,i_P+0)</f>
        <v>0</v>
      </c>
      <c r="R705" s="419" t="n">
        <f aca="false">Poussee/(g*ISP)</f>
        <v>0</v>
      </c>
      <c r="S705" s="420" t="n">
        <f aca="false">S704-Débit*pas</f>
        <v>1.4843</v>
      </c>
      <c r="T705" s="418" t="n">
        <f aca="false">m*g</f>
        <v>14.560983</v>
      </c>
      <c r="U705" s="422" t="n">
        <f aca="false">IF(pos_xz&lt;L_rampe,Poids*COS(Beta),0)</f>
        <v>0</v>
      </c>
      <c r="V705" s="419" t="n">
        <f aca="false">Rho_moyen*(20000-Alt_rampe-pos_z)/(20000+Alt_rampe+pos_z)</f>
        <v>1.2258528999022</v>
      </c>
      <c r="W705" s="418" t="n">
        <f aca="false">1/2*Rho*Sref*Cx*vit_xz^2</f>
        <v>5.57592403296558</v>
      </c>
      <c r="X705" s="402"/>
      <c r="Y705" s="423" t="str">
        <f aca="false">IF(AND(pos_z&lt;=0,K704&gt;0),"Impact balistique","") &amp; IF(AND(H706&lt;0,vit_z&gt;=0),"Apogée","") &amp; IF(AND(Poussee=0,Q704&gt;0),"Fin de propulsion","") &amp; IF(AND(L706&gt;L_rampe,pos_xz&lt;=L_rampe),"Sortie de rampe","")</f>
        <v/>
      </c>
      <c r="Z705" s="424" t="str">
        <f aca="false">IF(ABS(t-T_para)&lt;pas/2,"Para","")</f>
        <v/>
      </c>
      <c r="AA705" s="425" t="str">
        <f aca="false">IF(ABS(t-T_satellite)&lt;pas/2,"Satellite","")</f>
        <v/>
      </c>
      <c r="AB705" s="413"/>
      <c r="AC705" s="421" t="e">
        <f aca="false">IF(ABS(t-ROUND(t,0))&lt;0.001,t,NA())</f>
        <v>#N/A</v>
      </c>
      <c r="AD705" s="426" t="e">
        <f aca="false">IF(ABS(t-ROUND(t,0))&lt;0.001,pos_x,NA())</f>
        <v>#N/A</v>
      </c>
      <c r="AE705" s="427" t="e">
        <f aca="false">IF(t&lt;T_para, pos_z, NA())</f>
        <v>#N/A</v>
      </c>
      <c r="AF705" s="413"/>
      <c r="AG705" s="419" t="n">
        <f aca="false">IF(AND(L704&lt;L_rampe,Poussee&lt;Poids*SIN(M704)),0,(-W704+Poussee)/m-Poids*SIN(M704)/m)</f>
        <v>5.95272138884898</v>
      </c>
      <c r="AH705" s="418" t="n">
        <f aca="false">IF(AND(L704&lt;L_rampe,Poussee&lt;Poids*SIN(M704)), g*SIN(M704), (-W704+Poussee)/m)</f>
        <v>-3.75653685659898</v>
      </c>
    </row>
    <row r="706" customFormat="false" ht="12" hidden="false" customHeight="false" outlineLevel="0" collapsed="false">
      <c r="A706" s="417" t="n">
        <f aca="false">IF(B705+0.01&lt;=T_ini+ROUNDUP(Temps_fin_propu,0), 0.01, IF(K705&gt;0, 0.1, 0.0001))</f>
        <v>0.0001</v>
      </c>
      <c r="B706" s="418" t="n">
        <f aca="false">B705+pas</f>
        <v>16.5356999999999</v>
      </c>
      <c r="C706" s="402"/>
      <c r="D706" s="419" t="n">
        <f aca="false">IF(AND(L705&lt;L_rampe,Poussee&lt;Poids*SIN(M705)),0,(-W705+Poussee)/m*COS(M705)-U705/m*SIN(M705))</f>
        <v>-0.536978247924914</v>
      </c>
      <c r="E706" s="420" t="n">
        <f aca="false">IF(AND(L705&lt;L_rampe,Poussee&lt;Poids*SIN(M705)),0,(-W705+Poussee)/m*SIN(M705)+U705/m*COS(M705)-Poids/m)</f>
        <v>-6.09197480508984</v>
      </c>
      <c r="F706" s="418" t="n">
        <f aca="false">SQRT(acc_x^2+acc_z^2)</f>
        <v>6.11559503765528</v>
      </c>
      <c r="G706" s="419" t="n">
        <f aca="false">G705+acc_x*pas</f>
        <v>10.2680773958281</v>
      </c>
      <c r="H706" s="420" t="n">
        <f aca="false">H705+acc_z*pas</f>
        <v>-71.0969157208317</v>
      </c>
      <c r="I706" s="418" t="n">
        <f aca="false">SQRT(vit_x^2+vit_z^2)</f>
        <v>71.8345657634385</v>
      </c>
      <c r="J706" s="419" t="n">
        <f aca="false">J705+0.5*(vit_x+G705)*pas*(K705&gt;=0)</f>
        <v>211.791153319536</v>
      </c>
      <c r="K706" s="420" t="n">
        <f aca="false">K705+0.5*(vit_z+H705)*pas</f>
        <v>-6.96713490155612</v>
      </c>
      <c r="L706" s="418" t="n">
        <f aca="false">SQRT(pos_x^2+pos_z^2)</f>
        <v>211.905718641937</v>
      </c>
      <c r="M706" s="419" t="n">
        <f aca="false">IF(AND(L705&gt;L_rampe,G706&gt;0),ATAN2(G706,H706),$M$4)</f>
        <v>-1.42736441476573</v>
      </c>
      <c r="N706" s="418" t="n">
        <f aca="false">DEGREES(Beta)</f>
        <v>-81.7819567932371</v>
      </c>
      <c r="O706" s="402"/>
      <c r="P706" s="421" t="n">
        <f aca="false">MATCH(t-pas/2-T_ini,CdP_t)</f>
        <v>23</v>
      </c>
      <c r="Q706" s="418" t="n">
        <f aca="false">(INDEX(CdP,2,i_P+1)-INDEX(CdP,2,i_P+0))/(INDEX(CdP,1,i_P+1)-INDEX(CdP,1,i_P+0))*(t-pas/2-T_ini-INDEX(CdP,1,i_P+0))+INDEX(CdP,2,i_P+0)</f>
        <v>0</v>
      </c>
      <c r="R706" s="419" t="n">
        <f aca="false">Poussee/(g*ISP)</f>
        <v>0</v>
      </c>
      <c r="S706" s="420" t="n">
        <f aca="false">S705-Débit*pas</f>
        <v>1.4843</v>
      </c>
      <c r="T706" s="418" t="n">
        <f aca="false">m*g</f>
        <v>14.560983</v>
      </c>
      <c r="U706" s="422" t="n">
        <f aca="false">IF(pos_xz&lt;L_rampe,Poids*COS(Beta),0)</f>
        <v>0</v>
      </c>
      <c r="V706" s="419" t="n">
        <f aca="false">Rho_moyen*(20000-Alt_rampe-pos_z)/(20000+Alt_rampe+pos_z)</f>
        <v>1.22585377144248</v>
      </c>
      <c r="W706" s="418" t="n">
        <f aca="false">1/2*Rho*Sref*Cx*vit_xz^2</f>
        <v>5.57602040964976</v>
      </c>
      <c r="X706" s="402"/>
      <c r="Y706" s="423" t="str">
        <f aca="false">IF(AND(pos_z&lt;=0,K705&gt;0),"Impact balistique","") &amp; IF(AND(H707&lt;0,vit_z&gt;=0),"Apogée","") &amp; IF(AND(Poussee=0,Q705&gt;0),"Fin de propulsion","") &amp; IF(AND(L707&gt;L_rampe,pos_xz&lt;=L_rampe),"Sortie de rampe","")</f>
        <v/>
      </c>
      <c r="Z706" s="424" t="str">
        <f aca="false">IF(ABS(t-T_para)&lt;pas/2,"Para","")</f>
        <v/>
      </c>
      <c r="AA706" s="425" t="str">
        <f aca="false">IF(ABS(t-T_satellite)&lt;pas/2,"Satellite","")</f>
        <v/>
      </c>
      <c r="AB706" s="413"/>
      <c r="AC706" s="421" t="e">
        <f aca="false">IF(ABS(t-ROUND(t,0))&lt;0.001,t,NA())</f>
        <v>#N/A</v>
      </c>
      <c r="AD706" s="426" t="e">
        <f aca="false">IF(ABS(t-ROUND(t,0))&lt;0.001,pos_x,NA())</f>
        <v>#N/A</v>
      </c>
      <c r="AE706" s="427" t="e">
        <f aca="false">IF(t&lt;T_para, pos_z, NA())</f>
        <v>#N/A</v>
      </c>
      <c r="AF706" s="413"/>
      <c r="AG706" s="419" t="n">
        <f aca="false">IF(AND(L705&lt;L_rampe,Poussee&lt;Poids*SIN(M705)),0,(-W705+Poussee)/m-Poids*SIN(M705)/m)</f>
        <v>5.95265919550766</v>
      </c>
      <c r="AH706" s="418" t="n">
        <f aca="false">IF(AND(L705&lt;L_rampe,Poussee&lt;Poids*SIN(M705)), g*SIN(M705), (-W705+Poussee)/m)</f>
        <v>-3.75660178735133</v>
      </c>
    </row>
    <row r="707" customFormat="false" ht="12" hidden="false" customHeight="false" outlineLevel="0" collapsed="false">
      <c r="A707" s="417" t="n">
        <f aca="false">IF(B706+0.01&lt;=T_ini+ROUNDUP(Temps_fin_propu,0), 0.01, IF(K706&gt;0, 0.1, 0.0001))</f>
        <v>0.0001</v>
      </c>
      <c r="B707" s="418" t="n">
        <f aca="false">B706+pas</f>
        <v>16.5357999999999</v>
      </c>
      <c r="C707" s="402"/>
      <c r="D707" s="419" t="n">
        <f aca="false">IF(AND(L706&lt;L_rampe,Poussee&lt;Poids*SIN(M706)),0,(-W706+Poussee)/m*COS(M706)-U706/m*SIN(M706))</f>
        <v>-0.536980271289325</v>
      </c>
      <c r="E707" s="420" t="n">
        <f aca="false">IF(AND(L706&lt;L_rampe,Poussee&lt;Poids*SIN(M706)),0,(-W706+Poussee)/m*SIN(M706)+U706/m*COS(M706)-Poids/m)</f>
        <v>-6.09190949289903</v>
      </c>
      <c r="F707" s="418" t="n">
        <f aca="false">SQRT(acc_x^2+acc_z^2)</f>
        <v>6.11553015538533</v>
      </c>
      <c r="G707" s="419" t="n">
        <f aca="false">G706+acc_x*pas</f>
        <v>10.2680236978009</v>
      </c>
      <c r="H707" s="420" t="n">
        <f aca="false">H706+acc_z*pas</f>
        <v>-71.097524911781</v>
      </c>
      <c r="I707" s="418" t="n">
        <f aca="false">SQRT(vit_x^2+vit_z^2)</f>
        <v>71.8351610232755</v>
      </c>
      <c r="J707" s="419" t="n">
        <f aca="false">J706+0.5*(vit_x+G706)*pas*(K706&gt;=0)</f>
        <v>211.791153319536</v>
      </c>
      <c r="K707" s="420" t="n">
        <f aca="false">K706+0.5*(vit_z+H706)*pas</f>
        <v>-6.97424462358775</v>
      </c>
      <c r="L707" s="418" t="n">
        <f aca="false">SQRT(pos_x^2+pos_z^2)</f>
        <v>211.90595251783</v>
      </c>
      <c r="M707" s="419" t="n">
        <f aca="false">IF(AND(L706&gt;L_rampe,G707&gt;0),ATAN2(G707,H707),$M$4)</f>
        <v>-1.42736636680073</v>
      </c>
      <c r="N707" s="418" t="n">
        <f aca="false">DEGREES(Beta)</f>
        <v>-81.7820686366041</v>
      </c>
      <c r="O707" s="402"/>
      <c r="P707" s="421" t="n">
        <f aca="false">MATCH(t-pas/2-T_ini,CdP_t)</f>
        <v>23</v>
      </c>
      <c r="Q707" s="418" t="n">
        <f aca="false">(INDEX(CdP,2,i_P+1)-INDEX(CdP,2,i_P+0))/(INDEX(CdP,1,i_P+1)-INDEX(CdP,1,i_P+0))*(t-pas/2-T_ini-INDEX(CdP,1,i_P+0))+INDEX(CdP,2,i_P+0)</f>
        <v>0</v>
      </c>
      <c r="R707" s="419" t="n">
        <f aca="false">Poussee/(g*ISP)</f>
        <v>0</v>
      </c>
      <c r="S707" s="420" t="n">
        <f aca="false">S706-Débit*pas</f>
        <v>1.4843</v>
      </c>
      <c r="T707" s="418" t="n">
        <f aca="false">m*g</f>
        <v>14.560983</v>
      </c>
      <c r="U707" s="422" t="n">
        <f aca="false">IF(pos_xz&lt;L_rampe,Poids*COS(Beta),0)</f>
        <v>0</v>
      </c>
      <c r="V707" s="419" t="n">
        <f aca="false">Rho_moyen*(20000-Alt_rampe-pos_z)/(20000+Alt_rampe+pos_z)</f>
        <v>1.22585464299085</v>
      </c>
      <c r="W707" s="418" t="n">
        <f aca="false">1/2*Rho*Sref*Cx*vit_xz^2</f>
        <v>5.5761167863024</v>
      </c>
      <c r="X707" s="402"/>
      <c r="Y707" s="423" t="str">
        <f aca="false">IF(AND(pos_z&lt;=0,K706&gt;0),"Impact balistique","") &amp; IF(AND(H708&lt;0,vit_z&gt;=0),"Apogée","") &amp; IF(AND(Poussee=0,Q706&gt;0),"Fin de propulsion","") &amp; IF(AND(L708&gt;L_rampe,pos_xz&lt;=L_rampe),"Sortie de rampe","")</f>
        <v/>
      </c>
      <c r="Z707" s="424" t="str">
        <f aca="false">IF(ABS(t-T_para)&lt;pas/2,"Para","")</f>
        <v/>
      </c>
      <c r="AA707" s="425" t="str">
        <f aca="false">IF(ABS(t-T_satellite)&lt;pas/2,"Satellite","")</f>
        <v/>
      </c>
      <c r="AB707" s="413"/>
      <c r="AC707" s="421" t="e">
        <f aca="false">IF(ABS(t-ROUND(t,0))&lt;0.001,t,NA())</f>
        <v>#N/A</v>
      </c>
      <c r="AD707" s="426" t="e">
        <f aca="false">IF(ABS(t-ROUND(t,0))&lt;0.001,pos_x,NA())</f>
        <v>#N/A</v>
      </c>
      <c r="AE707" s="427" t="e">
        <f aca="false">IF(t&lt;T_para, pos_z, NA())</f>
        <v>#N/A</v>
      </c>
      <c r="AF707" s="413"/>
      <c r="AG707" s="419" t="n">
        <f aca="false">IF(AND(L706&lt;L_rampe,Poussee&lt;Poids*SIN(M706)),0,(-W706+Poussee)/m-Poids*SIN(M706)/m)</f>
        <v>5.9525970020909</v>
      </c>
      <c r="AH707" s="418" t="n">
        <f aca="false">IF(AND(L706&lt;L_rampe,Poussee&lt;Poids*SIN(M706)), g*SIN(M706), (-W706+Poussee)/m)</f>
        <v>-3.75666671808244</v>
      </c>
    </row>
    <row r="708" customFormat="false" ht="12" hidden="false" customHeight="false" outlineLevel="0" collapsed="false">
      <c r="A708" s="417" t="n">
        <f aca="false">IF(B707+0.01&lt;=T_ini+ROUNDUP(Temps_fin_propu,0), 0.01, IF(K707&gt;0, 0.1, 0.0001))</f>
        <v>0.0001</v>
      </c>
      <c r="B708" s="418" t="n">
        <f aca="false">B707+pas</f>
        <v>16.5358999999999</v>
      </c>
      <c r="C708" s="402"/>
      <c r="D708" s="419" t="n">
        <f aca="false">IF(AND(L707&lt;L_rampe,Poussee&lt;Poids*SIN(M707)),0,(-W707+Poussee)/m*COS(M707)-U707/m*SIN(M707))</f>
        <v>-0.536982294555999</v>
      </c>
      <c r="E708" s="420" t="n">
        <f aca="false">IF(AND(L707&lt;L_rampe,Poussee&lt;Poids*SIN(M707)),0,(-W707+Poussee)/m*SIN(M707)+U707/m*COS(M707)-Poids/m)</f>
        <v>-6.09184418073004</v>
      </c>
      <c r="F708" s="418" t="n">
        <f aca="false">SQRT(acc_x^2+acc_z^2)</f>
        <v>6.11546527313835</v>
      </c>
      <c r="G708" s="419" t="n">
        <f aca="false">G707+acc_x*pas</f>
        <v>10.2679699995715</v>
      </c>
      <c r="H708" s="420" t="n">
        <f aca="false">H707+acc_z*pas</f>
        <v>-71.0981340961991</v>
      </c>
      <c r="I708" s="418" t="n">
        <f aca="false">SQRT(vit_x^2+vit_z^2)</f>
        <v>71.8357562768932</v>
      </c>
      <c r="J708" s="419" t="n">
        <f aca="false">J707+0.5*(vit_x+G707)*pas*(K707&gt;=0)</f>
        <v>211.791153319536</v>
      </c>
      <c r="K708" s="420" t="n">
        <f aca="false">K707+0.5*(vit_z+H707)*pas</f>
        <v>-6.98135440653815</v>
      </c>
      <c r="L708" s="418" t="n">
        <f aca="false">SQRT(pos_x^2+pos_z^2)</f>
        <v>211.906186634013</v>
      </c>
      <c r="M708" s="419" t="n">
        <f aca="false">IF(AND(L707&gt;L_rampe,G708&gt;0),ATAN2(G708,H708),$M$4)</f>
        <v>-1.42736831879317</v>
      </c>
      <c r="N708" s="418" t="n">
        <f aca="false">DEGREES(Beta)</f>
        <v>-81.7821804775327</v>
      </c>
      <c r="O708" s="402"/>
      <c r="P708" s="421" t="n">
        <f aca="false">MATCH(t-pas/2-T_ini,CdP_t)</f>
        <v>23</v>
      </c>
      <c r="Q708" s="418" t="n">
        <f aca="false">(INDEX(CdP,2,i_P+1)-INDEX(CdP,2,i_P+0))/(INDEX(CdP,1,i_P+1)-INDEX(CdP,1,i_P+0))*(t-pas/2-T_ini-INDEX(CdP,1,i_P+0))+INDEX(CdP,2,i_P+0)</f>
        <v>0</v>
      </c>
      <c r="R708" s="419" t="n">
        <f aca="false">Poussee/(g*ISP)</f>
        <v>0</v>
      </c>
      <c r="S708" s="420" t="n">
        <f aca="false">S707-Débit*pas</f>
        <v>1.4843</v>
      </c>
      <c r="T708" s="418" t="n">
        <f aca="false">m*g</f>
        <v>14.560983</v>
      </c>
      <c r="U708" s="422" t="n">
        <f aca="false">IF(pos_xz&lt;L_rampe,Poids*COS(Beta),0)</f>
        <v>0</v>
      </c>
      <c r="V708" s="419" t="n">
        <f aca="false">Rho_moyen*(20000-Alt_rampe-pos_z)/(20000+Alt_rampe+pos_z)</f>
        <v>1.22585551454731</v>
      </c>
      <c r="W708" s="418" t="n">
        <f aca="false">1/2*Rho*Sref*Cx*vit_xz^2</f>
        <v>5.57621316292345</v>
      </c>
      <c r="X708" s="402"/>
      <c r="Y708" s="423" t="str">
        <f aca="false">IF(AND(pos_z&lt;=0,K707&gt;0),"Impact balistique","") &amp; IF(AND(H709&lt;0,vit_z&gt;=0),"Apogée","") &amp; IF(AND(Poussee=0,Q707&gt;0),"Fin de propulsion","") &amp; IF(AND(L709&gt;L_rampe,pos_xz&lt;=L_rampe),"Sortie de rampe","")</f>
        <v/>
      </c>
      <c r="Z708" s="424" t="str">
        <f aca="false">IF(ABS(t-T_para)&lt;pas/2,"Para","")</f>
        <v/>
      </c>
      <c r="AA708" s="425" t="str">
        <f aca="false">IF(ABS(t-T_satellite)&lt;pas/2,"Satellite","")</f>
        <v/>
      </c>
      <c r="AB708" s="413"/>
      <c r="AC708" s="421" t="e">
        <f aca="false">IF(ABS(t-ROUND(t,0))&lt;0.001,t,NA())</f>
        <v>#N/A</v>
      </c>
      <c r="AD708" s="426" t="e">
        <f aca="false">IF(ABS(t-ROUND(t,0))&lt;0.001,pos_x,NA())</f>
        <v>#N/A</v>
      </c>
      <c r="AE708" s="427" t="e">
        <f aca="false">IF(t&lt;T_para, pos_z, NA())</f>
        <v>#N/A</v>
      </c>
      <c r="AF708" s="413"/>
      <c r="AG708" s="419" t="n">
        <f aca="false">IF(AND(L707&lt;L_rampe,Poussee&lt;Poids*SIN(M707)),0,(-W707+Poussee)/m-Poids*SIN(M707)/m)</f>
        <v>5.95253480859872</v>
      </c>
      <c r="AH708" s="418" t="n">
        <f aca="false">IF(AND(L707&lt;L_rampe,Poussee&lt;Poids*SIN(M707)), g*SIN(M707), (-W707+Poussee)/m)</f>
        <v>-3.75673164879229</v>
      </c>
    </row>
    <row r="709" customFormat="false" ht="12" hidden="false" customHeight="false" outlineLevel="0" collapsed="false">
      <c r="A709" s="417" t="n">
        <f aca="false">IF(B708+0.01&lt;=T_ini+ROUNDUP(Temps_fin_propu,0), 0.01, IF(K708&gt;0, 0.1, 0.0001))</f>
        <v>0.0001</v>
      </c>
      <c r="B709" s="418" t="n">
        <f aca="false">B708+pas</f>
        <v>16.5359999999999</v>
      </c>
      <c r="C709" s="402"/>
      <c r="D709" s="419" t="n">
        <f aca="false">IF(AND(L708&lt;L_rampe,Poussee&lt;Poids*SIN(M708)),0,(-W708+Poussee)/m*COS(M708)-U708/m*SIN(M708))</f>
        <v>-0.536984317724937</v>
      </c>
      <c r="E709" s="420" t="n">
        <f aca="false">IF(AND(L708&lt;L_rampe,Poussee&lt;Poids*SIN(M708)),0,(-W708+Poussee)/m*SIN(M708)+U708/m*COS(M708)-Poids/m)</f>
        <v>-6.0917788685829</v>
      </c>
      <c r="F709" s="418" t="n">
        <f aca="false">SQRT(acc_x^2+acc_z^2)</f>
        <v>6.11540039091438</v>
      </c>
      <c r="G709" s="419" t="n">
        <f aca="false">G708+acc_x*pas</f>
        <v>10.2679163011397</v>
      </c>
      <c r="H709" s="420" t="n">
        <f aca="false">H708+acc_z*pas</f>
        <v>-71.0987432740859</v>
      </c>
      <c r="I709" s="418" t="n">
        <f aca="false">SQRT(vit_x^2+vit_z^2)</f>
        <v>71.8363515242916</v>
      </c>
      <c r="J709" s="419" t="n">
        <f aca="false">J708+0.5*(vit_x+G708)*pas*(K708&gt;=0)</f>
        <v>211.791153319536</v>
      </c>
      <c r="K709" s="420" t="n">
        <f aca="false">K708+0.5*(vit_z+H708)*pas</f>
        <v>-6.98846425040666</v>
      </c>
      <c r="L709" s="418" t="n">
        <f aca="false">SQRT(pos_x^2+pos_z^2)</f>
        <v>211.906420990489</v>
      </c>
      <c r="M709" s="419" t="n">
        <f aca="false">IF(AND(L708&gt;L_rampe,G709&gt;0),ATAN2(G709,H709),$M$4)</f>
        <v>-1.42737027074306</v>
      </c>
      <c r="N709" s="418" t="n">
        <f aca="false">DEGREES(Beta)</f>
        <v>-81.7822923160229</v>
      </c>
      <c r="O709" s="402"/>
      <c r="P709" s="421" t="n">
        <f aca="false">MATCH(t-pas/2-T_ini,CdP_t)</f>
        <v>23</v>
      </c>
      <c r="Q709" s="418" t="n">
        <f aca="false">(INDEX(CdP,2,i_P+1)-INDEX(CdP,2,i_P+0))/(INDEX(CdP,1,i_P+1)-INDEX(CdP,1,i_P+0))*(t-pas/2-T_ini-INDEX(CdP,1,i_P+0))+INDEX(CdP,2,i_P+0)</f>
        <v>0</v>
      </c>
      <c r="R709" s="419" t="n">
        <f aca="false">Poussee/(g*ISP)</f>
        <v>0</v>
      </c>
      <c r="S709" s="420" t="n">
        <f aca="false">S708-Débit*pas</f>
        <v>1.4843</v>
      </c>
      <c r="T709" s="418" t="n">
        <f aca="false">m*g</f>
        <v>14.560983</v>
      </c>
      <c r="U709" s="422" t="n">
        <f aca="false">IF(pos_xz&lt;L_rampe,Poids*COS(Beta),0)</f>
        <v>0</v>
      </c>
      <c r="V709" s="419" t="n">
        <f aca="false">Rho_moyen*(20000-Alt_rampe-pos_z)/(20000+Alt_rampe+pos_z)</f>
        <v>1.22585638611186</v>
      </c>
      <c r="W709" s="418" t="n">
        <f aca="false">1/2*Rho*Sref*Cx*vit_xz^2</f>
        <v>5.5763095395129</v>
      </c>
      <c r="X709" s="402"/>
      <c r="Y709" s="423" t="str">
        <f aca="false">IF(AND(pos_z&lt;=0,K708&gt;0),"Impact balistique","") &amp; IF(AND(H710&lt;0,vit_z&gt;=0),"Apogée","") &amp; IF(AND(Poussee=0,Q708&gt;0),"Fin de propulsion","") &amp; IF(AND(L710&gt;L_rampe,pos_xz&lt;=L_rampe),"Sortie de rampe","")</f>
        <v/>
      </c>
      <c r="Z709" s="424" t="str">
        <f aca="false">IF(ABS(t-T_para)&lt;pas/2,"Para","")</f>
        <v/>
      </c>
      <c r="AA709" s="425" t="str">
        <f aca="false">IF(ABS(t-T_satellite)&lt;pas/2,"Satellite","")</f>
        <v/>
      </c>
      <c r="AB709" s="413"/>
      <c r="AC709" s="421" t="e">
        <f aca="false">IF(ABS(t-ROUND(t,0))&lt;0.001,t,NA())</f>
        <v>#N/A</v>
      </c>
      <c r="AD709" s="426" t="e">
        <f aca="false">IF(ABS(t-ROUND(t,0))&lt;0.001,pos_x,NA())</f>
        <v>#N/A</v>
      </c>
      <c r="AE709" s="427" t="e">
        <f aca="false">IF(t&lt;T_para, pos_z, NA())</f>
        <v>#N/A</v>
      </c>
      <c r="AF709" s="413"/>
      <c r="AG709" s="419" t="n">
        <f aca="false">IF(AND(L708&lt;L_rampe,Poussee&lt;Poids*SIN(M708)),0,(-W708+Poussee)/m-Poids*SIN(M708)/m)</f>
        <v>5.95247261503115</v>
      </c>
      <c r="AH709" s="418" t="n">
        <f aca="false">IF(AND(L708&lt;L_rampe,Poussee&lt;Poids*SIN(M708)), g*SIN(M708), (-W708+Poussee)/m)</f>
        <v>-3.75679657948087</v>
      </c>
    </row>
    <row r="710" customFormat="false" ht="12" hidden="false" customHeight="false" outlineLevel="0" collapsed="false">
      <c r="A710" s="417" t="n">
        <f aca="false">IF(B709+0.01&lt;=T_ini+ROUNDUP(Temps_fin_propu,0), 0.01, IF(K709&gt;0, 0.1, 0.0001))</f>
        <v>0.0001</v>
      </c>
      <c r="B710" s="418" t="n">
        <f aca="false">B709+pas</f>
        <v>16.5360999999999</v>
      </c>
      <c r="C710" s="402"/>
      <c r="D710" s="419" t="n">
        <f aca="false">IF(AND(L709&lt;L_rampe,Poussee&lt;Poids*SIN(M709)),0,(-W709+Poussee)/m*COS(M709)-U709/m*SIN(M709))</f>
        <v>-0.536986340796141</v>
      </c>
      <c r="E710" s="420" t="n">
        <f aca="false">IF(AND(L709&lt;L_rampe,Poussee&lt;Poids*SIN(M709)),0,(-W709+Poussee)/m*SIN(M709)+U709/m*COS(M709)-Poids/m)</f>
        <v>-6.09171355645762</v>
      </c>
      <c r="F710" s="418" t="n">
        <f aca="false">SQRT(acc_x^2+acc_z^2)</f>
        <v>6.11533550871342</v>
      </c>
      <c r="G710" s="419" t="n">
        <f aca="false">G709+acc_x*pas</f>
        <v>10.2678626025056</v>
      </c>
      <c r="H710" s="420" t="n">
        <f aca="false">H709+acc_z*pas</f>
        <v>-71.0993524454416</v>
      </c>
      <c r="I710" s="418" t="n">
        <f aca="false">SQRT(vit_x^2+vit_z^2)</f>
        <v>71.8369467654706</v>
      </c>
      <c r="J710" s="419" t="n">
        <f aca="false">J709+0.5*(vit_x+G709)*pas*(K709&gt;=0)</f>
        <v>211.791153319536</v>
      </c>
      <c r="K710" s="420" t="n">
        <f aca="false">K709+0.5*(vit_z+H709)*pas</f>
        <v>-6.99557415519264</v>
      </c>
      <c r="L710" s="418" t="n">
        <f aca="false">SQRT(pos_x^2+pos_z^2)</f>
        <v>211.906655587266</v>
      </c>
      <c r="M710" s="419" t="n">
        <f aca="false">IF(AND(L709&gt;L_rampe,G710&gt;0),ATAN2(G710,H710),$M$4)</f>
        <v>-1.42737222265039</v>
      </c>
      <c r="N710" s="418" t="n">
        <f aca="false">DEGREES(Beta)</f>
        <v>-81.7824041520748</v>
      </c>
      <c r="O710" s="402"/>
      <c r="P710" s="421" t="n">
        <f aca="false">MATCH(t-pas/2-T_ini,CdP_t)</f>
        <v>23</v>
      </c>
      <c r="Q710" s="418" t="n">
        <f aca="false">(INDEX(CdP,2,i_P+1)-INDEX(CdP,2,i_P+0))/(INDEX(CdP,1,i_P+1)-INDEX(CdP,1,i_P+0))*(t-pas/2-T_ini-INDEX(CdP,1,i_P+0))+INDEX(CdP,2,i_P+0)</f>
        <v>0</v>
      </c>
      <c r="R710" s="419" t="n">
        <f aca="false">Poussee/(g*ISP)</f>
        <v>0</v>
      </c>
      <c r="S710" s="420" t="n">
        <f aca="false">S709-Débit*pas</f>
        <v>1.4843</v>
      </c>
      <c r="T710" s="418" t="n">
        <f aca="false">m*g</f>
        <v>14.560983</v>
      </c>
      <c r="U710" s="422" t="n">
        <f aca="false">IF(pos_xz&lt;L_rampe,Poids*COS(Beta),0)</f>
        <v>0</v>
      </c>
      <c r="V710" s="419" t="n">
        <f aca="false">Rho_moyen*(20000-Alt_rampe-pos_z)/(20000+Alt_rampe+pos_z)</f>
        <v>1.2258572576845</v>
      </c>
      <c r="W710" s="418" t="n">
        <f aca="false">1/2*Rho*Sref*Cx*vit_xz^2</f>
        <v>5.57640591607072</v>
      </c>
      <c r="X710" s="402"/>
      <c r="Y710" s="423" t="str">
        <f aca="false">IF(AND(pos_z&lt;=0,K709&gt;0),"Impact balistique","") &amp; IF(AND(H711&lt;0,vit_z&gt;=0),"Apogée","") &amp; IF(AND(Poussee=0,Q709&gt;0),"Fin de propulsion","") &amp; IF(AND(L711&gt;L_rampe,pos_xz&lt;=L_rampe),"Sortie de rampe","")</f>
        <v/>
      </c>
      <c r="Z710" s="424" t="str">
        <f aca="false">IF(ABS(t-T_para)&lt;pas/2,"Para","")</f>
        <v/>
      </c>
      <c r="AA710" s="425" t="str">
        <f aca="false">IF(ABS(t-T_satellite)&lt;pas/2,"Satellite","")</f>
        <v/>
      </c>
      <c r="AB710" s="413"/>
      <c r="AC710" s="421" t="e">
        <f aca="false">IF(ABS(t-ROUND(t,0))&lt;0.001,t,NA())</f>
        <v>#N/A</v>
      </c>
      <c r="AD710" s="426" t="e">
        <f aca="false">IF(ABS(t-ROUND(t,0))&lt;0.001,pos_x,NA())</f>
        <v>#N/A</v>
      </c>
      <c r="AE710" s="427" t="e">
        <f aca="false">IF(t&lt;T_para, pos_z, NA())</f>
        <v>#N/A</v>
      </c>
      <c r="AF710" s="413"/>
      <c r="AG710" s="419" t="n">
        <f aca="false">IF(AND(L709&lt;L_rampe,Poussee&lt;Poids*SIN(M709)),0,(-W709+Poussee)/m-Poids*SIN(M709)/m)</f>
        <v>5.9524104213882</v>
      </c>
      <c r="AH710" s="418" t="n">
        <f aca="false">IF(AND(L709&lt;L_rampe,Poussee&lt;Poids*SIN(M709)), g*SIN(M709), (-W709+Poussee)/m)</f>
        <v>-3.75686151014816</v>
      </c>
    </row>
    <row r="711" customFormat="false" ht="12" hidden="false" customHeight="false" outlineLevel="0" collapsed="false">
      <c r="A711" s="417" t="n">
        <f aca="false">IF(B710+0.01&lt;=T_ini+ROUNDUP(Temps_fin_propu,0), 0.01, IF(K710&gt;0, 0.1, 0.0001))</f>
        <v>0.0001</v>
      </c>
      <c r="B711" s="418" t="n">
        <f aca="false">B710+pas</f>
        <v>16.5361999999999</v>
      </c>
      <c r="C711" s="402"/>
      <c r="D711" s="419" t="n">
        <f aca="false">IF(AND(L710&lt;L_rampe,Poussee&lt;Poids*SIN(M710)),0,(-W710+Poussee)/m*COS(M710)-U710/m*SIN(M710))</f>
        <v>-0.536988363769611</v>
      </c>
      <c r="E711" s="420" t="n">
        <f aca="false">IF(AND(L710&lt;L_rampe,Poussee&lt;Poids*SIN(M710)),0,(-W710+Poussee)/m*SIN(M710)+U710/m*COS(M710)-Poids/m)</f>
        <v>-6.09164824435422</v>
      </c>
      <c r="F711" s="418" t="n">
        <f aca="false">SQRT(acc_x^2+acc_z^2)</f>
        <v>6.11527062653549</v>
      </c>
      <c r="G711" s="419" t="n">
        <f aca="false">G710+acc_x*pas</f>
        <v>10.2678089036693</v>
      </c>
      <c r="H711" s="420" t="n">
        <f aca="false">H710+acc_z*pas</f>
        <v>-71.099961610266</v>
      </c>
      <c r="I711" s="418" t="n">
        <f aca="false">SQRT(vit_x^2+vit_z^2)</f>
        <v>71.8375420004302</v>
      </c>
      <c r="J711" s="419" t="n">
        <f aca="false">J710+0.5*(vit_x+G710)*pas*(K710&gt;=0)</f>
        <v>211.791153319536</v>
      </c>
      <c r="K711" s="420" t="n">
        <f aca="false">K710+0.5*(vit_z+H710)*pas</f>
        <v>-7.00268412089543</v>
      </c>
      <c r="L711" s="418" t="n">
        <f aca="false">SQRT(pos_x^2+pos_z^2)</f>
        <v>211.906890424347</v>
      </c>
      <c r="M711" s="419" t="n">
        <f aca="false">IF(AND(L710&gt;L_rampe,G711&gt;0),ATAN2(G711,H711),$M$4)</f>
        <v>-1.42737417451516</v>
      </c>
      <c r="N711" s="418" t="n">
        <f aca="false">DEGREES(Beta)</f>
        <v>-81.7825159856886</v>
      </c>
      <c r="O711" s="402"/>
      <c r="P711" s="421" t="n">
        <f aca="false">MATCH(t-pas/2-T_ini,CdP_t)</f>
        <v>23</v>
      </c>
      <c r="Q711" s="418" t="n">
        <f aca="false">(INDEX(CdP,2,i_P+1)-INDEX(CdP,2,i_P+0))/(INDEX(CdP,1,i_P+1)-INDEX(CdP,1,i_P+0))*(t-pas/2-T_ini-INDEX(CdP,1,i_P+0))+INDEX(CdP,2,i_P+0)</f>
        <v>0</v>
      </c>
      <c r="R711" s="419" t="n">
        <f aca="false">Poussee/(g*ISP)</f>
        <v>0</v>
      </c>
      <c r="S711" s="420" t="n">
        <f aca="false">S710-Débit*pas</f>
        <v>1.4843</v>
      </c>
      <c r="T711" s="418" t="n">
        <f aca="false">m*g</f>
        <v>14.560983</v>
      </c>
      <c r="U711" s="422" t="n">
        <f aca="false">IF(pos_xz&lt;L_rampe,Poids*COS(Beta),0)</f>
        <v>0</v>
      </c>
      <c r="V711" s="419" t="n">
        <f aca="false">Rho_moyen*(20000-Alt_rampe-pos_z)/(20000+Alt_rampe+pos_z)</f>
        <v>1.22585812926522</v>
      </c>
      <c r="W711" s="418" t="n">
        <f aca="false">1/2*Rho*Sref*Cx*vit_xz^2</f>
        <v>5.5765022925969</v>
      </c>
      <c r="X711" s="402"/>
      <c r="Y711" s="423" t="str">
        <f aca="false">IF(AND(pos_z&lt;=0,K710&gt;0),"Impact balistique","") &amp; IF(AND(H712&lt;0,vit_z&gt;=0),"Apogée","") &amp; IF(AND(Poussee=0,Q710&gt;0),"Fin de propulsion","") &amp; IF(AND(L712&gt;L_rampe,pos_xz&lt;=L_rampe),"Sortie de rampe","")</f>
        <v/>
      </c>
      <c r="Z711" s="424" t="str">
        <f aca="false">IF(ABS(t-T_para)&lt;pas/2,"Para","")</f>
        <v/>
      </c>
      <c r="AA711" s="425" t="str">
        <f aca="false">IF(ABS(t-T_satellite)&lt;pas/2,"Satellite","")</f>
        <v/>
      </c>
      <c r="AB711" s="413"/>
      <c r="AC711" s="421" t="e">
        <f aca="false">IF(ABS(t-ROUND(t,0))&lt;0.001,t,NA())</f>
        <v>#N/A</v>
      </c>
      <c r="AD711" s="426" t="e">
        <f aca="false">IF(ABS(t-ROUND(t,0))&lt;0.001,pos_x,NA())</f>
        <v>#N/A</v>
      </c>
      <c r="AE711" s="427" t="e">
        <f aca="false">IF(t&lt;T_para, pos_z, NA())</f>
        <v>#N/A</v>
      </c>
      <c r="AF711" s="413"/>
      <c r="AG711" s="419" t="n">
        <f aca="false">IF(AND(L710&lt;L_rampe,Poussee&lt;Poids*SIN(M710)),0,(-W710+Poussee)/m-Poids*SIN(M710)/m)</f>
        <v>5.95234822766989</v>
      </c>
      <c r="AH711" s="418" t="n">
        <f aca="false">IF(AND(L710&lt;L_rampe,Poussee&lt;Poids*SIN(M710)), g*SIN(M710), (-W710+Poussee)/m)</f>
        <v>-3.75692644079413</v>
      </c>
    </row>
    <row r="712" customFormat="false" ht="12" hidden="false" customHeight="false" outlineLevel="0" collapsed="false">
      <c r="A712" s="417" t="n">
        <f aca="false">IF(B711+0.01&lt;=T_ini+ROUNDUP(Temps_fin_propu,0), 0.01, IF(K711&gt;0, 0.1, 0.0001))</f>
        <v>0.0001</v>
      </c>
      <c r="B712" s="418" t="n">
        <f aca="false">B711+pas</f>
        <v>16.5362999999999</v>
      </c>
      <c r="C712" s="402"/>
      <c r="D712" s="419" t="n">
        <f aca="false">IF(AND(L711&lt;L_rampe,Poussee&lt;Poids*SIN(M711)),0,(-W711+Poussee)/m*COS(M711)-U711/m*SIN(M711))</f>
        <v>-0.536990386645348</v>
      </c>
      <c r="E712" s="420" t="n">
        <f aca="false">IF(AND(L711&lt;L_rampe,Poussee&lt;Poids*SIN(M711)),0,(-W711+Poussee)/m*SIN(M711)+U711/m*COS(M711)-Poids/m)</f>
        <v>-6.0915829322727</v>
      </c>
      <c r="F712" s="418" t="n">
        <f aca="false">SQRT(acc_x^2+acc_z^2)</f>
        <v>6.11520574438061</v>
      </c>
      <c r="G712" s="419" t="n">
        <f aca="false">G711+acc_x*pas</f>
        <v>10.2677552046306</v>
      </c>
      <c r="H712" s="420" t="n">
        <f aca="false">H711+acc_z*pas</f>
        <v>-71.1005707685593</v>
      </c>
      <c r="I712" s="418" t="n">
        <f aca="false">SQRT(vit_x^2+vit_z^2)</f>
        <v>71.8381372291704</v>
      </c>
      <c r="J712" s="419" t="n">
        <f aca="false">J711+0.5*(vit_x+G711)*pas*(K711&gt;=0)</f>
        <v>211.791153319536</v>
      </c>
      <c r="K712" s="420" t="n">
        <f aca="false">K711+0.5*(vit_z+H711)*pas</f>
        <v>-7.00979414751437</v>
      </c>
      <c r="L712" s="418" t="n">
        <f aca="false">SQRT(pos_x^2+pos_z^2)</f>
        <v>211.907125501739</v>
      </c>
      <c r="M712" s="419" t="n">
        <f aca="false">IF(AND(L711&gt;L_rampe,G712&gt;0),ATAN2(G712,H712),$M$4)</f>
        <v>-1.42737612633738</v>
      </c>
      <c r="N712" s="418" t="n">
        <f aca="false">DEGREES(Beta)</f>
        <v>-81.7826278168642</v>
      </c>
      <c r="O712" s="402"/>
      <c r="P712" s="421" t="n">
        <f aca="false">MATCH(t-pas/2-T_ini,CdP_t)</f>
        <v>23</v>
      </c>
      <c r="Q712" s="418" t="n">
        <f aca="false">(INDEX(CdP,2,i_P+1)-INDEX(CdP,2,i_P+0))/(INDEX(CdP,1,i_P+1)-INDEX(CdP,1,i_P+0))*(t-pas/2-T_ini-INDEX(CdP,1,i_P+0))+INDEX(CdP,2,i_P+0)</f>
        <v>0</v>
      </c>
      <c r="R712" s="419" t="n">
        <f aca="false">Poussee/(g*ISP)</f>
        <v>0</v>
      </c>
      <c r="S712" s="420" t="n">
        <f aca="false">S711-Débit*pas</f>
        <v>1.4843</v>
      </c>
      <c r="T712" s="418" t="n">
        <f aca="false">m*g</f>
        <v>14.560983</v>
      </c>
      <c r="U712" s="422" t="n">
        <f aca="false">IF(pos_xz&lt;L_rampe,Poids*COS(Beta),0)</f>
        <v>0</v>
      </c>
      <c r="V712" s="419" t="n">
        <f aca="false">Rho_moyen*(20000-Alt_rampe-pos_z)/(20000+Alt_rampe+pos_z)</f>
        <v>1.22585900085403</v>
      </c>
      <c r="W712" s="418" t="n">
        <f aca="false">1/2*Rho*Sref*Cx*vit_xz^2</f>
        <v>5.57659866909139</v>
      </c>
      <c r="X712" s="402"/>
      <c r="Y712" s="423" t="str">
        <f aca="false">IF(AND(pos_z&lt;=0,K711&gt;0),"Impact balistique","") &amp; IF(AND(H713&lt;0,vit_z&gt;=0),"Apogée","") &amp; IF(AND(Poussee=0,Q711&gt;0),"Fin de propulsion","") &amp; IF(AND(L713&gt;L_rampe,pos_xz&lt;=L_rampe),"Sortie de rampe","")</f>
        <v/>
      </c>
      <c r="Z712" s="424" t="str">
        <f aca="false">IF(ABS(t-T_para)&lt;pas/2,"Para","")</f>
        <v/>
      </c>
      <c r="AA712" s="425" t="str">
        <f aca="false">IF(ABS(t-T_satellite)&lt;pas/2,"Satellite","")</f>
        <v/>
      </c>
      <c r="AB712" s="413"/>
      <c r="AC712" s="421" t="e">
        <f aca="false">IF(ABS(t-ROUND(t,0))&lt;0.001,t,NA())</f>
        <v>#N/A</v>
      </c>
      <c r="AD712" s="426" t="e">
        <f aca="false">IF(ABS(t-ROUND(t,0))&lt;0.001,pos_x,NA())</f>
        <v>#N/A</v>
      </c>
      <c r="AE712" s="427" t="e">
        <f aca="false">IF(t&lt;T_para, pos_z, NA())</f>
        <v>#N/A</v>
      </c>
      <c r="AF712" s="413"/>
      <c r="AG712" s="419" t="n">
        <f aca="false">IF(AND(L711&lt;L_rampe,Poussee&lt;Poids*SIN(M711)),0,(-W711+Poussee)/m-Poids*SIN(M711)/m)</f>
        <v>5.95228603387625</v>
      </c>
      <c r="AH712" s="418" t="n">
        <f aca="false">IF(AND(L711&lt;L_rampe,Poussee&lt;Poids*SIN(M711)), g*SIN(M711), (-W711+Poussee)/m)</f>
        <v>-3.75699137141878</v>
      </c>
    </row>
    <row r="713" customFormat="false" ht="12" hidden="false" customHeight="false" outlineLevel="0" collapsed="false">
      <c r="A713" s="417" t="n">
        <f aca="false">IF(B712+0.01&lt;=T_ini+ROUNDUP(Temps_fin_propu,0), 0.01, IF(K712&gt;0, 0.1, 0.0001))</f>
        <v>0.0001</v>
      </c>
      <c r="B713" s="418" t="n">
        <f aca="false">B712+pas</f>
        <v>16.5363999999999</v>
      </c>
      <c r="C713" s="402"/>
      <c r="D713" s="419" t="n">
        <f aca="false">IF(AND(L712&lt;L_rampe,Poussee&lt;Poids*SIN(M712)),0,(-W712+Poussee)/m*COS(M712)-U712/m*SIN(M712))</f>
        <v>-0.536992409423351</v>
      </c>
      <c r="E713" s="420" t="n">
        <f aca="false">IF(AND(L712&lt;L_rampe,Poussee&lt;Poids*SIN(M712)),0,(-W712+Poussee)/m*SIN(M712)+U712/m*COS(M712)-Poids/m)</f>
        <v>-6.0915176202131</v>
      </c>
      <c r="F713" s="418" t="n">
        <f aca="false">SQRT(acc_x^2+acc_z^2)</f>
        <v>6.1151408622488</v>
      </c>
      <c r="G713" s="419" t="n">
        <f aca="false">G712+acc_x*pas</f>
        <v>10.2677015053897</v>
      </c>
      <c r="H713" s="420" t="n">
        <f aca="false">H712+acc_z*pas</f>
        <v>-71.1011799203213</v>
      </c>
      <c r="I713" s="418" t="n">
        <f aca="false">SQRT(vit_x^2+vit_z^2)</f>
        <v>71.8387324516913</v>
      </c>
      <c r="J713" s="419" t="n">
        <f aca="false">J712+0.5*(vit_x+G712)*pas*(K712&gt;=0)</f>
        <v>211.791153319536</v>
      </c>
      <c r="K713" s="420" t="n">
        <f aca="false">K712+0.5*(vit_z+H712)*pas</f>
        <v>-7.01690423504881</v>
      </c>
      <c r="L713" s="418" t="n">
        <f aca="false">SQRT(pos_x^2+pos_z^2)</f>
        <v>211.907360819447</v>
      </c>
      <c r="M713" s="419" t="n">
        <f aca="false">IF(AND(L712&gt;L_rampe,G713&gt;0),ATAN2(G713,H713),$M$4)</f>
        <v>-1.42737807811705</v>
      </c>
      <c r="N713" s="418" t="n">
        <f aca="false">DEGREES(Beta)</f>
        <v>-81.7827396456019</v>
      </c>
      <c r="O713" s="402"/>
      <c r="P713" s="421" t="n">
        <f aca="false">MATCH(t-pas/2-T_ini,CdP_t)</f>
        <v>23</v>
      </c>
      <c r="Q713" s="418" t="n">
        <f aca="false">(INDEX(CdP,2,i_P+1)-INDEX(CdP,2,i_P+0))/(INDEX(CdP,1,i_P+1)-INDEX(CdP,1,i_P+0))*(t-pas/2-T_ini-INDEX(CdP,1,i_P+0))+INDEX(CdP,2,i_P+0)</f>
        <v>0</v>
      </c>
      <c r="R713" s="419" t="n">
        <f aca="false">Poussee/(g*ISP)</f>
        <v>0</v>
      </c>
      <c r="S713" s="420" t="n">
        <f aca="false">S712-Débit*pas</f>
        <v>1.4843</v>
      </c>
      <c r="T713" s="418" t="n">
        <f aca="false">m*g</f>
        <v>14.560983</v>
      </c>
      <c r="U713" s="422" t="n">
        <f aca="false">IF(pos_xz&lt;L_rampe,Poids*COS(Beta),0)</f>
        <v>0</v>
      </c>
      <c r="V713" s="419" t="n">
        <f aca="false">Rho_moyen*(20000-Alt_rampe-pos_z)/(20000+Alt_rampe+pos_z)</f>
        <v>1.22585987245093</v>
      </c>
      <c r="W713" s="418" t="n">
        <f aca="false">1/2*Rho*Sref*Cx*vit_xz^2</f>
        <v>5.57669504555419</v>
      </c>
      <c r="X713" s="402"/>
      <c r="Y713" s="423" t="str">
        <f aca="false">IF(AND(pos_z&lt;=0,K712&gt;0),"Impact balistique","") &amp; IF(AND(H714&lt;0,vit_z&gt;=0),"Apogée","") &amp; IF(AND(Poussee=0,Q712&gt;0),"Fin de propulsion","") &amp; IF(AND(L714&gt;L_rampe,pos_xz&lt;=L_rampe),"Sortie de rampe","")</f>
        <v/>
      </c>
      <c r="Z713" s="424" t="str">
        <f aca="false">IF(ABS(t-T_para)&lt;pas/2,"Para","")</f>
        <v/>
      </c>
      <c r="AA713" s="425" t="str">
        <f aca="false">IF(ABS(t-T_satellite)&lt;pas/2,"Satellite","")</f>
        <v/>
      </c>
      <c r="AB713" s="413"/>
      <c r="AC713" s="421" t="e">
        <f aca="false">IF(ABS(t-ROUND(t,0))&lt;0.001,t,NA())</f>
        <v>#N/A</v>
      </c>
      <c r="AD713" s="426" t="e">
        <f aca="false">IF(ABS(t-ROUND(t,0))&lt;0.001,pos_x,NA())</f>
        <v>#N/A</v>
      </c>
      <c r="AE713" s="427" t="e">
        <f aca="false">IF(t&lt;T_para, pos_z, NA())</f>
        <v>#N/A</v>
      </c>
      <c r="AF713" s="413"/>
      <c r="AG713" s="419" t="n">
        <f aca="false">IF(AND(L712&lt;L_rampe,Poussee&lt;Poids*SIN(M712)),0,(-W712+Poussee)/m-Poids*SIN(M712)/m)</f>
        <v>5.95222384000729</v>
      </c>
      <c r="AH713" s="418" t="n">
        <f aca="false">IF(AND(L712&lt;L_rampe,Poussee&lt;Poids*SIN(M712)), g*SIN(M712), (-W712+Poussee)/m)</f>
        <v>-3.7570563020221</v>
      </c>
    </row>
    <row r="714" customFormat="false" ht="12" hidden="false" customHeight="false" outlineLevel="0" collapsed="false">
      <c r="A714" s="417" t="n">
        <f aca="false">IF(B713+0.01&lt;=T_ini+ROUNDUP(Temps_fin_propu,0), 0.01, IF(K713&gt;0, 0.1, 0.0001))</f>
        <v>0.0001</v>
      </c>
      <c r="B714" s="418" t="n">
        <f aca="false">B713+pas</f>
        <v>16.5364999999999</v>
      </c>
      <c r="C714" s="402"/>
      <c r="D714" s="419" t="n">
        <f aca="false">IF(AND(L713&lt;L_rampe,Poussee&lt;Poids*SIN(M713)),0,(-W713+Poussee)/m*COS(M713)-U713/m*SIN(M713))</f>
        <v>-0.536994432103623</v>
      </c>
      <c r="E714" s="420" t="n">
        <f aca="false">IF(AND(L713&lt;L_rampe,Poussee&lt;Poids*SIN(M713)),0,(-W713+Poussee)/m*SIN(M713)+U713/m*COS(M713)-Poids/m)</f>
        <v>-6.09145230817542</v>
      </c>
      <c r="F714" s="418" t="n">
        <f aca="false">SQRT(acc_x^2+acc_z^2)</f>
        <v>6.11507598014006</v>
      </c>
      <c r="G714" s="419" t="n">
        <f aca="false">G713+acc_x*pas</f>
        <v>10.2676478059464</v>
      </c>
      <c r="H714" s="420" t="n">
        <f aca="false">H713+acc_z*pas</f>
        <v>-71.1017890655521</v>
      </c>
      <c r="I714" s="418" t="n">
        <f aca="false">SQRT(vit_x^2+vit_z^2)</f>
        <v>71.8393276679927</v>
      </c>
      <c r="J714" s="419" t="n">
        <f aca="false">J713+0.5*(vit_x+G713)*pas*(K713&gt;=0)</f>
        <v>211.791153319536</v>
      </c>
      <c r="K714" s="420" t="n">
        <f aca="false">K713+0.5*(vit_z+H713)*pas</f>
        <v>-7.02401438349811</v>
      </c>
      <c r="L714" s="418" t="n">
        <f aca="false">SQRT(pos_x^2+pos_z^2)</f>
        <v>211.907596377475</v>
      </c>
      <c r="M714" s="419" t="n">
        <f aca="false">IF(AND(L713&gt;L_rampe,G714&gt;0),ATAN2(G714,H714),$M$4)</f>
        <v>-1.42738002985417</v>
      </c>
      <c r="N714" s="418" t="n">
        <f aca="false">DEGREES(Beta)</f>
        <v>-81.7828514719016</v>
      </c>
      <c r="O714" s="402"/>
      <c r="P714" s="421" t="n">
        <f aca="false">MATCH(t-pas/2-T_ini,CdP_t)</f>
        <v>23</v>
      </c>
      <c r="Q714" s="418" t="n">
        <f aca="false">(INDEX(CdP,2,i_P+1)-INDEX(CdP,2,i_P+0))/(INDEX(CdP,1,i_P+1)-INDEX(CdP,1,i_P+0))*(t-pas/2-T_ini-INDEX(CdP,1,i_P+0))+INDEX(CdP,2,i_P+0)</f>
        <v>0</v>
      </c>
      <c r="R714" s="419" t="n">
        <f aca="false">Poussee/(g*ISP)</f>
        <v>0</v>
      </c>
      <c r="S714" s="420" t="n">
        <f aca="false">S713-Débit*pas</f>
        <v>1.4843</v>
      </c>
      <c r="T714" s="418" t="n">
        <f aca="false">m*g</f>
        <v>14.560983</v>
      </c>
      <c r="U714" s="422" t="n">
        <f aca="false">IF(pos_xz&lt;L_rampe,Poids*COS(Beta),0)</f>
        <v>0</v>
      </c>
      <c r="V714" s="419" t="n">
        <f aca="false">Rho_moyen*(20000-Alt_rampe-pos_z)/(20000+Alt_rampe+pos_z)</f>
        <v>1.22586074405591</v>
      </c>
      <c r="W714" s="418" t="n">
        <f aca="false">1/2*Rho*Sref*Cx*vit_xz^2</f>
        <v>5.57679142198527</v>
      </c>
      <c r="X714" s="402"/>
      <c r="Y714" s="423" t="str">
        <f aca="false">IF(AND(pos_z&lt;=0,K713&gt;0),"Impact balistique","") &amp; IF(AND(H715&lt;0,vit_z&gt;=0),"Apogée","") &amp; IF(AND(Poussee=0,Q713&gt;0),"Fin de propulsion","") &amp; IF(AND(L715&gt;L_rampe,pos_xz&lt;=L_rampe),"Sortie de rampe","")</f>
        <v/>
      </c>
      <c r="Z714" s="424" t="str">
        <f aca="false">IF(ABS(t-T_para)&lt;pas/2,"Para","")</f>
        <v/>
      </c>
      <c r="AA714" s="425" t="str">
        <f aca="false">IF(ABS(t-T_satellite)&lt;pas/2,"Satellite","")</f>
        <v/>
      </c>
      <c r="AB714" s="413"/>
      <c r="AC714" s="421" t="e">
        <f aca="false">IF(ABS(t-ROUND(t,0))&lt;0.001,t,NA())</f>
        <v>#N/A</v>
      </c>
      <c r="AD714" s="426" t="e">
        <f aca="false">IF(ABS(t-ROUND(t,0))&lt;0.001,pos_x,NA())</f>
        <v>#N/A</v>
      </c>
      <c r="AE714" s="427" t="e">
        <f aca="false">IF(t&lt;T_para, pos_z, NA())</f>
        <v>#N/A</v>
      </c>
      <c r="AF714" s="413"/>
      <c r="AG714" s="419" t="n">
        <f aca="false">IF(AND(L713&lt;L_rampe,Poussee&lt;Poids*SIN(M713)),0,(-W713+Poussee)/m-Poids*SIN(M713)/m)</f>
        <v>5.95216164606304</v>
      </c>
      <c r="AH714" s="418" t="n">
        <f aca="false">IF(AND(L713&lt;L_rampe,Poussee&lt;Poids*SIN(M713)), g*SIN(M713), (-W713+Poussee)/m)</f>
        <v>-3.75712123260405</v>
      </c>
    </row>
    <row r="715" customFormat="false" ht="12" hidden="false" customHeight="false" outlineLevel="0" collapsed="false">
      <c r="A715" s="417" t="n">
        <f aca="false">IF(B714+0.01&lt;=T_ini+ROUNDUP(Temps_fin_propu,0), 0.01, IF(K714&gt;0, 0.1, 0.0001))</f>
        <v>0.0001</v>
      </c>
      <c r="B715" s="418" t="n">
        <f aca="false">B714+pas</f>
        <v>16.5365999999999</v>
      </c>
      <c r="C715" s="402"/>
      <c r="D715" s="419" t="n">
        <f aca="false">IF(AND(L714&lt;L_rampe,Poussee&lt;Poids*SIN(M714)),0,(-W714+Poussee)/m*COS(M714)-U714/m*SIN(M714))</f>
        <v>-0.536996454686164</v>
      </c>
      <c r="E715" s="420" t="n">
        <f aca="false">IF(AND(L714&lt;L_rampe,Poussee&lt;Poids*SIN(M714)),0,(-W714+Poussee)/m*SIN(M714)+U714/m*COS(M714)-Poids/m)</f>
        <v>-6.09138699615968</v>
      </c>
      <c r="F715" s="418" t="n">
        <f aca="false">SQRT(acc_x^2+acc_z^2)</f>
        <v>6.11501109805443</v>
      </c>
      <c r="G715" s="419" t="n">
        <f aca="false">G714+acc_x*pas</f>
        <v>10.267594106301</v>
      </c>
      <c r="H715" s="420" t="n">
        <f aca="false">H714+acc_z*pas</f>
        <v>-71.1023982042517</v>
      </c>
      <c r="I715" s="418" t="n">
        <f aca="false">SQRT(vit_x^2+vit_z^2)</f>
        <v>71.8399228780747</v>
      </c>
      <c r="J715" s="419" t="n">
        <f aca="false">J714+0.5*(vit_x+G714)*pas*(K714&gt;=0)</f>
        <v>211.791153319536</v>
      </c>
      <c r="K715" s="420" t="n">
        <f aca="false">K714+0.5*(vit_z+H714)*pas</f>
        <v>-7.0311245928616</v>
      </c>
      <c r="L715" s="418" t="n">
        <f aca="false">SQRT(pos_x^2+pos_z^2)</f>
        <v>211.90783217583</v>
      </c>
      <c r="M715" s="419" t="n">
        <f aca="false">IF(AND(L714&gt;L_rampe,G715&gt;0),ATAN2(G715,H715),$M$4)</f>
        <v>-1.42738198154874</v>
      </c>
      <c r="N715" s="418" t="n">
        <f aca="false">DEGREES(Beta)</f>
        <v>-81.7829632957634</v>
      </c>
      <c r="O715" s="402"/>
      <c r="P715" s="421" t="n">
        <f aca="false">MATCH(t-pas/2-T_ini,CdP_t)</f>
        <v>23</v>
      </c>
      <c r="Q715" s="418" t="n">
        <f aca="false">(INDEX(CdP,2,i_P+1)-INDEX(CdP,2,i_P+0))/(INDEX(CdP,1,i_P+1)-INDEX(CdP,1,i_P+0))*(t-pas/2-T_ini-INDEX(CdP,1,i_P+0))+INDEX(CdP,2,i_P+0)</f>
        <v>0</v>
      </c>
      <c r="R715" s="419" t="n">
        <f aca="false">Poussee/(g*ISP)</f>
        <v>0</v>
      </c>
      <c r="S715" s="420" t="n">
        <f aca="false">S714-Débit*pas</f>
        <v>1.4843</v>
      </c>
      <c r="T715" s="418" t="n">
        <f aca="false">m*g</f>
        <v>14.560983</v>
      </c>
      <c r="U715" s="422" t="n">
        <f aca="false">IF(pos_xz&lt;L_rampe,Poids*COS(Beta),0)</f>
        <v>0</v>
      </c>
      <c r="V715" s="419" t="n">
        <f aca="false">Rho_moyen*(20000-Alt_rampe-pos_z)/(20000+Alt_rampe+pos_z)</f>
        <v>1.22586161566898</v>
      </c>
      <c r="W715" s="418" t="n">
        <f aca="false">1/2*Rho*Sref*Cx*vit_xz^2</f>
        <v>5.57688779838459</v>
      </c>
      <c r="X715" s="402"/>
      <c r="Y715" s="423" t="str">
        <f aca="false">IF(AND(pos_z&lt;=0,K714&gt;0),"Impact balistique","") &amp; IF(AND(H716&lt;0,vit_z&gt;=0),"Apogée","") &amp; IF(AND(Poussee=0,Q714&gt;0),"Fin de propulsion","") &amp; IF(AND(L716&gt;L_rampe,pos_xz&lt;=L_rampe),"Sortie de rampe","")</f>
        <v/>
      </c>
      <c r="Z715" s="424" t="str">
        <f aca="false">IF(ABS(t-T_para)&lt;pas/2,"Para","")</f>
        <v/>
      </c>
      <c r="AA715" s="425" t="str">
        <f aca="false">IF(ABS(t-T_satellite)&lt;pas/2,"Satellite","")</f>
        <v/>
      </c>
      <c r="AB715" s="413"/>
      <c r="AC715" s="421" t="e">
        <f aca="false">IF(ABS(t-ROUND(t,0))&lt;0.001,t,NA())</f>
        <v>#N/A</v>
      </c>
      <c r="AD715" s="426" t="e">
        <f aca="false">IF(ABS(t-ROUND(t,0))&lt;0.001,pos_x,NA())</f>
        <v>#N/A</v>
      </c>
      <c r="AE715" s="427" t="e">
        <f aca="false">IF(t&lt;T_para, pos_z, NA())</f>
        <v>#N/A</v>
      </c>
      <c r="AF715" s="413"/>
      <c r="AG715" s="419" t="n">
        <f aca="false">IF(AND(L714&lt;L_rampe,Poussee&lt;Poids*SIN(M714)),0,(-W714+Poussee)/m-Poids*SIN(M714)/m)</f>
        <v>5.95209945204351</v>
      </c>
      <c r="AH715" s="418" t="n">
        <f aca="false">IF(AND(L714&lt;L_rampe,Poussee&lt;Poids*SIN(M714)), g*SIN(M714), (-W714+Poussee)/m)</f>
        <v>-3.75718616316464</v>
      </c>
    </row>
    <row r="716" customFormat="false" ht="12" hidden="false" customHeight="false" outlineLevel="0" collapsed="false">
      <c r="A716" s="417" t="n">
        <f aca="false">IF(B715+0.01&lt;=T_ini+ROUNDUP(Temps_fin_propu,0), 0.01, IF(K715&gt;0, 0.1, 0.0001))</f>
        <v>0.0001</v>
      </c>
      <c r="B716" s="418" t="n">
        <f aca="false">B715+pas</f>
        <v>16.5366999999999</v>
      </c>
      <c r="C716" s="402"/>
      <c r="D716" s="419" t="n">
        <f aca="false">IF(AND(L715&lt;L_rampe,Poussee&lt;Poids*SIN(M715)),0,(-W715+Poussee)/m*COS(M715)-U715/m*SIN(M715))</f>
        <v>-0.536998477170975</v>
      </c>
      <c r="E716" s="420" t="n">
        <f aca="false">IF(AND(L715&lt;L_rampe,Poussee&lt;Poids*SIN(M715)),0,(-W715+Poussee)/m*SIN(M715)+U715/m*COS(M715)-Poids/m)</f>
        <v>-6.09132168416591</v>
      </c>
      <c r="F716" s="418" t="n">
        <f aca="false">SQRT(acc_x^2+acc_z^2)</f>
        <v>6.11494621599191</v>
      </c>
      <c r="G716" s="419" t="n">
        <f aca="false">G715+acc_x*pas</f>
        <v>10.2675404064533</v>
      </c>
      <c r="H716" s="420" t="n">
        <f aca="false">H715+acc_z*pas</f>
        <v>-71.1030073364201</v>
      </c>
      <c r="I716" s="418" t="n">
        <f aca="false">SQRT(vit_x^2+vit_z^2)</f>
        <v>71.8405180819373</v>
      </c>
      <c r="J716" s="419" t="n">
        <f aca="false">J715+0.5*(vit_x+G715)*pas*(K715&gt;=0)</f>
        <v>211.791153319536</v>
      </c>
      <c r="K716" s="420" t="n">
        <f aca="false">K715+0.5*(vit_z+H715)*pas</f>
        <v>-7.03823486313863</v>
      </c>
      <c r="L716" s="418" t="n">
        <f aca="false">SQRT(pos_x^2+pos_z^2)</f>
        <v>211.908068214516</v>
      </c>
      <c r="M716" s="419" t="n">
        <f aca="false">IF(AND(L715&gt;L_rampe,G716&gt;0),ATAN2(G716,H716),$M$4)</f>
        <v>-1.42738393320077</v>
      </c>
      <c r="N716" s="418" t="n">
        <f aca="false">DEGREES(Beta)</f>
        <v>-81.7830751171875</v>
      </c>
      <c r="O716" s="402"/>
      <c r="P716" s="421" t="n">
        <f aca="false">MATCH(t-pas/2-T_ini,CdP_t)</f>
        <v>23</v>
      </c>
      <c r="Q716" s="418" t="n">
        <f aca="false">(INDEX(CdP,2,i_P+1)-INDEX(CdP,2,i_P+0))/(INDEX(CdP,1,i_P+1)-INDEX(CdP,1,i_P+0))*(t-pas/2-T_ini-INDEX(CdP,1,i_P+0))+INDEX(CdP,2,i_P+0)</f>
        <v>0</v>
      </c>
      <c r="R716" s="419" t="n">
        <f aca="false">Poussee/(g*ISP)</f>
        <v>0</v>
      </c>
      <c r="S716" s="420" t="n">
        <f aca="false">S715-Débit*pas</f>
        <v>1.4843</v>
      </c>
      <c r="T716" s="418" t="n">
        <f aca="false">m*g</f>
        <v>14.560983</v>
      </c>
      <c r="U716" s="422" t="n">
        <f aca="false">IF(pos_xz&lt;L_rampe,Poids*COS(Beta),0)</f>
        <v>0</v>
      </c>
      <c r="V716" s="419" t="n">
        <f aca="false">Rho_moyen*(20000-Alt_rampe-pos_z)/(20000+Alt_rampe+pos_z)</f>
        <v>1.22586248729014</v>
      </c>
      <c r="W716" s="418" t="n">
        <f aca="false">1/2*Rho*Sref*Cx*vit_xz^2</f>
        <v>5.57698417475214</v>
      </c>
      <c r="X716" s="402"/>
      <c r="Y716" s="423" t="str">
        <f aca="false">IF(AND(pos_z&lt;=0,K715&gt;0),"Impact balistique","") &amp; IF(AND(H717&lt;0,vit_z&gt;=0),"Apogée","") &amp; IF(AND(Poussee=0,Q715&gt;0),"Fin de propulsion","") &amp; IF(AND(L717&gt;L_rampe,pos_xz&lt;=L_rampe),"Sortie de rampe","")</f>
        <v/>
      </c>
      <c r="Z716" s="424" t="str">
        <f aca="false">IF(ABS(t-T_para)&lt;pas/2,"Para","")</f>
        <v/>
      </c>
      <c r="AA716" s="425" t="str">
        <f aca="false">IF(ABS(t-T_satellite)&lt;pas/2,"Satellite","")</f>
        <v/>
      </c>
      <c r="AB716" s="413"/>
      <c r="AC716" s="421" t="e">
        <f aca="false">IF(ABS(t-ROUND(t,0))&lt;0.001,t,NA())</f>
        <v>#N/A</v>
      </c>
      <c r="AD716" s="426" t="e">
        <f aca="false">IF(ABS(t-ROUND(t,0))&lt;0.001,pos_x,NA())</f>
        <v>#N/A</v>
      </c>
      <c r="AE716" s="427" t="e">
        <f aca="false">IF(t&lt;T_para, pos_z, NA())</f>
        <v>#N/A</v>
      </c>
      <c r="AF716" s="413"/>
      <c r="AG716" s="419" t="n">
        <f aca="false">IF(AND(L715&lt;L_rampe,Poussee&lt;Poids*SIN(M715)),0,(-W715+Poussee)/m-Poids*SIN(M715)/m)</f>
        <v>5.95203725794873</v>
      </c>
      <c r="AH716" s="418" t="n">
        <f aca="false">IF(AND(L715&lt;L_rampe,Poussee&lt;Poids*SIN(M715)), g*SIN(M715), (-W715+Poussee)/m)</f>
        <v>-3.75725109370383</v>
      </c>
    </row>
    <row r="717" customFormat="false" ht="12" hidden="false" customHeight="false" outlineLevel="0" collapsed="false">
      <c r="A717" s="417" t="n">
        <f aca="false">IF(B716+0.01&lt;=T_ini+ROUNDUP(Temps_fin_propu,0), 0.01, IF(K716&gt;0, 0.1, 0.0001))</f>
        <v>0.0001</v>
      </c>
      <c r="B717" s="418" t="n">
        <f aca="false">B716+pas</f>
        <v>16.5367999999999</v>
      </c>
      <c r="C717" s="402"/>
      <c r="D717" s="419" t="n">
        <f aca="false">IF(AND(L716&lt;L_rampe,Poussee&lt;Poids*SIN(M716)),0,(-W716+Poussee)/m*COS(M716)-U716/m*SIN(M716))</f>
        <v>-0.537000499558055</v>
      </c>
      <c r="E717" s="420" t="n">
        <f aca="false">IF(AND(L716&lt;L_rampe,Poussee&lt;Poids*SIN(M716)),0,(-W716+Poussee)/m*SIN(M716)+U716/m*COS(M716)-Poids/m)</f>
        <v>-6.0912563721941</v>
      </c>
      <c r="F717" s="418" t="n">
        <f aca="false">SQRT(acc_x^2+acc_z^2)</f>
        <v>6.11488133395252</v>
      </c>
      <c r="G717" s="419" t="n">
        <f aca="false">G716+acc_x*pas</f>
        <v>10.2674867064033</v>
      </c>
      <c r="H717" s="420" t="n">
        <f aca="false">H716+acc_z*pas</f>
        <v>-71.1036164620574</v>
      </c>
      <c r="I717" s="418" t="n">
        <f aca="false">SQRT(vit_x^2+vit_z^2)</f>
        <v>71.8411132795805</v>
      </c>
      <c r="J717" s="419" t="n">
        <f aca="false">J716+0.5*(vit_x+G716)*pas*(K716&gt;=0)</f>
        <v>211.791153319536</v>
      </c>
      <c r="K717" s="420" t="n">
        <f aca="false">K716+0.5*(vit_z+H716)*pas</f>
        <v>-7.04534519432855</v>
      </c>
      <c r="L717" s="418" t="n">
        <f aca="false">SQRT(pos_x^2+pos_z^2)</f>
        <v>211.908304493539</v>
      </c>
      <c r="M717" s="419" t="n">
        <f aca="false">IF(AND(L716&gt;L_rampe,G717&gt;0),ATAN2(G717,H717),$M$4)</f>
        <v>-1.42738588481025</v>
      </c>
      <c r="N717" s="418" t="n">
        <f aca="false">DEGREES(Beta)</f>
        <v>-81.7831869361738</v>
      </c>
      <c r="O717" s="402"/>
      <c r="P717" s="421" t="n">
        <f aca="false">MATCH(t-pas/2-T_ini,CdP_t)</f>
        <v>23</v>
      </c>
      <c r="Q717" s="418" t="n">
        <f aca="false">(INDEX(CdP,2,i_P+1)-INDEX(CdP,2,i_P+0))/(INDEX(CdP,1,i_P+1)-INDEX(CdP,1,i_P+0))*(t-pas/2-T_ini-INDEX(CdP,1,i_P+0))+INDEX(CdP,2,i_P+0)</f>
        <v>0</v>
      </c>
      <c r="R717" s="419" t="n">
        <f aca="false">Poussee/(g*ISP)</f>
        <v>0</v>
      </c>
      <c r="S717" s="420" t="n">
        <f aca="false">S716-Débit*pas</f>
        <v>1.4843</v>
      </c>
      <c r="T717" s="418" t="n">
        <f aca="false">m*g</f>
        <v>14.560983</v>
      </c>
      <c r="U717" s="422" t="n">
        <f aca="false">IF(pos_xz&lt;L_rampe,Poids*COS(Beta),0)</f>
        <v>0</v>
      </c>
      <c r="V717" s="419" t="n">
        <f aca="false">Rho_moyen*(20000-Alt_rampe-pos_z)/(20000+Alt_rampe+pos_z)</f>
        <v>1.22586335891939</v>
      </c>
      <c r="W717" s="418" t="n">
        <f aca="false">1/2*Rho*Sref*Cx*vit_xz^2</f>
        <v>5.57708055108791</v>
      </c>
      <c r="X717" s="402"/>
      <c r="Y717" s="423" t="str">
        <f aca="false">IF(AND(pos_z&lt;=0,K716&gt;0),"Impact balistique","") &amp; IF(AND(H718&lt;0,vit_z&gt;=0),"Apogée","") &amp; IF(AND(Poussee=0,Q716&gt;0),"Fin de propulsion","") &amp; IF(AND(L718&gt;L_rampe,pos_xz&lt;=L_rampe),"Sortie de rampe","")</f>
        <v/>
      </c>
      <c r="Z717" s="424" t="str">
        <f aca="false">IF(ABS(t-T_para)&lt;pas/2,"Para","")</f>
        <v/>
      </c>
      <c r="AA717" s="425" t="str">
        <f aca="false">IF(ABS(t-T_satellite)&lt;pas/2,"Satellite","")</f>
        <v/>
      </c>
      <c r="AB717" s="413"/>
      <c r="AC717" s="421" t="e">
        <f aca="false">IF(ABS(t-ROUND(t,0))&lt;0.001,t,NA())</f>
        <v>#N/A</v>
      </c>
      <c r="AD717" s="426" t="e">
        <f aca="false">IF(ABS(t-ROUND(t,0))&lt;0.001,pos_x,NA())</f>
        <v>#N/A</v>
      </c>
      <c r="AE717" s="427" t="e">
        <f aca="false">IF(t&lt;T_para, pos_z, NA())</f>
        <v>#N/A</v>
      </c>
      <c r="AF717" s="413"/>
      <c r="AG717" s="419" t="n">
        <f aca="false">IF(AND(L716&lt;L_rampe,Poussee&lt;Poids*SIN(M716)),0,(-W716+Poussee)/m-Poids*SIN(M716)/m)</f>
        <v>5.95197506377872</v>
      </c>
      <c r="AH717" s="418" t="n">
        <f aca="false">IF(AND(L716&lt;L_rampe,Poussee&lt;Poids*SIN(M716)), g*SIN(M716), (-W716+Poussee)/m)</f>
        <v>-3.75731602422162</v>
      </c>
    </row>
    <row r="718" customFormat="false" ht="12" hidden="false" customHeight="false" outlineLevel="0" collapsed="false">
      <c r="A718" s="417" t="n">
        <f aca="false">IF(B717+0.01&lt;=T_ini+ROUNDUP(Temps_fin_propu,0), 0.01, IF(K717&gt;0, 0.1, 0.0001))</f>
        <v>0.0001</v>
      </c>
      <c r="B718" s="418" t="n">
        <f aca="false">B717+pas</f>
        <v>16.5368999999999</v>
      </c>
      <c r="C718" s="402"/>
      <c r="D718" s="419" t="n">
        <f aca="false">IF(AND(L717&lt;L_rampe,Poussee&lt;Poids*SIN(M717)),0,(-W717+Poussee)/m*COS(M717)-U717/m*SIN(M717))</f>
        <v>-0.537002521847406</v>
      </c>
      <c r="E718" s="420" t="n">
        <f aca="false">IF(AND(L717&lt;L_rampe,Poussee&lt;Poids*SIN(M717)),0,(-W717+Poussee)/m*SIN(M717)+U717/m*COS(M717)-Poids/m)</f>
        <v>-6.09119106024429</v>
      </c>
      <c r="F718" s="418" t="n">
        <f aca="false">SQRT(acc_x^2+acc_z^2)</f>
        <v>6.11481645193627</v>
      </c>
      <c r="G718" s="419" t="n">
        <f aca="false">G717+acc_x*pas</f>
        <v>10.2674330061511</v>
      </c>
      <c r="H718" s="420" t="n">
        <f aca="false">H717+acc_z*pas</f>
        <v>-71.1042255811634</v>
      </c>
      <c r="I718" s="418" t="n">
        <f aca="false">SQRT(vit_x^2+vit_z^2)</f>
        <v>71.8417084710043</v>
      </c>
      <c r="J718" s="419" t="n">
        <f aca="false">J717+0.5*(vit_x+G717)*pas*(K717&gt;=0)</f>
        <v>211.791153319536</v>
      </c>
      <c r="K718" s="420" t="n">
        <f aca="false">K717+0.5*(vit_z+H717)*pas</f>
        <v>-7.05245558643071</v>
      </c>
      <c r="L718" s="418" t="n">
        <f aca="false">SQRT(pos_x^2+pos_z^2)</f>
        <v>211.908541012905</v>
      </c>
      <c r="M718" s="419" t="n">
        <f aca="false">IF(AND(L717&gt;L_rampe,G718&gt;0),ATAN2(G718,H718),$M$4)</f>
        <v>-1.42738783637718</v>
      </c>
      <c r="N718" s="418" t="n">
        <f aca="false">DEGREES(Beta)</f>
        <v>-81.7832987527226</v>
      </c>
      <c r="O718" s="402"/>
      <c r="P718" s="421" t="n">
        <f aca="false">MATCH(t-pas/2-T_ini,CdP_t)</f>
        <v>23</v>
      </c>
      <c r="Q718" s="418" t="n">
        <f aca="false">(INDEX(CdP,2,i_P+1)-INDEX(CdP,2,i_P+0))/(INDEX(CdP,1,i_P+1)-INDEX(CdP,1,i_P+0))*(t-pas/2-T_ini-INDEX(CdP,1,i_P+0))+INDEX(CdP,2,i_P+0)</f>
        <v>0</v>
      </c>
      <c r="R718" s="419" t="n">
        <f aca="false">Poussee/(g*ISP)</f>
        <v>0</v>
      </c>
      <c r="S718" s="420" t="n">
        <f aca="false">S717-Débit*pas</f>
        <v>1.4843</v>
      </c>
      <c r="T718" s="418" t="n">
        <f aca="false">m*g</f>
        <v>14.560983</v>
      </c>
      <c r="U718" s="422" t="n">
        <f aca="false">IF(pos_xz&lt;L_rampe,Poids*COS(Beta),0)</f>
        <v>0</v>
      </c>
      <c r="V718" s="419" t="n">
        <f aca="false">Rho_moyen*(20000-Alt_rampe-pos_z)/(20000+Alt_rampe+pos_z)</f>
        <v>1.22586423055672</v>
      </c>
      <c r="W718" s="418" t="n">
        <f aca="false">1/2*Rho*Sref*Cx*vit_xz^2</f>
        <v>5.57717692739185</v>
      </c>
      <c r="X718" s="402"/>
      <c r="Y718" s="423" t="str">
        <f aca="false">IF(AND(pos_z&lt;=0,K717&gt;0),"Impact balistique","") &amp; IF(AND(H719&lt;0,vit_z&gt;=0),"Apogée","") &amp; IF(AND(Poussee=0,Q717&gt;0),"Fin de propulsion","") &amp; IF(AND(L719&gt;L_rampe,pos_xz&lt;=L_rampe),"Sortie de rampe","")</f>
        <v/>
      </c>
      <c r="Z718" s="424" t="str">
        <f aca="false">IF(ABS(t-T_para)&lt;pas/2,"Para","")</f>
        <v/>
      </c>
      <c r="AA718" s="425" t="str">
        <f aca="false">IF(ABS(t-T_satellite)&lt;pas/2,"Satellite","")</f>
        <v/>
      </c>
      <c r="AB718" s="413"/>
      <c r="AC718" s="421" t="e">
        <f aca="false">IF(ABS(t-ROUND(t,0))&lt;0.001,t,NA())</f>
        <v>#N/A</v>
      </c>
      <c r="AD718" s="426" t="e">
        <f aca="false">IF(ABS(t-ROUND(t,0))&lt;0.001,pos_x,NA())</f>
        <v>#N/A</v>
      </c>
      <c r="AE718" s="427" t="e">
        <f aca="false">IF(t&lt;T_para, pos_z, NA())</f>
        <v>#N/A</v>
      </c>
      <c r="AF718" s="413"/>
      <c r="AG718" s="419" t="n">
        <f aca="false">IF(AND(L717&lt;L_rampe,Poussee&lt;Poids*SIN(M717)),0,(-W717+Poussee)/m-Poids*SIN(M717)/m)</f>
        <v>5.9519128695335</v>
      </c>
      <c r="AH718" s="418" t="n">
        <f aca="false">IF(AND(L717&lt;L_rampe,Poussee&lt;Poids*SIN(M717)), g*SIN(M717), (-W717+Poussee)/m)</f>
        <v>-3.75738095471799</v>
      </c>
    </row>
    <row r="719" customFormat="false" ht="12" hidden="false" customHeight="false" outlineLevel="0" collapsed="false">
      <c r="A719" s="417" t="n">
        <f aca="false">IF(B718+0.01&lt;=T_ini+ROUNDUP(Temps_fin_propu,0), 0.01, IF(K718&gt;0, 0.1, 0.0001))</f>
        <v>0.0001</v>
      </c>
      <c r="B719" s="418" t="n">
        <f aca="false">B718+pas</f>
        <v>16.5369999999999</v>
      </c>
      <c r="C719" s="402"/>
      <c r="D719" s="419" t="n">
        <f aca="false">IF(AND(L718&lt;L_rampe,Poussee&lt;Poids*SIN(M718)),0,(-W718+Poussee)/m*COS(M718)-U718/m*SIN(M718))</f>
        <v>-0.537004544039029</v>
      </c>
      <c r="E719" s="420" t="n">
        <f aca="false">IF(AND(L718&lt;L_rampe,Poussee&lt;Poids*SIN(M718)),0,(-W718+Poussee)/m*SIN(M718)+U718/m*COS(M718)-Poids/m)</f>
        <v>-6.09112574831648</v>
      </c>
      <c r="F719" s="418" t="n">
        <f aca="false">SQRT(acc_x^2+acc_z^2)</f>
        <v>6.11475156994318</v>
      </c>
      <c r="G719" s="419" t="n">
        <f aca="false">G718+acc_x*pas</f>
        <v>10.2673793056967</v>
      </c>
      <c r="H719" s="420" t="n">
        <f aca="false">H718+acc_z*pas</f>
        <v>-71.1048346937382</v>
      </c>
      <c r="I719" s="418" t="n">
        <f aca="false">SQRT(vit_x^2+vit_z^2)</f>
        <v>71.8423036562086</v>
      </c>
      <c r="J719" s="419" t="n">
        <f aca="false">J718+0.5*(vit_x+G718)*pas*(K718&gt;=0)</f>
        <v>211.791153319536</v>
      </c>
      <c r="K719" s="420" t="n">
        <f aca="false">K718+0.5*(vit_z+H718)*pas</f>
        <v>-7.05956603944446</v>
      </c>
      <c r="L719" s="418" t="n">
        <f aca="false">SQRT(pos_x^2+pos_z^2)</f>
        <v>211.908777772617</v>
      </c>
      <c r="M719" s="419" t="n">
        <f aca="false">IF(AND(L718&gt;L_rampe,G719&gt;0),ATAN2(G719,H719),$M$4)</f>
        <v>-1.42738978790157</v>
      </c>
      <c r="N719" s="418" t="n">
        <f aca="false">DEGREES(Beta)</f>
        <v>-81.7834105668338</v>
      </c>
      <c r="O719" s="402"/>
      <c r="P719" s="421" t="n">
        <f aca="false">MATCH(t-pas/2-T_ini,CdP_t)</f>
        <v>23</v>
      </c>
      <c r="Q719" s="418" t="n">
        <f aca="false">(INDEX(CdP,2,i_P+1)-INDEX(CdP,2,i_P+0))/(INDEX(CdP,1,i_P+1)-INDEX(CdP,1,i_P+0))*(t-pas/2-T_ini-INDEX(CdP,1,i_P+0))+INDEX(CdP,2,i_P+0)</f>
        <v>0</v>
      </c>
      <c r="R719" s="419" t="n">
        <f aca="false">Poussee/(g*ISP)</f>
        <v>0</v>
      </c>
      <c r="S719" s="420" t="n">
        <f aca="false">S718-Débit*pas</f>
        <v>1.4843</v>
      </c>
      <c r="T719" s="418" t="n">
        <f aca="false">m*g</f>
        <v>14.560983</v>
      </c>
      <c r="U719" s="422" t="n">
        <f aca="false">IF(pos_xz&lt;L_rampe,Poids*COS(Beta),0)</f>
        <v>0</v>
      </c>
      <c r="V719" s="419" t="n">
        <f aca="false">Rho_moyen*(20000-Alt_rampe-pos_z)/(20000+Alt_rampe+pos_z)</f>
        <v>1.22586510220214</v>
      </c>
      <c r="W719" s="418" t="n">
        <f aca="false">1/2*Rho*Sref*Cx*vit_xz^2</f>
        <v>5.57727330366395</v>
      </c>
      <c r="X719" s="402"/>
      <c r="Y719" s="423" t="str">
        <f aca="false">IF(AND(pos_z&lt;=0,K718&gt;0),"Impact balistique","") &amp; IF(AND(H720&lt;0,vit_z&gt;=0),"Apogée","") &amp; IF(AND(Poussee=0,Q718&gt;0),"Fin de propulsion","") &amp; IF(AND(L720&gt;L_rampe,pos_xz&lt;=L_rampe),"Sortie de rampe","")</f>
        <v/>
      </c>
      <c r="Z719" s="424" t="str">
        <f aca="false">IF(ABS(t-T_para)&lt;pas/2,"Para","")</f>
        <v/>
      </c>
      <c r="AA719" s="425" t="str">
        <f aca="false">IF(ABS(t-T_satellite)&lt;pas/2,"Satellite","")</f>
        <v/>
      </c>
      <c r="AB719" s="413"/>
      <c r="AC719" s="421" t="e">
        <f aca="false">IF(ABS(t-ROUND(t,0))&lt;0.001,t,NA())</f>
        <v>#N/A</v>
      </c>
      <c r="AD719" s="426" t="e">
        <f aca="false">IF(ABS(t-ROUND(t,0))&lt;0.001,pos_x,NA())</f>
        <v>#N/A</v>
      </c>
      <c r="AE719" s="427" t="e">
        <f aca="false">IF(t&lt;T_para, pos_z, NA())</f>
        <v>#N/A</v>
      </c>
      <c r="AF719" s="413"/>
      <c r="AG719" s="419" t="n">
        <f aca="false">IF(AND(L718&lt;L_rampe,Poussee&lt;Poids*SIN(M718)),0,(-W718+Poussee)/m-Poids*SIN(M718)/m)</f>
        <v>5.95185067521308</v>
      </c>
      <c r="AH719" s="418" t="n">
        <f aca="false">IF(AND(L718&lt;L_rampe,Poussee&lt;Poids*SIN(M718)), g*SIN(M718), (-W718+Poussee)/m)</f>
        <v>-3.75744588519292</v>
      </c>
    </row>
    <row r="720" customFormat="false" ht="12" hidden="false" customHeight="false" outlineLevel="0" collapsed="false">
      <c r="A720" s="417" t="n">
        <f aca="false">IF(B719+0.01&lt;=T_ini+ROUNDUP(Temps_fin_propu,0), 0.01, IF(K719&gt;0, 0.1, 0.0001))</f>
        <v>0.0001</v>
      </c>
      <c r="B720" s="418" t="n">
        <f aca="false">B719+pas</f>
        <v>16.5370999999999</v>
      </c>
      <c r="C720" s="402"/>
      <c r="D720" s="419" t="n">
        <f aca="false">IF(AND(L719&lt;L_rampe,Poussee&lt;Poids*SIN(M719)),0,(-W719+Poussee)/m*COS(M719)-U719/m*SIN(M719))</f>
        <v>-0.537006566132925</v>
      </c>
      <c r="E720" s="420" t="n">
        <f aca="false">IF(AND(L719&lt;L_rampe,Poussee&lt;Poids*SIN(M719)),0,(-W719+Poussee)/m*SIN(M719)+U719/m*COS(M719)-Poids/m)</f>
        <v>-6.0910604364107</v>
      </c>
      <c r="F720" s="418" t="n">
        <f aca="false">SQRT(acc_x^2+acc_z^2)</f>
        <v>6.11468668797327</v>
      </c>
      <c r="G720" s="419" t="n">
        <f aca="false">G719+acc_x*pas</f>
        <v>10.2673256050401</v>
      </c>
      <c r="H720" s="420" t="n">
        <f aca="false">H719+acc_z*pas</f>
        <v>-71.1054437997819</v>
      </c>
      <c r="I720" s="418" t="n">
        <f aca="false">SQRT(vit_x^2+vit_z^2)</f>
        <v>71.8428988351935</v>
      </c>
      <c r="J720" s="419" t="n">
        <f aca="false">J719+0.5*(vit_x+G719)*pas*(K719&gt;=0)</f>
        <v>211.791153319536</v>
      </c>
      <c r="K720" s="420" t="n">
        <f aca="false">K719+0.5*(vit_z+H719)*pas</f>
        <v>-7.06667655336913</v>
      </c>
      <c r="L720" s="418" t="n">
        <f aca="false">SQRT(pos_x^2+pos_z^2)</f>
        <v>211.909014772683</v>
      </c>
      <c r="M720" s="419" t="n">
        <f aca="false">IF(AND(L719&gt;L_rampe,G720&gt;0),ATAN2(G720,H720),$M$4)</f>
        <v>-1.42739173938342</v>
      </c>
      <c r="N720" s="418" t="n">
        <f aca="false">DEGREES(Beta)</f>
        <v>-81.7835223785076</v>
      </c>
      <c r="O720" s="402"/>
      <c r="P720" s="421" t="n">
        <f aca="false">MATCH(t-pas/2-T_ini,CdP_t)</f>
        <v>23</v>
      </c>
      <c r="Q720" s="418" t="n">
        <f aca="false">(INDEX(CdP,2,i_P+1)-INDEX(CdP,2,i_P+0))/(INDEX(CdP,1,i_P+1)-INDEX(CdP,1,i_P+0))*(t-pas/2-T_ini-INDEX(CdP,1,i_P+0))+INDEX(CdP,2,i_P+0)</f>
        <v>0</v>
      </c>
      <c r="R720" s="419" t="n">
        <f aca="false">Poussee/(g*ISP)</f>
        <v>0</v>
      </c>
      <c r="S720" s="420" t="n">
        <f aca="false">S719-Débit*pas</f>
        <v>1.4843</v>
      </c>
      <c r="T720" s="418" t="n">
        <f aca="false">m*g</f>
        <v>14.560983</v>
      </c>
      <c r="U720" s="422" t="n">
        <f aca="false">IF(pos_xz&lt;L_rampe,Poids*COS(Beta),0)</f>
        <v>0</v>
      </c>
      <c r="V720" s="419" t="n">
        <f aca="false">Rho_moyen*(20000-Alt_rampe-pos_z)/(20000+Alt_rampe+pos_z)</f>
        <v>1.22586597385564</v>
      </c>
      <c r="W720" s="418" t="n">
        <f aca="false">1/2*Rho*Sref*Cx*vit_xz^2</f>
        <v>5.57736967990417</v>
      </c>
      <c r="X720" s="402"/>
      <c r="Y720" s="423" t="str">
        <f aca="false">IF(AND(pos_z&lt;=0,K719&gt;0),"Impact balistique","") &amp; IF(AND(H721&lt;0,vit_z&gt;=0),"Apogée","") &amp; IF(AND(Poussee=0,Q719&gt;0),"Fin de propulsion","") &amp; IF(AND(L721&gt;L_rampe,pos_xz&lt;=L_rampe),"Sortie de rampe","")</f>
        <v/>
      </c>
      <c r="Z720" s="424" t="str">
        <f aca="false">IF(ABS(t-T_para)&lt;pas/2,"Para","")</f>
        <v/>
      </c>
      <c r="AA720" s="425" t="str">
        <f aca="false">IF(ABS(t-T_satellite)&lt;pas/2,"Satellite","")</f>
        <v/>
      </c>
      <c r="AB720" s="413"/>
      <c r="AC720" s="421" t="e">
        <f aca="false">IF(ABS(t-ROUND(t,0))&lt;0.001,t,NA())</f>
        <v>#N/A</v>
      </c>
      <c r="AD720" s="426" t="e">
        <f aca="false">IF(ABS(t-ROUND(t,0))&lt;0.001,pos_x,NA())</f>
        <v>#N/A</v>
      </c>
      <c r="AE720" s="427" t="e">
        <f aca="false">IF(t&lt;T_para, pos_z, NA())</f>
        <v>#N/A</v>
      </c>
      <c r="AF720" s="413"/>
      <c r="AG720" s="419" t="n">
        <f aca="false">IF(AND(L719&lt;L_rampe,Poussee&lt;Poids*SIN(M719)),0,(-W719+Poussee)/m-Poids*SIN(M719)/m)</f>
        <v>5.9517884808175</v>
      </c>
      <c r="AH720" s="418" t="n">
        <f aca="false">IF(AND(L719&lt;L_rampe,Poussee&lt;Poids*SIN(M719)), g*SIN(M719), (-W719+Poussee)/m)</f>
        <v>-3.7575108156464</v>
      </c>
    </row>
    <row r="721" customFormat="false" ht="12" hidden="false" customHeight="false" outlineLevel="0" collapsed="false">
      <c r="A721" s="417" t="n">
        <f aca="false">IF(B720+0.01&lt;=T_ini+ROUNDUP(Temps_fin_propu,0), 0.01, IF(K720&gt;0, 0.1, 0.0001))</f>
        <v>0.0001</v>
      </c>
      <c r="B721" s="418" t="n">
        <f aca="false">B720+pas</f>
        <v>16.5371999999999</v>
      </c>
      <c r="C721" s="402"/>
      <c r="D721" s="419" t="n">
        <f aca="false">IF(AND(L720&lt;L_rampe,Poussee&lt;Poids*SIN(M720)),0,(-W720+Poussee)/m*COS(M720)-U720/m*SIN(M720))</f>
        <v>-0.537008588129093</v>
      </c>
      <c r="E721" s="420" t="n">
        <f aca="false">IF(AND(L720&lt;L_rampe,Poussee&lt;Poids*SIN(M720)),0,(-W720+Poussee)/m*SIN(M720)+U720/m*COS(M720)-Poids/m)</f>
        <v>-6.09099512452695</v>
      </c>
      <c r="F721" s="418" t="n">
        <f aca="false">SQRT(acc_x^2+acc_z^2)</f>
        <v>6.11462180602656</v>
      </c>
      <c r="G721" s="419" t="n">
        <f aca="false">G720+acc_x*pas</f>
        <v>10.2672719041813</v>
      </c>
      <c r="H721" s="420" t="n">
        <f aca="false">H720+acc_z*pas</f>
        <v>-71.1060528992943</v>
      </c>
      <c r="I721" s="418" t="n">
        <f aca="false">SQRT(vit_x^2+vit_z^2)</f>
        <v>71.8434940079589</v>
      </c>
      <c r="J721" s="419" t="n">
        <f aca="false">J720+0.5*(vit_x+G720)*pas*(K720&gt;=0)</f>
        <v>211.791153319536</v>
      </c>
      <c r="K721" s="420" t="n">
        <f aca="false">K720+0.5*(vit_z+H720)*pas</f>
        <v>-7.07378712820409</v>
      </c>
      <c r="L721" s="418" t="n">
        <f aca="false">SQRT(pos_x^2+pos_z^2)</f>
        <v>211.909252013107</v>
      </c>
      <c r="M721" s="419" t="n">
        <f aca="false">IF(AND(L720&gt;L_rampe,G721&gt;0),ATAN2(G721,H721),$M$4)</f>
        <v>-1.42739369082273</v>
      </c>
      <c r="N721" s="418" t="n">
        <f aca="false">DEGREES(Beta)</f>
        <v>-81.783634187744</v>
      </c>
      <c r="O721" s="402"/>
      <c r="P721" s="421" t="n">
        <f aca="false">MATCH(t-pas/2-T_ini,CdP_t)</f>
        <v>23</v>
      </c>
      <c r="Q721" s="418" t="n">
        <f aca="false">(INDEX(CdP,2,i_P+1)-INDEX(CdP,2,i_P+0))/(INDEX(CdP,1,i_P+1)-INDEX(CdP,1,i_P+0))*(t-pas/2-T_ini-INDEX(CdP,1,i_P+0))+INDEX(CdP,2,i_P+0)</f>
        <v>0</v>
      </c>
      <c r="R721" s="419" t="n">
        <f aca="false">Poussee/(g*ISP)</f>
        <v>0</v>
      </c>
      <c r="S721" s="420" t="n">
        <f aca="false">S720-Débit*pas</f>
        <v>1.4843</v>
      </c>
      <c r="T721" s="418" t="n">
        <f aca="false">m*g</f>
        <v>14.560983</v>
      </c>
      <c r="U721" s="422" t="n">
        <f aca="false">IF(pos_xz&lt;L_rampe,Poids*COS(Beta),0)</f>
        <v>0</v>
      </c>
      <c r="V721" s="419" t="n">
        <f aca="false">Rho_moyen*(20000-Alt_rampe-pos_z)/(20000+Alt_rampe+pos_z)</f>
        <v>1.22586684551724</v>
      </c>
      <c r="W721" s="418" t="n">
        <f aca="false">1/2*Rho*Sref*Cx*vit_xz^2</f>
        <v>5.57746605611251</v>
      </c>
      <c r="X721" s="402"/>
      <c r="Y721" s="423" t="str">
        <f aca="false">IF(AND(pos_z&lt;=0,K720&gt;0),"Impact balistique","") &amp; IF(AND(H722&lt;0,vit_z&gt;=0),"Apogée","") &amp; IF(AND(Poussee=0,Q720&gt;0),"Fin de propulsion","") &amp; IF(AND(L722&gt;L_rampe,pos_xz&lt;=L_rampe),"Sortie de rampe","")</f>
        <v/>
      </c>
      <c r="Z721" s="424" t="str">
        <f aca="false">IF(ABS(t-T_para)&lt;pas/2,"Para","")</f>
        <v/>
      </c>
      <c r="AA721" s="425" t="str">
        <f aca="false">IF(ABS(t-T_satellite)&lt;pas/2,"Satellite","")</f>
        <v/>
      </c>
      <c r="AB721" s="413"/>
      <c r="AC721" s="421" t="e">
        <f aca="false">IF(ABS(t-ROUND(t,0))&lt;0.001,t,NA())</f>
        <v>#N/A</v>
      </c>
      <c r="AD721" s="426" t="e">
        <f aca="false">IF(ABS(t-ROUND(t,0))&lt;0.001,pos_x,NA())</f>
        <v>#N/A</v>
      </c>
      <c r="AE721" s="427" t="e">
        <f aca="false">IF(t&lt;T_para, pos_z, NA())</f>
        <v>#N/A</v>
      </c>
      <c r="AF721" s="413"/>
      <c r="AG721" s="419" t="n">
        <f aca="false">IF(AND(L720&lt;L_rampe,Poussee&lt;Poids*SIN(M720)),0,(-W720+Poussee)/m-Poids*SIN(M720)/m)</f>
        <v>5.95172628634676</v>
      </c>
      <c r="AH721" s="418" t="n">
        <f aca="false">IF(AND(L720&lt;L_rampe,Poussee&lt;Poids*SIN(M720)), g*SIN(M720), (-W720+Poussee)/m)</f>
        <v>-3.75757574607841</v>
      </c>
    </row>
    <row r="722" customFormat="false" ht="12" hidden="false" customHeight="false" outlineLevel="0" collapsed="false">
      <c r="A722" s="417" t="n">
        <f aca="false">IF(B721+0.01&lt;=T_ini+ROUNDUP(Temps_fin_propu,0), 0.01, IF(K721&gt;0, 0.1, 0.0001))</f>
        <v>0.0001</v>
      </c>
      <c r="B722" s="418" t="n">
        <f aca="false">B721+pas</f>
        <v>16.5372999999999</v>
      </c>
      <c r="C722" s="402"/>
      <c r="D722" s="419" t="n">
        <f aca="false">IF(AND(L721&lt;L_rampe,Poussee&lt;Poids*SIN(M721)),0,(-W721+Poussee)/m*COS(M721)-U721/m*SIN(M721))</f>
        <v>-0.537010610027535</v>
      </c>
      <c r="E722" s="420" t="n">
        <f aca="false">IF(AND(L721&lt;L_rampe,Poussee&lt;Poids*SIN(M721)),0,(-W721+Poussee)/m*SIN(M721)+U721/m*COS(M721)-Poids/m)</f>
        <v>-6.09092981266526</v>
      </c>
      <c r="F722" s="418" t="n">
        <f aca="false">SQRT(acc_x^2+acc_z^2)</f>
        <v>6.11455692410306</v>
      </c>
      <c r="G722" s="419" t="n">
        <f aca="false">G721+acc_x*pas</f>
        <v>10.2672182031203</v>
      </c>
      <c r="H722" s="420" t="n">
        <f aca="false">H721+acc_z*pas</f>
        <v>-71.1066619922756</v>
      </c>
      <c r="I722" s="418" t="n">
        <f aca="false">SQRT(vit_x^2+vit_z^2)</f>
        <v>71.8440891745049</v>
      </c>
      <c r="J722" s="419" t="n">
        <f aca="false">J721+0.5*(vit_x+G721)*pas*(K721&gt;=0)</f>
        <v>211.791153319536</v>
      </c>
      <c r="K722" s="420" t="n">
        <f aca="false">K721+0.5*(vit_z+H721)*pas</f>
        <v>-7.08089776394867</v>
      </c>
      <c r="L722" s="418" t="n">
        <f aca="false">SQRT(pos_x^2+pos_z^2)</f>
        <v>211.909489493894</v>
      </c>
      <c r="M722" s="419" t="n">
        <f aca="false">IF(AND(L721&gt;L_rampe,G722&gt;0),ATAN2(G722,H722),$M$4)</f>
        <v>-1.4273956422195</v>
      </c>
      <c r="N722" s="418" t="n">
        <f aca="false">DEGREES(Beta)</f>
        <v>-81.7837459945432</v>
      </c>
      <c r="O722" s="402"/>
      <c r="P722" s="421" t="n">
        <f aca="false">MATCH(t-pas/2-T_ini,CdP_t)</f>
        <v>23</v>
      </c>
      <c r="Q722" s="418" t="n">
        <f aca="false">(INDEX(CdP,2,i_P+1)-INDEX(CdP,2,i_P+0))/(INDEX(CdP,1,i_P+1)-INDEX(CdP,1,i_P+0))*(t-pas/2-T_ini-INDEX(CdP,1,i_P+0))+INDEX(CdP,2,i_P+0)</f>
        <v>0</v>
      </c>
      <c r="R722" s="419" t="n">
        <f aca="false">Poussee/(g*ISP)</f>
        <v>0</v>
      </c>
      <c r="S722" s="420" t="n">
        <f aca="false">S721-Débit*pas</f>
        <v>1.4843</v>
      </c>
      <c r="T722" s="418" t="n">
        <f aca="false">m*g</f>
        <v>14.560983</v>
      </c>
      <c r="U722" s="422" t="n">
        <f aca="false">IF(pos_xz&lt;L_rampe,Poids*COS(Beta),0)</f>
        <v>0</v>
      </c>
      <c r="V722" s="419" t="n">
        <f aca="false">Rho_moyen*(20000-Alt_rampe-pos_z)/(20000+Alt_rampe+pos_z)</f>
        <v>1.22586771718692</v>
      </c>
      <c r="W722" s="418" t="n">
        <f aca="false">1/2*Rho*Sref*Cx*vit_xz^2</f>
        <v>5.57756243228894</v>
      </c>
      <c r="X722" s="402"/>
      <c r="Y722" s="423" t="str">
        <f aca="false">IF(AND(pos_z&lt;=0,K721&gt;0),"Impact balistique","") &amp; IF(AND(H723&lt;0,vit_z&gt;=0),"Apogée","") &amp; IF(AND(Poussee=0,Q721&gt;0),"Fin de propulsion","") &amp; IF(AND(L723&gt;L_rampe,pos_xz&lt;=L_rampe),"Sortie de rampe","")</f>
        <v/>
      </c>
      <c r="Z722" s="424" t="str">
        <f aca="false">IF(ABS(t-T_para)&lt;pas/2,"Para","")</f>
        <v/>
      </c>
      <c r="AA722" s="425" t="str">
        <f aca="false">IF(ABS(t-T_satellite)&lt;pas/2,"Satellite","")</f>
        <v/>
      </c>
      <c r="AB722" s="413"/>
      <c r="AC722" s="421" t="e">
        <f aca="false">IF(ABS(t-ROUND(t,0))&lt;0.001,t,NA())</f>
        <v>#N/A</v>
      </c>
      <c r="AD722" s="426" t="e">
        <f aca="false">IF(ABS(t-ROUND(t,0))&lt;0.001,pos_x,NA())</f>
        <v>#N/A</v>
      </c>
      <c r="AE722" s="427" t="e">
        <f aca="false">IF(t&lt;T_para, pos_z, NA())</f>
        <v>#N/A</v>
      </c>
      <c r="AF722" s="413"/>
      <c r="AG722" s="419" t="n">
        <f aca="false">IF(AND(L721&lt;L_rampe,Poussee&lt;Poids*SIN(M721)),0,(-W721+Poussee)/m-Poids*SIN(M721)/m)</f>
        <v>5.9516640918009</v>
      </c>
      <c r="AH722" s="418" t="n">
        <f aca="false">IF(AND(L721&lt;L_rampe,Poussee&lt;Poids*SIN(M721)), g*SIN(M721), (-W721+Poussee)/m)</f>
        <v>-3.75764067648893</v>
      </c>
    </row>
    <row r="723" customFormat="false" ht="12" hidden="false" customHeight="false" outlineLevel="0" collapsed="false">
      <c r="A723" s="417" t="n">
        <f aca="false">IF(B722+0.01&lt;=T_ini+ROUNDUP(Temps_fin_propu,0), 0.01, IF(K722&gt;0, 0.1, 0.0001))</f>
        <v>0.0001</v>
      </c>
      <c r="B723" s="418" t="n">
        <f aca="false">B722+pas</f>
        <v>16.5373999999999</v>
      </c>
      <c r="C723" s="402"/>
      <c r="D723" s="419" t="n">
        <f aca="false">IF(AND(L722&lt;L_rampe,Poussee&lt;Poids*SIN(M722)),0,(-W722+Poussee)/m*COS(M722)-U722/m*SIN(M722))</f>
        <v>-0.537012631828251</v>
      </c>
      <c r="E723" s="420" t="n">
        <f aca="false">IF(AND(L722&lt;L_rampe,Poussee&lt;Poids*SIN(M722)),0,(-W722+Poussee)/m*SIN(M722)+U722/m*COS(M722)-Poids/m)</f>
        <v>-6.09086450082565</v>
      </c>
      <c r="F723" s="418" t="n">
        <f aca="false">SQRT(acc_x^2+acc_z^2)</f>
        <v>6.11449204220278</v>
      </c>
      <c r="G723" s="419" t="n">
        <f aca="false">G722+acc_x*pas</f>
        <v>10.2671645018571</v>
      </c>
      <c r="H723" s="420" t="n">
        <f aca="false">H722+acc_z*pas</f>
        <v>-71.1072710787257</v>
      </c>
      <c r="I723" s="418" t="n">
        <f aca="false">SQRT(vit_x^2+vit_z^2)</f>
        <v>71.8446843348314</v>
      </c>
      <c r="J723" s="419" t="n">
        <f aca="false">J722+0.5*(vit_x+G722)*pas*(K722&gt;=0)</f>
        <v>211.791153319536</v>
      </c>
      <c r="K723" s="420" t="n">
        <f aca="false">K722+0.5*(vit_z+H722)*pas</f>
        <v>-7.08800846060222</v>
      </c>
      <c r="L723" s="418" t="n">
        <f aca="false">SQRT(pos_x^2+pos_z^2)</f>
        <v>211.90972721505</v>
      </c>
      <c r="M723" s="419" t="n">
        <f aca="false">IF(AND(L722&gt;L_rampe,G723&gt;0),ATAN2(G723,H723),$M$4)</f>
        <v>-1.42739759357374</v>
      </c>
      <c r="N723" s="418" t="n">
        <f aca="false">DEGREES(Beta)</f>
        <v>-81.7838577989051</v>
      </c>
      <c r="O723" s="402"/>
      <c r="P723" s="421" t="n">
        <f aca="false">MATCH(t-pas/2-T_ini,CdP_t)</f>
        <v>23</v>
      </c>
      <c r="Q723" s="418" t="n">
        <f aca="false">(INDEX(CdP,2,i_P+1)-INDEX(CdP,2,i_P+0))/(INDEX(CdP,1,i_P+1)-INDEX(CdP,1,i_P+0))*(t-pas/2-T_ini-INDEX(CdP,1,i_P+0))+INDEX(CdP,2,i_P+0)</f>
        <v>0</v>
      </c>
      <c r="R723" s="419" t="n">
        <f aca="false">Poussee/(g*ISP)</f>
        <v>0</v>
      </c>
      <c r="S723" s="420" t="n">
        <f aca="false">S722-Débit*pas</f>
        <v>1.4843</v>
      </c>
      <c r="T723" s="418" t="n">
        <f aca="false">m*g</f>
        <v>14.560983</v>
      </c>
      <c r="U723" s="422" t="n">
        <f aca="false">IF(pos_xz&lt;L_rampe,Poids*COS(Beta),0)</f>
        <v>0</v>
      </c>
      <c r="V723" s="419" t="n">
        <f aca="false">Rho_moyen*(20000-Alt_rampe-pos_z)/(20000+Alt_rampe+pos_z)</f>
        <v>1.22586858886469</v>
      </c>
      <c r="W723" s="418" t="n">
        <f aca="false">1/2*Rho*Sref*Cx*vit_xz^2</f>
        <v>5.57765880843342</v>
      </c>
      <c r="X723" s="402"/>
      <c r="Y723" s="423" t="str">
        <f aca="false">IF(AND(pos_z&lt;=0,K722&gt;0),"Impact balistique","") &amp; IF(AND(H724&lt;0,vit_z&gt;=0),"Apogée","") &amp; IF(AND(Poussee=0,Q722&gt;0),"Fin de propulsion","") &amp; IF(AND(L724&gt;L_rampe,pos_xz&lt;=L_rampe),"Sortie de rampe","")</f>
        <v/>
      </c>
      <c r="Z723" s="424" t="str">
        <f aca="false">IF(ABS(t-T_para)&lt;pas/2,"Para","")</f>
        <v/>
      </c>
      <c r="AA723" s="425" t="str">
        <f aca="false">IF(ABS(t-T_satellite)&lt;pas/2,"Satellite","")</f>
        <v/>
      </c>
      <c r="AB723" s="413"/>
      <c r="AC723" s="421" t="e">
        <f aca="false">IF(ABS(t-ROUND(t,0))&lt;0.001,t,NA())</f>
        <v>#N/A</v>
      </c>
      <c r="AD723" s="426" t="e">
        <f aca="false">IF(ABS(t-ROUND(t,0))&lt;0.001,pos_x,NA())</f>
        <v>#N/A</v>
      </c>
      <c r="AE723" s="427" t="e">
        <f aca="false">IF(t&lt;T_para, pos_z, NA())</f>
        <v>#N/A</v>
      </c>
      <c r="AF723" s="413"/>
      <c r="AG723" s="419" t="n">
        <f aca="false">IF(AND(L722&lt;L_rampe,Poussee&lt;Poids*SIN(M722)),0,(-W722+Poussee)/m-Poids*SIN(M722)/m)</f>
        <v>5.95160189717992</v>
      </c>
      <c r="AH723" s="418" t="n">
        <f aca="false">IF(AND(L722&lt;L_rampe,Poussee&lt;Poids*SIN(M722)), g*SIN(M722), (-W722+Poussee)/m)</f>
        <v>-3.75770560687795</v>
      </c>
    </row>
    <row r="724" customFormat="false" ht="12" hidden="false" customHeight="false" outlineLevel="0" collapsed="false">
      <c r="A724" s="417" t="n">
        <f aca="false">IF(B723+0.01&lt;=T_ini+ROUNDUP(Temps_fin_propu,0), 0.01, IF(K723&gt;0, 0.1, 0.0001))</f>
        <v>0.0001</v>
      </c>
      <c r="B724" s="418" t="n">
        <f aca="false">B723+pas</f>
        <v>16.5374999999999</v>
      </c>
      <c r="C724" s="402"/>
      <c r="D724" s="419" t="n">
        <f aca="false">IF(AND(L723&lt;L_rampe,Poussee&lt;Poids*SIN(M723)),0,(-W723+Poussee)/m*COS(M723)-U723/m*SIN(M723))</f>
        <v>-0.537014653531244</v>
      </c>
      <c r="E724" s="420" t="n">
        <f aca="false">IF(AND(L723&lt;L_rampe,Poussee&lt;Poids*SIN(M723)),0,(-W723+Poussee)/m*SIN(M723)+U723/m*COS(M723)-Poids/m)</f>
        <v>-6.09079918900812</v>
      </c>
      <c r="F724" s="418" t="n">
        <f aca="false">SQRT(acc_x^2+acc_z^2)</f>
        <v>6.11442716032575</v>
      </c>
      <c r="G724" s="419" t="n">
        <f aca="false">G723+acc_x*pas</f>
        <v>10.2671108003918</v>
      </c>
      <c r="H724" s="420" t="n">
        <f aca="false">H723+acc_z*pas</f>
        <v>-71.1078801586446</v>
      </c>
      <c r="I724" s="418" t="n">
        <f aca="false">SQRT(vit_x^2+vit_z^2)</f>
        <v>71.8452794889384</v>
      </c>
      <c r="J724" s="419" t="n">
        <f aca="false">J723+0.5*(vit_x+G723)*pas*(K723&gt;=0)</f>
        <v>211.791153319536</v>
      </c>
      <c r="K724" s="420" t="n">
        <f aca="false">K723+0.5*(vit_z+H723)*pas</f>
        <v>-7.09511921816408</v>
      </c>
      <c r="L724" s="418" t="n">
        <f aca="false">SQRT(pos_x^2+pos_z^2)</f>
        <v>211.90996517658</v>
      </c>
      <c r="M724" s="419" t="n">
        <f aca="false">IF(AND(L723&gt;L_rampe,G724&gt;0),ATAN2(G724,H724),$M$4)</f>
        <v>-1.42739954488544</v>
      </c>
      <c r="N724" s="418" t="n">
        <f aca="false">DEGREES(Beta)</f>
        <v>-81.78396960083</v>
      </c>
      <c r="O724" s="402"/>
      <c r="P724" s="421" t="n">
        <f aca="false">MATCH(t-pas/2-T_ini,CdP_t)</f>
        <v>23</v>
      </c>
      <c r="Q724" s="418" t="n">
        <f aca="false">(INDEX(CdP,2,i_P+1)-INDEX(CdP,2,i_P+0))/(INDEX(CdP,1,i_P+1)-INDEX(CdP,1,i_P+0))*(t-pas/2-T_ini-INDEX(CdP,1,i_P+0))+INDEX(CdP,2,i_P+0)</f>
        <v>0</v>
      </c>
      <c r="R724" s="419" t="n">
        <f aca="false">Poussee/(g*ISP)</f>
        <v>0</v>
      </c>
      <c r="S724" s="420" t="n">
        <f aca="false">S723-Débit*pas</f>
        <v>1.4843</v>
      </c>
      <c r="T724" s="418" t="n">
        <f aca="false">m*g</f>
        <v>14.560983</v>
      </c>
      <c r="U724" s="422" t="n">
        <f aca="false">IF(pos_xz&lt;L_rampe,Poids*COS(Beta),0)</f>
        <v>0</v>
      </c>
      <c r="V724" s="419" t="n">
        <f aca="false">Rho_moyen*(20000-Alt_rampe-pos_z)/(20000+Alt_rampe+pos_z)</f>
        <v>1.22586946055054</v>
      </c>
      <c r="W724" s="418" t="n">
        <f aca="false">1/2*Rho*Sref*Cx*vit_xz^2</f>
        <v>5.57775518454594</v>
      </c>
      <c r="X724" s="402"/>
      <c r="Y724" s="423" t="str">
        <f aca="false">IF(AND(pos_z&lt;=0,K723&gt;0),"Impact balistique","") &amp; IF(AND(H725&lt;0,vit_z&gt;=0),"Apogée","") &amp; IF(AND(Poussee=0,Q723&gt;0),"Fin de propulsion","") &amp; IF(AND(L725&gt;L_rampe,pos_xz&lt;=L_rampe),"Sortie de rampe","")</f>
        <v/>
      </c>
      <c r="Z724" s="424" t="str">
        <f aca="false">IF(ABS(t-T_para)&lt;pas/2,"Para","")</f>
        <v/>
      </c>
      <c r="AA724" s="425" t="str">
        <f aca="false">IF(ABS(t-T_satellite)&lt;pas/2,"Satellite","")</f>
        <v/>
      </c>
      <c r="AB724" s="413"/>
      <c r="AC724" s="421" t="e">
        <f aca="false">IF(ABS(t-ROUND(t,0))&lt;0.001,t,NA())</f>
        <v>#N/A</v>
      </c>
      <c r="AD724" s="426" t="e">
        <f aca="false">IF(ABS(t-ROUND(t,0))&lt;0.001,pos_x,NA())</f>
        <v>#N/A</v>
      </c>
      <c r="AE724" s="427" t="e">
        <f aca="false">IF(t&lt;T_para, pos_z, NA())</f>
        <v>#N/A</v>
      </c>
      <c r="AF724" s="413"/>
      <c r="AG724" s="419" t="n">
        <f aca="false">IF(AND(L723&lt;L_rampe,Poussee&lt;Poids*SIN(M723)),0,(-W723+Poussee)/m-Poids*SIN(M723)/m)</f>
        <v>5.95153970248386</v>
      </c>
      <c r="AH724" s="418" t="n">
        <f aca="false">IF(AND(L723&lt;L_rampe,Poussee&lt;Poids*SIN(M723)), g*SIN(M723), (-W723+Poussee)/m)</f>
        <v>-3.75777053724545</v>
      </c>
    </row>
    <row r="725" customFormat="false" ht="12" hidden="false" customHeight="false" outlineLevel="0" collapsed="false">
      <c r="A725" s="417" t="n">
        <f aca="false">IF(B724+0.01&lt;=T_ini+ROUNDUP(Temps_fin_propu,0), 0.01, IF(K724&gt;0, 0.1, 0.0001))</f>
        <v>0.0001</v>
      </c>
      <c r="B725" s="418" t="n">
        <f aca="false">B724+pas</f>
        <v>16.5375999999999</v>
      </c>
      <c r="C725" s="402"/>
      <c r="D725" s="419" t="n">
        <f aca="false">IF(AND(L724&lt;L_rampe,Poussee&lt;Poids*SIN(M724)),0,(-W724+Poussee)/m*COS(M724)-U724/m*SIN(M724))</f>
        <v>-0.537016675136511</v>
      </c>
      <c r="E725" s="420" t="n">
        <f aca="false">IF(AND(L724&lt;L_rampe,Poussee&lt;Poids*SIN(M724)),0,(-W724+Poussee)/m*SIN(M724)+U724/m*COS(M724)-Poids/m)</f>
        <v>-6.09073387721269</v>
      </c>
      <c r="F725" s="418" t="n">
        <f aca="false">SQRT(acc_x^2+acc_z^2)</f>
        <v>6.11436227847198</v>
      </c>
      <c r="G725" s="419" t="n">
        <f aca="false">G724+acc_x*pas</f>
        <v>10.2670570987242</v>
      </c>
      <c r="H725" s="420" t="n">
        <f aca="false">H724+acc_z*pas</f>
        <v>-71.1084892320323</v>
      </c>
      <c r="I725" s="418" t="n">
        <f aca="false">SQRT(vit_x^2+vit_z^2)</f>
        <v>71.845874636826</v>
      </c>
      <c r="J725" s="419" t="n">
        <f aca="false">J724+0.5*(vit_x+G724)*pas*(K724&gt;=0)</f>
        <v>211.791153319536</v>
      </c>
      <c r="K725" s="420" t="n">
        <f aca="false">K724+0.5*(vit_z+H724)*pas</f>
        <v>-7.10223003663362</v>
      </c>
      <c r="L725" s="418" t="n">
        <f aca="false">SQRT(pos_x^2+pos_z^2)</f>
        <v>211.910203378489</v>
      </c>
      <c r="M725" s="419" t="n">
        <f aca="false">IF(AND(L724&gt;L_rampe,G725&gt;0),ATAN2(G725,H725),$M$4)</f>
        <v>-1.4274014961546</v>
      </c>
      <c r="N725" s="418" t="n">
        <f aca="false">DEGREES(Beta)</f>
        <v>-81.7840814003178</v>
      </c>
      <c r="O725" s="402"/>
      <c r="P725" s="421" t="n">
        <f aca="false">MATCH(t-pas/2-T_ini,CdP_t)</f>
        <v>23</v>
      </c>
      <c r="Q725" s="418" t="n">
        <f aca="false">(INDEX(CdP,2,i_P+1)-INDEX(CdP,2,i_P+0))/(INDEX(CdP,1,i_P+1)-INDEX(CdP,1,i_P+0))*(t-pas/2-T_ini-INDEX(CdP,1,i_P+0))+INDEX(CdP,2,i_P+0)</f>
        <v>0</v>
      </c>
      <c r="R725" s="419" t="n">
        <f aca="false">Poussee/(g*ISP)</f>
        <v>0</v>
      </c>
      <c r="S725" s="420" t="n">
        <f aca="false">S724-Débit*pas</f>
        <v>1.4843</v>
      </c>
      <c r="T725" s="418" t="n">
        <f aca="false">m*g</f>
        <v>14.560983</v>
      </c>
      <c r="U725" s="422" t="n">
        <f aca="false">IF(pos_xz&lt;L_rampe,Poids*COS(Beta),0)</f>
        <v>0</v>
      </c>
      <c r="V725" s="419" t="n">
        <f aca="false">Rho_moyen*(20000-Alt_rampe-pos_z)/(20000+Alt_rampe+pos_z)</f>
        <v>1.22587033224448</v>
      </c>
      <c r="W725" s="418" t="n">
        <f aca="false">1/2*Rho*Sref*Cx*vit_xz^2</f>
        <v>5.57785156062647</v>
      </c>
      <c r="X725" s="402"/>
      <c r="Y725" s="423" t="str">
        <f aca="false">IF(AND(pos_z&lt;=0,K724&gt;0),"Impact balistique","") &amp; IF(AND(H726&lt;0,vit_z&gt;=0),"Apogée","") &amp; IF(AND(Poussee=0,Q724&gt;0),"Fin de propulsion","") &amp; IF(AND(L726&gt;L_rampe,pos_xz&lt;=L_rampe),"Sortie de rampe","")</f>
        <v/>
      </c>
      <c r="Z725" s="424" t="str">
        <f aca="false">IF(ABS(t-T_para)&lt;pas/2,"Para","")</f>
        <v/>
      </c>
      <c r="AA725" s="425" t="str">
        <f aca="false">IF(ABS(t-T_satellite)&lt;pas/2,"Satellite","")</f>
        <v/>
      </c>
      <c r="AB725" s="413"/>
      <c r="AC725" s="421" t="e">
        <f aca="false">IF(ABS(t-ROUND(t,0))&lt;0.001,t,NA())</f>
        <v>#N/A</v>
      </c>
      <c r="AD725" s="426" t="e">
        <f aca="false">IF(ABS(t-ROUND(t,0))&lt;0.001,pos_x,NA())</f>
        <v>#N/A</v>
      </c>
      <c r="AE725" s="427" t="e">
        <f aca="false">IF(t&lt;T_para, pos_z, NA())</f>
        <v>#N/A</v>
      </c>
      <c r="AF725" s="413"/>
      <c r="AG725" s="419" t="n">
        <f aca="false">IF(AND(L724&lt;L_rampe,Poussee&lt;Poids*SIN(M724)),0,(-W724+Poussee)/m-Poids*SIN(M724)/m)</f>
        <v>5.95147750771273</v>
      </c>
      <c r="AH725" s="418" t="n">
        <f aca="false">IF(AND(L724&lt;L_rampe,Poussee&lt;Poids*SIN(M724)), g*SIN(M724), (-W724+Poussee)/m)</f>
        <v>-3.75783546759142</v>
      </c>
    </row>
    <row r="726" customFormat="false" ht="12" hidden="false" customHeight="false" outlineLevel="0" collapsed="false">
      <c r="A726" s="417" t="n">
        <f aca="false">IF(B725+0.01&lt;=T_ini+ROUNDUP(Temps_fin_propu,0), 0.01, IF(K725&gt;0, 0.1, 0.0001))</f>
        <v>0.0001</v>
      </c>
      <c r="B726" s="418" t="n">
        <f aca="false">B725+pas</f>
        <v>16.5376999999999</v>
      </c>
      <c r="C726" s="402"/>
      <c r="D726" s="419" t="n">
        <f aca="false">IF(AND(L725&lt;L_rampe,Poussee&lt;Poids*SIN(M725)),0,(-W725+Poussee)/m*COS(M725)-U725/m*SIN(M725))</f>
        <v>-0.537018696644055</v>
      </c>
      <c r="E726" s="420" t="n">
        <f aca="false">IF(AND(L725&lt;L_rampe,Poussee&lt;Poids*SIN(M725)),0,(-W725+Poussee)/m*SIN(M725)+U725/m*COS(M725)-Poids/m)</f>
        <v>-6.09066856543939</v>
      </c>
      <c r="F726" s="418" t="n">
        <f aca="false">SQRT(acc_x^2+acc_z^2)</f>
        <v>6.11429739664148</v>
      </c>
      <c r="G726" s="419" t="n">
        <f aca="false">G725+acc_x*pas</f>
        <v>10.2670033968546</v>
      </c>
      <c r="H726" s="420" t="n">
        <f aca="false">H725+acc_z*pas</f>
        <v>-71.1090982988888</v>
      </c>
      <c r="I726" s="418" t="n">
        <f aca="false">SQRT(vit_x^2+vit_z^2)</f>
        <v>71.846469778494</v>
      </c>
      <c r="J726" s="419" t="n">
        <f aca="false">J725+0.5*(vit_x+G725)*pas*(K725&gt;=0)</f>
        <v>211.791153319536</v>
      </c>
      <c r="K726" s="420" t="n">
        <f aca="false">K725+0.5*(vit_z+H725)*pas</f>
        <v>-7.10934091601016</v>
      </c>
      <c r="L726" s="418" t="n">
        <f aca="false">SQRT(pos_x^2+pos_z^2)</f>
        <v>211.910441820783</v>
      </c>
      <c r="M726" s="419" t="n">
        <f aca="false">IF(AND(L725&gt;L_rampe,G726&gt;0),ATAN2(G726,H726),$M$4)</f>
        <v>-1.42740344738123</v>
      </c>
      <c r="N726" s="418" t="n">
        <f aca="false">DEGREES(Beta)</f>
        <v>-81.7841931973686</v>
      </c>
      <c r="O726" s="402"/>
      <c r="P726" s="421" t="n">
        <f aca="false">MATCH(t-pas/2-T_ini,CdP_t)</f>
        <v>23</v>
      </c>
      <c r="Q726" s="418" t="n">
        <f aca="false">(INDEX(CdP,2,i_P+1)-INDEX(CdP,2,i_P+0))/(INDEX(CdP,1,i_P+1)-INDEX(CdP,1,i_P+0))*(t-pas/2-T_ini-INDEX(CdP,1,i_P+0))+INDEX(CdP,2,i_P+0)</f>
        <v>0</v>
      </c>
      <c r="R726" s="419" t="n">
        <f aca="false">Poussee/(g*ISP)</f>
        <v>0</v>
      </c>
      <c r="S726" s="420" t="n">
        <f aca="false">S725-Débit*pas</f>
        <v>1.4843</v>
      </c>
      <c r="T726" s="418" t="n">
        <f aca="false">m*g</f>
        <v>14.560983</v>
      </c>
      <c r="U726" s="422" t="n">
        <f aca="false">IF(pos_xz&lt;L_rampe,Poids*COS(Beta),0)</f>
        <v>0</v>
      </c>
      <c r="V726" s="419" t="n">
        <f aca="false">Rho_moyen*(20000-Alt_rampe-pos_z)/(20000+Alt_rampe+pos_z)</f>
        <v>1.2258712039465</v>
      </c>
      <c r="W726" s="418" t="n">
        <f aca="false">1/2*Rho*Sref*Cx*vit_xz^2</f>
        <v>5.57794793667499</v>
      </c>
      <c r="X726" s="402"/>
      <c r="Y726" s="423" t="str">
        <f aca="false">IF(AND(pos_z&lt;=0,K725&gt;0),"Impact balistique","") &amp; IF(AND(H727&lt;0,vit_z&gt;=0),"Apogée","") &amp; IF(AND(Poussee=0,Q725&gt;0),"Fin de propulsion","") &amp; IF(AND(L727&gt;L_rampe,pos_xz&lt;=L_rampe),"Sortie de rampe","")</f>
        <v/>
      </c>
      <c r="Z726" s="424" t="str">
        <f aca="false">IF(ABS(t-T_para)&lt;pas/2,"Para","")</f>
        <v/>
      </c>
      <c r="AA726" s="425" t="str">
        <f aca="false">IF(ABS(t-T_satellite)&lt;pas/2,"Satellite","")</f>
        <v/>
      </c>
      <c r="AB726" s="413"/>
      <c r="AC726" s="421" t="e">
        <f aca="false">IF(ABS(t-ROUND(t,0))&lt;0.001,t,NA())</f>
        <v>#N/A</v>
      </c>
      <c r="AD726" s="426" t="e">
        <f aca="false">IF(ABS(t-ROUND(t,0))&lt;0.001,pos_x,NA())</f>
        <v>#N/A</v>
      </c>
      <c r="AE726" s="427" t="e">
        <f aca="false">IF(t&lt;T_para, pos_z, NA())</f>
        <v>#N/A</v>
      </c>
      <c r="AF726" s="413"/>
      <c r="AG726" s="419" t="n">
        <f aca="false">IF(AND(L725&lt;L_rampe,Poussee&lt;Poids*SIN(M725)),0,(-W725+Poussee)/m-Poids*SIN(M725)/m)</f>
        <v>5.95141531286656</v>
      </c>
      <c r="AH726" s="418" t="n">
        <f aca="false">IF(AND(L725&lt;L_rampe,Poussee&lt;Poids*SIN(M725)), g*SIN(M725), (-W725+Poussee)/m)</f>
        <v>-3.75790039791584</v>
      </c>
    </row>
    <row r="727" customFormat="false" ht="12" hidden="false" customHeight="false" outlineLevel="0" collapsed="false">
      <c r="A727" s="417" t="n">
        <f aca="false">IF(B726+0.01&lt;=T_ini+ROUNDUP(Temps_fin_propu,0), 0.01, IF(K726&gt;0, 0.1, 0.0001))</f>
        <v>0.0001</v>
      </c>
      <c r="B727" s="418" t="n">
        <f aca="false">B726+pas</f>
        <v>16.5377999999999</v>
      </c>
      <c r="C727" s="402"/>
      <c r="D727" s="419" t="n">
        <f aca="false">IF(AND(L726&lt;L_rampe,Poussee&lt;Poids*SIN(M726)),0,(-W726+Poussee)/m*COS(M726)-U726/m*SIN(M726))</f>
        <v>-0.537020718053876</v>
      </c>
      <c r="E727" s="420" t="n">
        <f aca="false">IF(AND(L726&lt;L_rampe,Poussee&lt;Poids*SIN(M726)),0,(-W726+Poussee)/m*SIN(M726)+U726/m*COS(M726)-Poids/m)</f>
        <v>-6.09060325368822</v>
      </c>
      <c r="F727" s="418" t="n">
        <f aca="false">SQRT(acc_x^2+acc_z^2)</f>
        <v>6.11423251483427</v>
      </c>
      <c r="G727" s="419" t="n">
        <f aca="false">G726+acc_x*pas</f>
        <v>10.2669496947828</v>
      </c>
      <c r="H727" s="420" t="n">
        <f aca="false">H726+acc_z*pas</f>
        <v>-71.1097073592142</v>
      </c>
      <c r="I727" s="418" t="n">
        <f aca="false">SQRT(vit_x^2+vit_z^2)</f>
        <v>71.8470649139426</v>
      </c>
      <c r="J727" s="419" t="n">
        <f aca="false">J726+0.5*(vit_x+G726)*pas*(K726&gt;=0)</f>
        <v>211.791153319536</v>
      </c>
      <c r="K727" s="420" t="n">
        <f aca="false">K726+0.5*(vit_z+H726)*pas</f>
        <v>-7.11645185629307</v>
      </c>
      <c r="L727" s="418" t="n">
        <f aca="false">SQRT(pos_x^2+pos_z^2)</f>
        <v>211.910680503466</v>
      </c>
      <c r="M727" s="419" t="n">
        <f aca="false">IF(AND(L726&gt;L_rampe,G727&gt;0),ATAN2(G727,H727),$M$4)</f>
        <v>-1.42740539856533</v>
      </c>
      <c r="N727" s="418" t="n">
        <f aca="false">DEGREES(Beta)</f>
        <v>-81.7843049919826</v>
      </c>
      <c r="O727" s="402"/>
      <c r="P727" s="421" t="n">
        <f aca="false">MATCH(t-pas/2-T_ini,CdP_t)</f>
        <v>23</v>
      </c>
      <c r="Q727" s="418" t="n">
        <f aca="false">(INDEX(CdP,2,i_P+1)-INDEX(CdP,2,i_P+0))/(INDEX(CdP,1,i_P+1)-INDEX(CdP,1,i_P+0))*(t-pas/2-T_ini-INDEX(CdP,1,i_P+0))+INDEX(CdP,2,i_P+0)</f>
        <v>0</v>
      </c>
      <c r="R727" s="419" t="n">
        <f aca="false">Poussee/(g*ISP)</f>
        <v>0</v>
      </c>
      <c r="S727" s="420" t="n">
        <f aca="false">S726-Débit*pas</f>
        <v>1.4843</v>
      </c>
      <c r="T727" s="418" t="n">
        <f aca="false">m*g</f>
        <v>14.560983</v>
      </c>
      <c r="U727" s="422" t="n">
        <f aca="false">IF(pos_xz&lt;L_rampe,Poids*COS(Beta),0)</f>
        <v>0</v>
      </c>
      <c r="V727" s="419" t="n">
        <f aca="false">Rho_moyen*(20000-Alt_rampe-pos_z)/(20000+Alt_rampe+pos_z)</f>
        <v>1.22587207565662</v>
      </c>
      <c r="W727" s="418" t="n">
        <f aca="false">1/2*Rho*Sref*Cx*vit_xz^2</f>
        <v>5.57804431269147</v>
      </c>
      <c r="X727" s="402"/>
      <c r="Y727" s="423" t="str">
        <f aca="false">IF(AND(pos_z&lt;=0,K726&gt;0),"Impact balistique","") &amp; IF(AND(H728&lt;0,vit_z&gt;=0),"Apogée","") &amp; IF(AND(Poussee=0,Q726&gt;0),"Fin de propulsion","") &amp; IF(AND(L728&gt;L_rampe,pos_xz&lt;=L_rampe),"Sortie de rampe","")</f>
        <v/>
      </c>
      <c r="Z727" s="424" t="str">
        <f aca="false">IF(ABS(t-T_para)&lt;pas/2,"Para","")</f>
        <v/>
      </c>
      <c r="AA727" s="425" t="str">
        <f aca="false">IF(ABS(t-T_satellite)&lt;pas/2,"Satellite","")</f>
        <v/>
      </c>
      <c r="AB727" s="413"/>
      <c r="AC727" s="421" t="e">
        <f aca="false">IF(ABS(t-ROUND(t,0))&lt;0.001,t,NA())</f>
        <v>#N/A</v>
      </c>
      <c r="AD727" s="426" t="e">
        <f aca="false">IF(ABS(t-ROUND(t,0))&lt;0.001,pos_x,NA())</f>
        <v>#N/A</v>
      </c>
      <c r="AE727" s="427" t="e">
        <f aca="false">IF(t&lt;T_para, pos_z, NA())</f>
        <v>#N/A</v>
      </c>
      <c r="AF727" s="413"/>
      <c r="AG727" s="419" t="n">
        <f aca="false">IF(AND(L726&lt;L_rampe,Poussee&lt;Poids*SIN(M726)),0,(-W726+Poussee)/m-Poids*SIN(M726)/m)</f>
        <v>5.95135311794536</v>
      </c>
      <c r="AH727" s="418" t="n">
        <f aca="false">IF(AND(L726&lt;L_rampe,Poussee&lt;Poids*SIN(M726)), g*SIN(M726), (-W726+Poussee)/m)</f>
        <v>-3.75796532821869</v>
      </c>
    </row>
    <row r="728" customFormat="false" ht="12" hidden="false" customHeight="false" outlineLevel="0" collapsed="false">
      <c r="A728" s="417" t="n">
        <f aca="false">IF(B727+0.01&lt;=T_ini+ROUNDUP(Temps_fin_propu,0), 0.01, IF(K727&gt;0, 0.1, 0.0001))</f>
        <v>0.0001</v>
      </c>
      <c r="B728" s="418" t="n">
        <f aca="false">B727+pas</f>
        <v>16.5378999999999</v>
      </c>
      <c r="C728" s="402"/>
      <c r="D728" s="419" t="n">
        <f aca="false">IF(AND(L727&lt;L_rampe,Poussee&lt;Poids*SIN(M727)),0,(-W727+Poussee)/m*COS(M727)-U727/m*SIN(M727))</f>
        <v>-0.537022739365976</v>
      </c>
      <c r="E728" s="420" t="n">
        <f aca="false">IF(AND(L727&lt;L_rampe,Poussee&lt;Poids*SIN(M727)),0,(-W727+Poussee)/m*SIN(M727)+U727/m*COS(M727)-Poids/m)</f>
        <v>-6.0905379419592</v>
      </c>
      <c r="F728" s="418" t="n">
        <f aca="false">SQRT(acc_x^2+acc_z^2)</f>
        <v>6.11416763305037</v>
      </c>
      <c r="G728" s="419" t="n">
        <f aca="false">G727+acc_x*pas</f>
        <v>10.2668959925088</v>
      </c>
      <c r="H728" s="420" t="n">
        <f aca="false">H727+acc_z*pas</f>
        <v>-71.1103164130084</v>
      </c>
      <c r="I728" s="418" t="n">
        <f aca="false">SQRT(vit_x^2+vit_z^2)</f>
        <v>71.8476600431717</v>
      </c>
      <c r="J728" s="419" t="n">
        <f aca="false">J727+0.5*(vit_x+G727)*pas*(K727&gt;=0)</f>
        <v>211.791153319536</v>
      </c>
      <c r="K728" s="420" t="n">
        <f aca="false">K727+0.5*(vit_z+H727)*pas</f>
        <v>-7.12356285748168</v>
      </c>
      <c r="L728" s="418" t="n">
        <f aca="false">SQRT(pos_x^2+pos_z^2)</f>
        <v>211.910919426545</v>
      </c>
      <c r="M728" s="419" t="n">
        <f aca="false">IF(AND(L727&gt;L_rampe,G728&gt;0),ATAN2(G728,H728),$M$4)</f>
        <v>-1.4274073497069</v>
      </c>
      <c r="N728" s="418" t="n">
        <f aca="false">DEGREES(Beta)</f>
        <v>-81.7844167841598</v>
      </c>
      <c r="O728" s="402"/>
      <c r="P728" s="421" t="n">
        <f aca="false">MATCH(t-pas/2-T_ini,CdP_t)</f>
        <v>23</v>
      </c>
      <c r="Q728" s="418" t="n">
        <f aca="false">(INDEX(CdP,2,i_P+1)-INDEX(CdP,2,i_P+0))/(INDEX(CdP,1,i_P+1)-INDEX(CdP,1,i_P+0))*(t-pas/2-T_ini-INDEX(CdP,1,i_P+0))+INDEX(CdP,2,i_P+0)</f>
        <v>0</v>
      </c>
      <c r="R728" s="419" t="n">
        <f aca="false">Poussee/(g*ISP)</f>
        <v>0</v>
      </c>
      <c r="S728" s="420" t="n">
        <f aca="false">S727-Débit*pas</f>
        <v>1.4843</v>
      </c>
      <c r="T728" s="418" t="n">
        <f aca="false">m*g</f>
        <v>14.560983</v>
      </c>
      <c r="U728" s="422" t="n">
        <f aca="false">IF(pos_xz&lt;L_rampe,Poids*COS(Beta),0)</f>
        <v>0</v>
      </c>
      <c r="V728" s="419" t="n">
        <f aca="false">Rho_moyen*(20000-Alt_rampe-pos_z)/(20000+Alt_rampe+pos_z)</f>
        <v>1.22587294737482</v>
      </c>
      <c r="W728" s="418" t="n">
        <f aca="false">1/2*Rho*Sref*Cx*vit_xz^2</f>
        <v>5.57814068867589</v>
      </c>
      <c r="X728" s="402"/>
      <c r="Y728" s="423" t="str">
        <f aca="false">IF(AND(pos_z&lt;=0,K727&gt;0),"Impact balistique","") &amp; IF(AND(H729&lt;0,vit_z&gt;=0),"Apogée","") &amp; IF(AND(Poussee=0,Q727&gt;0),"Fin de propulsion","") &amp; IF(AND(L729&gt;L_rampe,pos_xz&lt;=L_rampe),"Sortie de rampe","")</f>
        <v/>
      </c>
      <c r="Z728" s="424" t="str">
        <f aca="false">IF(ABS(t-T_para)&lt;pas/2,"Para","")</f>
        <v/>
      </c>
      <c r="AA728" s="425" t="str">
        <f aca="false">IF(ABS(t-T_satellite)&lt;pas/2,"Satellite","")</f>
        <v/>
      </c>
      <c r="AB728" s="413"/>
      <c r="AC728" s="421" t="e">
        <f aca="false">IF(ABS(t-ROUND(t,0))&lt;0.001,t,NA())</f>
        <v>#N/A</v>
      </c>
      <c r="AD728" s="426" t="e">
        <f aca="false">IF(ABS(t-ROUND(t,0))&lt;0.001,pos_x,NA())</f>
        <v>#N/A</v>
      </c>
      <c r="AE728" s="427" t="e">
        <f aca="false">IF(t&lt;T_para, pos_z, NA())</f>
        <v>#N/A</v>
      </c>
      <c r="AF728" s="413"/>
      <c r="AG728" s="419" t="n">
        <f aca="false">IF(AND(L727&lt;L_rampe,Poussee&lt;Poids*SIN(M727)),0,(-W727+Poussee)/m-Poids*SIN(M727)/m)</f>
        <v>5.95129092294915</v>
      </c>
      <c r="AH728" s="418" t="n">
        <f aca="false">IF(AND(L727&lt;L_rampe,Poussee&lt;Poids*SIN(M727)), g*SIN(M727), (-W727+Poussee)/m)</f>
        <v>-3.75803025849995</v>
      </c>
    </row>
    <row r="729" customFormat="false" ht="12" hidden="false" customHeight="false" outlineLevel="0" collapsed="false">
      <c r="A729" s="417" t="n">
        <f aca="false">IF(B728+0.01&lt;=T_ini+ROUNDUP(Temps_fin_propu,0), 0.01, IF(K728&gt;0, 0.1, 0.0001))</f>
        <v>0.0001</v>
      </c>
      <c r="B729" s="418" t="n">
        <f aca="false">B728+pas</f>
        <v>16.5379999999999</v>
      </c>
      <c r="C729" s="402"/>
      <c r="D729" s="419" t="n">
        <f aca="false">IF(AND(L728&lt;L_rampe,Poussee&lt;Poids*SIN(M728)),0,(-W728+Poussee)/m*COS(M728)-U728/m*SIN(M728))</f>
        <v>-0.537024760580353</v>
      </c>
      <c r="E729" s="420" t="n">
        <f aca="false">IF(AND(L728&lt;L_rampe,Poussee&lt;Poids*SIN(M728)),0,(-W728+Poussee)/m*SIN(M728)+U728/m*COS(M728)-Poids/m)</f>
        <v>-6.09047263025236</v>
      </c>
      <c r="F729" s="418" t="n">
        <f aca="false">SQRT(acc_x^2+acc_z^2)</f>
        <v>6.1141027512898</v>
      </c>
      <c r="G729" s="419" t="n">
        <f aca="false">G728+acc_x*pas</f>
        <v>10.2668422900328</v>
      </c>
      <c r="H729" s="420" t="n">
        <f aca="false">H728+acc_z*pas</f>
        <v>-71.1109254602714</v>
      </c>
      <c r="I729" s="418" t="n">
        <f aca="false">SQRT(vit_x^2+vit_z^2)</f>
        <v>71.8482551661812</v>
      </c>
      <c r="J729" s="419" t="n">
        <f aca="false">J728+0.5*(vit_x+G728)*pas*(K728&gt;=0)</f>
        <v>211.791153319536</v>
      </c>
      <c r="K729" s="420" t="n">
        <f aca="false">K728+0.5*(vit_z+H728)*pas</f>
        <v>-7.13067391957534</v>
      </c>
      <c r="L729" s="418" t="n">
        <f aca="false">SQRT(pos_x^2+pos_z^2)</f>
        <v>211.911158590025</v>
      </c>
      <c r="M729" s="419" t="n">
        <f aca="false">IF(AND(L728&gt;L_rampe,G729&gt;0),ATAN2(G729,H729),$M$4)</f>
        <v>-1.42740930080594</v>
      </c>
      <c r="N729" s="418" t="n">
        <f aca="false">DEGREES(Beta)</f>
        <v>-81.7845285739004</v>
      </c>
      <c r="O729" s="402"/>
      <c r="P729" s="421" t="n">
        <f aca="false">MATCH(t-pas/2-T_ini,CdP_t)</f>
        <v>23</v>
      </c>
      <c r="Q729" s="418" t="n">
        <f aca="false">(INDEX(CdP,2,i_P+1)-INDEX(CdP,2,i_P+0))/(INDEX(CdP,1,i_P+1)-INDEX(CdP,1,i_P+0))*(t-pas/2-T_ini-INDEX(CdP,1,i_P+0))+INDEX(CdP,2,i_P+0)</f>
        <v>0</v>
      </c>
      <c r="R729" s="419" t="n">
        <f aca="false">Poussee/(g*ISP)</f>
        <v>0</v>
      </c>
      <c r="S729" s="420" t="n">
        <f aca="false">S728-Débit*pas</f>
        <v>1.4843</v>
      </c>
      <c r="T729" s="418" t="n">
        <f aca="false">m*g</f>
        <v>14.560983</v>
      </c>
      <c r="U729" s="422" t="n">
        <f aca="false">IF(pos_xz&lt;L_rampe,Poids*COS(Beta),0)</f>
        <v>0</v>
      </c>
      <c r="V729" s="419" t="n">
        <f aca="false">Rho_moyen*(20000-Alt_rampe-pos_z)/(20000+Alt_rampe+pos_z)</f>
        <v>1.2258738191011</v>
      </c>
      <c r="W729" s="418" t="n">
        <f aca="false">1/2*Rho*Sref*Cx*vit_xz^2</f>
        <v>5.57823706462823</v>
      </c>
      <c r="X729" s="402"/>
      <c r="Y729" s="423" t="str">
        <f aca="false">IF(AND(pos_z&lt;=0,K728&gt;0),"Impact balistique","") &amp; IF(AND(H730&lt;0,vit_z&gt;=0),"Apogée","") &amp; IF(AND(Poussee=0,Q728&gt;0),"Fin de propulsion","") &amp; IF(AND(L730&gt;L_rampe,pos_xz&lt;=L_rampe),"Sortie de rampe","")</f>
        <v/>
      </c>
      <c r="Z729" s="424" t="str">
        <f aca="false">IF(ABS(t-T_para)&lt;pas/2,"Para","")</f>
        <v/>
      </c>
      <c r="AA729" s="425" t="str">
        <f aca="false">IF(ABS(t-T_satellite)&lt;pas/2,"Satellite","")</f>
        <v/>
      </c>
      <c r="AB729" s="413"/>
      <c r="AC729" s="421" t="e">
        <f aca="false">IF(ABS(t-ROUND(t,0))&lt;0.001,t,NA())</f>
        <v>#N/A</v>
      </c>
      <c r="AD729" s="426" t="e">
        <f aca="false">IF(ABS(t-ROUND(t,0))&lt;0.001,pos_x,NA())</f>
        <v>#N/A</v>
      </c>
      <c r="AE729" s="427" t="e">
        <f aca="false">IF(t&lt;T_para, pos_z, NA())</f>
        <v>#N/A</v>
      </c>
      <c r="AF729" s="413"/>
      <c r="AG729" s="419" t="n">
        <f aca="false">IF(AND(L728&lt;L_rampe,Poussee&lt;Poids*SIN(M728)),0,(-W728+Poussee)/m-Poids*SIN(M728)/m)</f>
        <v>5.95122872787795</v>
      </c>
      <c r="AH729" s="418" t="n">
        <f aca="false">IF(AND(L728&lt;L_rampe,Poussee&lt;Poids*SIN(M728)), g*SIN(M728), (-W728+Poussee)/m)</f>
        <v>-3.75809518875962</v>
      </c>
    </row>
    <row r="730" customFormat="false" ht="12" hidden="false" customHeight="false" outlineLevel="0" collapsed="false">
      <c r="A730" s="417" t="n">
        <f aca="false">IF(B729+0.01&lt;=T_ini+ROUNDUP(Temps_fin_propu,0), 0.01, IF(K729&gt;0, 0.1, 0.0001))</f>
        <v>0.0001</v>
      </c>
      <c r="B730" s="418" t="n">
        <f aca="false">B729+pas</f>
        <v>16.5380999999999</v>
      </c>
      <c r="C730" s="402"/>
      <c r="D730" s="419" t="n">
        <f aca="false">IF(AND(L729&lt;L_rampe,Poussee&lt;Poids*SIN(M729)),0,(-W729+Poussee)/m*COS(M729)-U729/m*SIN(M729))</f>
        <v>-0.53702678169701</v>
      </c>
      <c r="E730" s="420" t="n">
        <f aca="false">IF(AND(L729&lt;L_rampe,Poussee&lt;Poids*SIN(M729)),0,(-W729+Poussee)/m*SIN(M729)+U729/m*COS(M729)-Poids/m)</f>
        <v>-6.0904073185677</v>
      </c>
      <c r="F730" s="418" t="n">
        <f aca="false">SQRT(acc_x^2+acc_z^2)</f>
        <v>6.11403786955257</v>
      </c>
      <c r="G730" s="419" t="n">
        <f aca="false">G729+acc_x*pas</f>
        <v>10.2667885873546</v>
      </c>
      <c r="H730" s="420" t="n">
        <f aca="false">H729+acc_z*pas</f>
        <v>-71.1115345010033</v>
      </c>
      <c r="I730" s="418" t="n">
        <f aca="false">SQRT(vit_x^2+vit_z^2)</f>
        <v>71.8488502829712</v>
      </c>
      <c r="J730" s="419" t="n">
        <f aca="false">J729+0.5*(vit_x+G729)*pas*(K729&gt;=0)</f>
        <v>211.791153319536</v>
      </c>
      <c r="K730" s="420" t="n">
        <f aca="false">K729+0.5*(vit_z+H729)*pas</f>
        <v>-7.13778504257341</v>
      </c>
      <c r="L730" s="418" t="n">
        <f aca="false">SQRT(pos_x^2+pos_z^2)</f>
        <v>211.91139799391</v>
      </c>
      <c r="M730" s="419" t="n">
        <f aca="false">IF(AND(L729&gt;L_rampe,G730&gt;0),ATAN2(G730,H730),$M$4)</f>
        <v>-1.42741125186246</v>
      </c>
      <c r="N730" s="418" t="n">
        <f aca="false">DEGREES(Beta)</f>
        <v>-81.7846403612042</v>
      </c>
      <c r="O730" s="402"/>
      <c r="P730" s="421" t="n">
        <f aca="false">MATCH(t-pas/2-T_ini,CdP_t)</f>
        <v>23</v>
      </c>
      <c r="Q730" s="418" t="n">
        <f aca="false">(INDEX(CdP,2,i_P+1)-INDEX(CdP,2,i_P+0))/(INDEX(CdP,1,i_P+1)-INDEX(CdP,1,i_P+0))*(t-pas/2-T_ini-INDEX(CdP,1,i_P+0))+INDEX(CdP,2,i_P+0)</f>
        <v>0</v>
      </c>
      <c r="R730" s="419" t="n">
        <f aca="false">Poussee/(g*ISP)</f>
        <v>0</v>
      </c>
      <c r="S730" s="420" t="n">
        <f aca="false">S729-Débit*pas</f>
        <v>1.4843</v>
      </c>
      <c r="T730" s="418" t="n">
        <f aca="false">m*g</f>
        <v>14.560983</v>
      </c>
      <c r="U730" s="422" t="n">
        <f aca="false">IF(pos_xz&lt;L_rampe,Poids*COS(Beta),0)</f>
        <v>0</v>
      </c>
      <c r="V730" s="419" t="n">
        <f aca="false">Rho_moyen*(20000-Alt_rampe-pos_z)/(20000+Alt_rampe+pos_z)</f>
        <v>1.22587469083547</v>
      </c>
      <c r="W730" s="418" t="n">
        <f aca="false">1/2*Rho*Sref*Cx*vit_xz^2</f>
        <v>5.57833344054846</v>
      </c>
      <c r="X730" s="402"/>
      <c r="Y730" s="423" t="str">
        <f aca="false">IF(AND(pos_z&lt;=0,K729&gt;0),"Impact balistique","") &amp; IF(AND(H731&lt;0,vit_z&gt;=0),"Apogée","") &amp; IF(AND(Poussee=0,Q729&gt;0),"Fin de propulsion","") &amp; IF(AND(L731&gt;L_rampe,pos_xz&lt;=L_rampe),"Sortie de rampe","")</f>
        <v/>
      </c>
      <c r="Z730" s="424" t="str">
        <f aca="false">IF(ABS(t-T_para)&lt;pas/2,"Para","")</f>
        <v/>
      </c>
      <c r="AA730" s="425" t="str">
        <f aca="false">IF(ABS(t-T_satellite)&lt;pas/2,"Satellite","")</f>
        <v/>
      </c>
      <c r="AB730" s="413"/>
      <c r="AC730" s="421" t="e">
        <f aca="false">IF(ABS(t-ROUND(t,0))&lt;0.001,t,NA())</f>
        <v>#N/A</v>
      </c>
      <c r="AD730" s="426" t="e">
        <f aca="false">IF(ABS(t-ROUND(t,0))&lt;0.001,pos_x,NA())</f>
        <v>#N/A</v>
      </c>
      <c r="AE730" s="427" t="e">
        <f aca="false">IF(t&lt;T_para, pos_z, NA())</f>
        <v>#N/A</v>
      </c>
      <c r="AF730" s="413"/>
      <c r="AG730" s="419" t="n">
        <f aca="false">IF(AND(L729&lt;L_rampe,Poussee&lt;Poids*SIN(M729)),0,(-W729+Poussee)/m-Poids*SIN(M729)/m)</f>
        <v>5.9511665327318</v>
      </c>
      <c r="AH730" s="418" t="n">
        <f aca="false">IF(AND(L729&lt;L_rampe,Poussee&lt;Poids*SIN(M729)), g*SIN(M729), (-W729+Poussee)/m)</f>
        <v>-3.75816011899767</v>
      </c>
    </row>
    <row r="731" customFormat="false" ht="12" hidden="false" customHeight="false" outlineLevel="0" collapsed="false">
      <c r="A731" s="417" t="n">
        <f aca="false">IF(B730+0.01&lt;=T_ini+ROUNDUP(Temps_fin_propu,0), 0.01, IF(K730&gt;0, 0.1, 0.0001))</f>
        <v>0.0001</v>
      </c>
      <c r="B731" s="418" t="n">
        <f aca="false">B730+pas</f>
        <v>16.5381999999999</v>
      </c>
      <c r="C731" s="402"/>
      <c r="D731" s="419" t="n">
        <f aca="false">IF(AND(L730&lt;L_rampe,Poussee&lt;Poids*SIN(M730)),0,(-W730+Poussee)/m*COS(M730)-U730/m*SIN(M730))</f>
        <v>-0.537028802715947</v>
      </c>
      <c r="E731" s="420" t="n">
        <f aca="false">IF(AND(L730&lt;L_rampe,Poussee&lt;Poids*SIN(M730)),0,(-W730+Poussee)/m*SIN(M730)+U730/m*COS(M730)-Poids/m)</f>
        <v>-6.09034200690525</v>
      </c>
      <c r="F731" s="418" t="n">
        <f aca="false">SQRT(acc_x^2+acc_z^2)</f>
        <v>6.11397298783869</v>
      </c>
      <c r="G731" s="419" t="n">
        <f aca="false">G730+acc_x*pas</f>
        <v>10.2667348844743</v>
      </c>
      <c r="H731" s="420" t="n">
        <f aca="false">H730+acc_z*pas</f>
        <v>-71.112143535204</v>
      </c>
      <c r="I731" s="418" t="n">
        <f aca="false">SQRT(vit_x^2+vit_z^2)</f>
        <v>71.8494453935417</v>
      </c>
      <c r="J731" s="419" t="n">
        <f aca="false">J730+0.5*(vit_x+G730)*pas*(K730&gt;=0)</f>
        <v>211.791153319536</v>
      </c>
      <c r="K731" s="420" t="n">
        <f aca="false">K730+0.5*(vit_z+H730)*pas</f>
        <v>-7.14489622647522</v>
      </c>
      <c r="L731" s="418" t="n">
        <f aca="false">SQRT(pos_x^2+pos_z^2)</f>
        <v>211.911637638206</v>
      </c>
      <c r="M731" s="419" t="n">
        <f aca="false">IF(AND(L730&gt;L_rampe,G731&gt;0),ATAN2(G731,H731),$M$4)</f>
        <v>-1.42741320287645</v>
      </c>
      <c r="N731" s="418" t="n">
        <f aca="false">DEGREES(Beta)</f>
        <v>-81.7847521460716</v>
      </c>
      <c r="O731" s="402"/>
      <c r="P731" s="421" t="n">
        <f aca="false">MATCH(t-pas/2-T_ini,CdP_t)</f>
        <v>23</v>
      </c>
      <c r="Q731" s="418" t="n">
        <f aca="false">(INDEX(CdP,2,i_P+1)-INDEX(CdP,2,i_P+0))/(INDEX(CdP,1,i_P+1)-INDEX(CdP,1,i_P+0))*(t-pas/2-T_ini-INDEX(CdP,1,i_P+0))+INDEX(CdP,2,i_P+0)</f>
        <v>0</v>
      </c>
      <c r="R731" s="419" t="n">
        <f aca="false">Poussee/(g*ISP)</f>
        <v>0</v>
      </c>
      <c r="S731" s="420" t="n">
        <f aca="false">S730-Débit*pas</f>
        <v>1.4843</v>
      </c>
      <c r="T731" s="418" t="n">
        <f aca="false">m*g</f>
        <v>14.560983</v>
      </c>
      <c r="U731" s="422" t="n">
        <f aca="false">IF(pos_xz&lt;L_rampe,Poids*COS(Beta),0)</f>
        <v>0</v>
      </c>
      <c r="V731" s="419" t="n">
        <f aca="false">Rho_moyen*(20000-Alt_rampe-pos_z)/(20000+Alt_rampe+pos_z)</f>
        <v>1.22587556257793</v>
      </c>
      <c r="W731" s="418" t="n">
        <f aca="false">1/2*Rho*Sref*Cx*vit_xz^2</f>
        <v>5.57842981643656</v>
      </c>
      <c r="X731" s="402"/>
      <c r="Y731" s="423" t="str">
        <f aca="false">IF(AND(pos_z&lt;=0,K730&gt;0),"Impact balistique","") &amp; IF(AND(H732&lt;0,vit_z&gt;=0),"Apogée","") &amp; IF(AND(Poussee=0,Q730&gt;0),"Fin de propulsion","") &amp; IF(AND(L732&gt;L_rampe,pos_xz&lt;=L_rampe),"Sortie de rampe","")</f>
        <v/>
      </c>
      <c r="Z731" s="424" t="str">
        <f aca="false">IF(ABS(t-T_para)&lt;pas/2,"Para","")</f>
        <v/>
      </c>
      <c r="AA731" s="425" t="str">
        <f aca="false">IF(ABS(t-T_satellite)&lt;pas/2,"Satellite","")</f>
        <v/>
      </c>
      <c r="AB731" s="413"/>
      <c r="AC731" s="421" t="e">
        <f aca="false">IF(ABS(t-ROUND(t,0))&lt;0.001,t,NA())</f>
        <v>#N/A</v>
      </c>
      <c r="AD731" s="426" t="e">
        <f aca="false">IF(ABS(t-ROUND(t,0))&lt;0.001,pos_x,NA())</f>
        <v>#N/A</v>
      </c>
      <c r="AE731" s="427" t="e">
        <f aca="false">IF(t&lt;T_para, pos_z, NA())</f>
        <v>#N/A</v>
      </c>
      <c r="AF731" s="413"/>
      <c r="AG731" s="419" t="n">
        <f aca="false">IF(AND(L730&lt;L_rampe,Poussee&lt;Poids*SIN(M730)),0,(-W730+Poussee)/m-Poids*SIN(M730)/m)</f>
        <v>5.9511043375107</v>
      </c>
      <c r="AH731" s="418" t="n">
        <f aca="false">IF(AND(L730&lt;L_rampe,Poussee&lt;Poids*SIN(M730)), g*SIN(M730), (-W730+Poussee)/m)</f>
        <v>-3.75822504921409</v>
      </c>
    </row>
    <row r="732" customFormat="false" ht="12" hidden="false" customHeight="false" outlineLevel="0" collapsed="false">
      <c r="A732" s="417" t="n">
        <f aca="false">IF(B731+0.01&lt;=T_ini+ROUNDUP(Temps_fin_propu,0), 0.01, IF(K731&gt;0, 0.1, 0.0001))</f>
        <v>0.0001</v>
      </c>
      <c r="B732" s="418" t="n">
        <f aca="false">B731+pas</f>
        <v>16.5382999999999</v>
      </c>
      <c r="C732" s="402"/>
      <c r="D732" s="419" t="n">
        <f aca="false">IF(AND(L731&lt;L_rampe,Poussee&lt;Poids*SIN(M731)),0,(-W731+Poussee)/m*COS(M731)-U731/m*SIN(M731))</f>
        <v>-0.537030823637166</v>
      </c>
      <c r="E732" s="420" t="n">
        <f aca="false">IF(AND(L731&lt;L_rampe,Poussee&lt;Poids*SIN(M731)),0,(-W731+Poussee)/m*SIN(M731)+U731/m*COS(M731)-Poids/m)</f>
        <v>-6.09027669526501</v>
      </c>
      <c r="F732" s="418" t="n">
        <f aca="false">SQRT(acc_x^2+acc_z^2)</f>
        <v>6.11390810614818</v>
      </c>
      <c r="G732" s="419" t="n">
        <f aca="false">G731+acc_x*pas</f>
        <v>10.266681181392</v>
      </c>
      <c r="H732" s="420" t="n">
        <f aca="false">H731+acc_z*pas</f>
        <v>-71.1127525628735</v>
      </c>
      <c r="I732" s="418" t="n">
        <f aca="false">SQRT(vit_x^2+vit_z^2)</f>
        <v>71.8500404978927</v>
      </c>
      <c r="J732" s="419" t="n">
        <f aca="false">J731+0.5*(vit_x+G731)*pas*(K731&gt;=0)</f>
        <v>211.791153319536</v>
      </c>
      <c r="K732" s="420" t="n">
        <f aca="false">K731+0.5*(vit_z+H731)*pas</f>
        <v>-7.15200747128012</v>
      </c>
      <c r="L732" s="418" t="n">
        <f aca="false">SQRT(pos_x^2+pos_z^2)</f>
        <v>211.911877522919</v>
      </c>
      <c r="M732" s="419" t="n">
        <f aca="false">IF(AND(L731&gt;L_rampe,G732&gt;0),ATAN2(G732,H732),$M$4)</f>
        <v>-1.42741515384791</v>
      </c>
      <c r="N732" s="418" t="n">
        <f aca="false">DEGREES(Beta)</f>
        <v>-81.7848639285025</v>
      </c>
      <c r="O732" s="402"/>
      <c r="P732" s="421" t="n">
        <f aca="false">MATCH(t-pas/2-T_ini,CdP_t)</f>
        <v>23</v>
      </c>
      <c r="Q732" s="418" t="n">
        <f aca="false">(INDEX(CdP,2,i_P+1)-INDEX(CdP,2,i_P+0))/(INDEX(CdP,1,i_P+1)-INDEX(CdP,1,i_P+0))*(t-pas/2-T_ini-INDEX(CdP,1,i_P+0))+INDEX(CdP,2,i_P+0)</f>
        <v>0</v>
      </c>
      <c r="R732" s="419" t="n">
        <f aca="false">Poussee/(g*ISP)</f>
        <v>0</v>
      </c>
      <c r="S732" s="420" t="n">
        <f aca="false">S731-Débit*pas</f>
        <v>1.4843</v>
      </c>
      <c r="T732" s="418" t="n">
        <f aca="false">m*g</f>
        <v>14.560983</v>
      </c>
      <c r="U732" s="422" t="n">
        <f aca="false">IF(pos_xz&lt;L_rampe,Poids*COS(Beta),0)</f>
        <v>0</v>
      </c>
      <c r="V732" s="419" t="n">
        <f aca="false">Rho_moyen*(20000-Alt_rampe-pos_z)/(20000+Alt_rampe+pos_z)</f>
        <v>1.22587643432848</v>
      </c>
      <c r="W732" s="418" t="n">
        <f aca="false">1/2*Rho*Sref*Cx*vit_xz^2</f>
        <v>5.5785261922925</v>
      </c>
      <c r="X732" s="402"/>
      <c r="Y732" s="423" t="str">
        <f aca="false">IF(AND(pos_z&lt;=0,K731&gt;0),"Impact balistique","") &amp; IF(AND(H733&lt;0,vit_z&gt;=0),"Apogée","") &amp; IF(AND(Poussee=0,Q731&gt;0),"Fin de propulsion","") &amp; IF(AND(L733&gt;L_rampe,pos_xz&lt;=L_rampe),"Sortie de rampe","")</f>
        <v/>
      </c>
      <c r="Z732" s="424" t="str">
        <f aca="false">IF(ABS(t-T_para)&lt;pas/2,"Para","")</f>
        <v/>
      </c>
      <c r="AA732" s="425" t="str">
        <f aca="false">IF(ABS(t-T_satellite)&lt;pas/2,"Satellite","")</f>
        <v/>
      </c>
      <c r="AB732" s="413"/>
      <c r="AC732" s="421" t="e">
        <f aca="false">IF(ABS(t-ROUND(t,0))&lt;0.001,t,NA())</f>
        <v>#N/A</v>
      </c>
      <c r="AD732" s="426" t="e">
        <f aca="false">IF(ABS(t-ROUND(t,0))&lt;0.001,pos_x,NA())</f>
        <v>#N/A</v>
      </c>
      <c r="AE732" s="427" t="e">
        <f aca="false">IF(t&lt;T_para, pos_z, NA())</f>
        <v>#N/A</v>
      </c>
      <c r="AF732" s="413"/>
      <c r="AG732" s="419" t="n">
        <f aca="false">IF(AND(L731&lt;L_rampe,Poussee&lt;Poids*SIN(M731)),0,(-W731+Poussee)/m-Poids*SIN(M731)/m)</f>
        <v>5.95104214221468</v>
      </c>
      <c r="AH732" s="418" t="n">
        <f aca="false">IF(AND(L731&lt;L_rampe,Poussee&lt;Poids*SIN(M731)), g*SIN(M731), (-W731+Poussee)/m)</f>
        <v>-3.75828997940886</v>
      </c>
    </row>
    <row r="733" customFormat="false" ht="12" hidden="false" customHeight="false" outlineLevel="0" collapsed="false">
      <c r="A733" s="417" t="n">
        <f aca="false">IF(B732+0.01&lt;=T_ini+ROUNDUP(Temps_fin_propu,0), 0.01, IF(K732&gt;0, 0.1, 0.0001))</f>
        <v>0.0001</v>
      </c>
      <c r="B733" s="418" t="n">
        <f aca="false">B732+pas</f>
        <v>16.5383999999999</v>
      </c>
      <c r="C733" s="402"/>
      <c r="D733" s="419" t="n">
        <f aca="false">IF(AND(L732&lt;L_rampe,Poussee&lt;Poids*SIN(M732)),0,(-W732+Poussee)/m*COS(M732)-U732/m*SIN(M732))</f>
        <v>-0.537032844460666</v>
      </c>
      <c r="E733" s="420" t="n">
        <f aca="false">IF(AND(L732&lt;L_rampe,Poussee&lt;Poids*SIN(M732)),0,(-W732+Poussee)/m*SIN(M732)+U732/m*COS(M732)-Poids/m)</f>
        <v>-6.090211383647</v>
      </c>
      <c r="F733" s="418" t="n">
        <f aca="false">SQRT(acc_x^2+acc_z^2)</f>
        <v>6.11384322448107</v>
      </c>
      <c r="G733" s="419" t="n">
        <f aca="false">G732+acc_x*pas</f>
        <v>10.2666274781075</v>
      </c>
      <c r="H733" s="420" t="n">
        <f aca="false">H732+acc_z*pas</f>
        <v>-71.1133615840119</v>
      </c>
      <c r="I733" s="418" t="n">
        <f aca="false">SQRT(vit_x^2+vit_z^2)</f>
        <v>71.8506355960241</v>
      </c>
      <c r="J733" s="419" t="n">
        <f aca="false">J732+0.5*(vit_x+G732)*pas*(K732&gt;=0)</f>
        <v>211.791153319536</v>
      </c>
      <c r="K733" s="420" t="n">
        <f aca="false">K732+0.5*(vit_z+H732)*pas</f>
        <v>-7.15911877698747</v>
      </c>
      <c r="L733" s="418" t="n">
        <f aca="false">SQRT(pos_x^2+pos_z^2)</f>
        <v>211.912117648053</v>
      </c>
      <c r="M733" s="419" t="n">
        <f aca="false">IF(AND(L732&gt;L_rampe,G733&gt;0),ATAN2(G733,H733),$M$4)</f>
        <v>-1.42741710477686</v>
      </c>
      <c r="N733" s="418" t="n">
        <f aca="false">DEGREES(Beta)</f>
        <v>-81.784975708497</v>
      </c>
      <c r="O733" s="402"/>
      <c r="P733" s="421" t="n">
        <f aca="false">MATCH(t-pas/2-T_ini,CdP_t)</f>
        <v>23</v>
      </c>
      <c r="Q733" s="418" t="n">
        <f aca="false">(INDEX(CdP,2,i_P+1)-INDEX(CdP,2,i_P+0))/(INDEX(CdP,1,i_P+1)-INDEX(CdP,1,i_P+0))*(t-pas/2-T_ini-INDEX(CdP,1,i_P+0))+INDEX(CdP,2,i_P+0)</f>
        <v>0</v>
      </c>
      <c r="R733" s="419" t="n">
        <f aca="false">Poussee/(g*ISP)</f>
        <v>0</v>
      </c>
      <c r="S733" s="420" t="n">
        <f aca="false">S732-Débit*pas</f>
        <v>1.4843</v>
      </c>
      <c r="T733" s="418" t="n">
        <f aca="false">m*g</f>
        <v>14.560983</v>
      </c>
      <c r="U733" s="422" t="n">
        <f aca="false">IF(pos_xz&lt;L_rampe,Poids*COS(Beta),0)</f>
        <v>0</v>
      </c>
      <c r="V733" s="419" t="n">
        <f aca="false">Rho_moyen*(20000-Alt_rampe-pos_z)/(20000+Alt_rampe+pos_z)</f>
        <v>1.22587730608711</v>
      </c>
      <c r="W733" s="418" t="n">
        <f aca="false">1/2*Rho*Sref*Cx*vit_xz^2</f>
        <v>5.57862256811627</v>
      </c>
      <c r="X733" s="402"/>
      <c r="Y733" s="423" t="str">
        <f aca="false">IF(AND(pos_z&lt;=0,K732&gt;0),"Impact balistique","") &amp; IF(AND(H734&lt;0,vit_z&gt;=0),"Apogée","") &amp; IF(AND(Poussee=0,Q732&gt;0),"Fin de propulsion","") &amp; IF(AND(L734&gt;L_rampe,pos_xz&lt;=L_rampe),"Sortie de rampe","")</f>
        <v/>
      </c>
      <c r="Z733" s="424" t="str">
        <f aca="false">IF(ABS(t-T_para)&lt;pas/2,"Para","")</f>
        <v/>
      </c>
      <c r="AA733" s="425" t="str">
        <f aca="false">IF(ABS(t-T_satellite)&lt;pas/2,"Satellite","")</f>
        <v/>
      </c>
      <c r="AB733" s="413"/>
      <c r="AC733" s="421" t="e">
        <f aca="false">IF(ABS(t-ROUND(t,0))&lt;0.001,t,NA())</f>
        <v>#N/A</v>
      </c>
      <c r="AD733" s="426" t="e">
        <f aca="false">IF(ABS(t-ROUND(t,0))&lt;0.001,pos_x,NA())</f>
        <v>#N/A</v>
      </c>
      <c r="AE733" s="427" t="e">
        <f aca="false">IF(t&lt;T_para, pos_z, NA())</f>
        <v>#N/A</v>
      </c>
      <c r="AF733" s="413"/>
      <c r="AG733" s="419" t="n">
        <f aca="false">IF(AND(L732&lt;L_rampe,Poussee&lt;Poids*SIN(M732)),0,(-W732+Poussee)/m-Poids*SIN(M732)/m)</f>
        <v>5.95097994684376</v>
      </c>
      <c r="AH733" s="418" t="n">
        <f aca="false">IF(AND(L732&lt;L_rampe,Poussee&lt;Poids*SIN(M732)), g*SIN(M732), (-W732+Poussee)/m)</f>
        <v>-3.75835490958197</v>
      </c>
    </row>
    <row r="734" customFormat="false" ht="12" hidden="false" customHeight="false" outlineLevel="0" collapsed="false">
      <c r="A734" s="417" t="n">
        <f aca="false">IF(B733+0.01&lt;=T_ini+ROUNDUP(Temps_fin_propu,0), 0.01, IF(K733&gt;0, 0.1, 0.0001))</f>
        <v>0.0001</v>
      </c>
      <c r="B734" s="418" t="n">
        <f aca="false">B733+pas</f>
        <v>16.5384999999999</v>
      </c>
      <c r="C734" s="402"/>
      <c r="D734" s="419" t="n">
        <f aca="false">IF(AND(L733&lt;L_rampe,Poussee&lt;Poids*SIN(M733)),0,(-W733+Poussee)/m*COS(M733)-U733/m*SIN(M733))</f>
        <v>-0.537034865186447</v>
      </c>
      <c r="E734" s="420" t="n">
        <f aca="false">IF(AND(L733&lt;L_rampe,Poussee&lt;Poids*SIN(M733)),0,(-W733+Poussee)/m*SIN(M733)+U733/m*COS(M733)-Poids/m)</f>
        <v>-6.09014607205125</v>
      </c>
      <c r="F734" s="418" t="n">
        <f aca="false">SQRT(acc_x^2+acc_z^2)</f>
        <v>6.11377834283736</v>
      </c>
      <c r="G734" s="419" t="n">
        <f aca="false">G733+acc_x*pas</f>
        <v>10.266573774621</v>
      </c>
      <c r="H734" s="420" t="n">
        <f aca="false">H733+acc_z*pas</f>
        <v>-71.1139705986191</v>
      </c>
      <c r="I734" s="418" t="n">
        <f aca="false">SQRT(vit_x^2+vit_z^2)</f>
        <v>71.851230687936</v>
      </c>
      <c r="J734" s="419" t="n">
        <f aca="false">J733+0.5*(vit_x+G733)*pas*(K733&gt;=0)</f>
        <v>211.791153319536</v>
      </c>
      <c r="K734" s="420" t="n">
        <f aca="false">K733+0.5*(vit_z+H733)*pas</f>
        <v>-7.1662301435966</v>
      </c>
      <c r="L734" s="418" t="n">
        <f aca="false">SQRT(pos_x^2+pos_z^2)</f>
        <v>211.912358013614</v>
      </c>
      <c r="M734" s="419" t="n">
        <f aca="false">IF(AND(L733&gt;L_rampe,G734&gt;0),ATAN2(G734,H734),$M$4)</f>
        <v>-1.42741905566328</v>
      </c>
      <c r="N734" s="418" t="n">
        <f aca="false">DEGREES(Beta)</f>
        <v>-81.7850874860553</v>
      </c>
      <c r="O734" s="402"/>
      <c r="P734" s="421" t="n">
        <f aca="false">MATCH(t-pas/2-T_ini,CdP_t)</f>
        <v>23</v>
      </c>
      <c r="Q734" s="418" t="n">
        <f aca="false">(INDEX(CdP,2,i_P+1)-INDEX(CdP,2,i_P+0))/(INDEX(CdP,1,i_P+1)-INDEX(CdP,1,i_P+0))*(t-pas/2-T_ini-INDEX(CdP,1,i_P+0))+INDEX(CdP,2,i_P+0)</f>
        <v>0</v>
      </c>
      <c r="R734" s="419" t="n">
        <f aca="false">Poussee/(g*ISP)</f>
        <v>0</v>
      </c>
      <c r="S734" s="420" t="n">
        <f aca="false">S733-Débit*pas</f>
        <v>1.4843</v>
      </c>
      <c r="T734" s="418" t="n">
        <f aca="false">m*g</f>
        <v>14.560983</v>
      </c>
      <c r="U734" s="422" t="n">
        <f aca="false">IF(pos_xz&lt;L_rampe,Poids*COS(Beta),0)</f>
        <v>0</v>
      </c>
      <c r="V734" s="419" t="n">
        <f aca="false">Rho_moyen*(20000-Alt_rampe-pos_z)/(20000+Alt_rampe+pos_z)</f>
        <v>1.22587817785382</v>
      </c>
      <c r="W734" s="418" t="n">
        <f aca="false">1/2*Rho*Sref*Cx*vit_xz^2</f>
        <v>5.57871894390783</v>
      </c>
      <c r="X734" s="402"/>
      <c r="Y734" s="423" t="str">
        <f aca="false">IF(AND(pos_z&lt;=0,K733&gt;0),"Impact balistique","") &amp; IF(AND(H735&lt;0,vit_z&gt;=0),"Apogée","") &amp; IF(AND(Poussee=0,Q733&gt;0),"Fin de propulsion","") &amp; IF(AND(L735&gt;L_rampe,pos_xz&lt;=L_rampe),"Sortie de rampe","")</f>
        <v/>
      </c>
      <c r="Z734" s="424" t="str">
        <f aca="false">IF(ABS(t-T_para)&lt;pas/2,"Para","")</f>
        <v/>
      </c>
      <c r="AA734" s="425" t="str">
        <f aca="false">IF(ABS(t-T_satellite)&lt;pas/2,"Satellite","")</f>
        <v/>
      </c>
      <c r="AB734" s="413"/>
      <c r="AC734" s="421" t="e">
        <f aca="false">IF(ABS(t-ROUND(t,0))&lt;0.001,t,NA())</f>
        <v>#N/A</v>
      </c>
      <c r="AD734" s="426" t="e">
        <f aca="false">IF(ABS(t-ROUND(t,0))&lt;0.001,pos_x,NA())</f>
        <v>#N/A</v>
      </c>
      <c r="AE734" s="427" t="e">
        <f aca="false">IF(t&lt;T_para, pos_z, NA())</f>
        <v>#N/A</v>
      </c>
      <c r="AF734" s="413"/>
      <c r="AG734" s="419" t="n">
        <f aca="false">IF(AND(L733&lt;L_rampe,Poussee&lt;Poids*SIN(M733)),0,(-W733+Poussee)/m-Poids*SIN(M733)/m)</f>
        <v>5.95091775139795</v>
      </c>
      <c r="AH734" s="418" t="n">
        <f aca="false">IF(AND(L733&lt;L_rampe,Poussee&lt;Poids*SIN(M733)), g*SIN(M733), (-W733+Poussee)/m)</f>
        <v>-3.75841983973339</v>
      </c>
    </row>
    <row r="735" customFormat="false" ht="12" hidden="false" customHeight="false" outlineLevel="0" collapsed="false">
      <c r="A735" s="417" t="n">
        <f aca="false">IF(B734+0.01&lt;=T_ini+ROUNDUP(Temps_fin_propu,0), 0.01, IF(K734&gt;0, 0.1, 0.0001))</f>
        <v>0.0001</v>
      </c>
      <c r="B735" s="418" t="n">
        <f aca="false">B734+pas</f>
        <v>16.5385999999999</v>
      </c>
      <c r="C735" s="402"/>
      <c r="D735" s="419" t="n">
        <f aca="false">IF(AND(L734&lt;L_rampe,Poussee&lt;Poids*SIN(M734)),0,(-W734+Poussee)/m*COS(M734)-U734/m*SIN(M734))</f>
        <v>-0.537036885814512</v>
      </c>
      <c r="E735" s="420" t="n">
        <f aca="false">IF(AND(L734&lt;L_rampe,Poussee&lt;Poids*SIN(M734)),0,(-W734+Poussee)/m*SIN(M734)+U734/m*COS(M734)-Poids/m)</f>
        <v>-6.09008076047776</v>
      </c>
      <c r="F735" s="418" t="n">
        <f aca="false">SQRT(acc_x^2+acc_z^2)</f>
        <v>6.11371346121707</v>
      </c>
      <c r="G735" s="419" t="n">
        <f aca="false">G734+acc_x*pas</f>
        <v>10.2665200709324</v>
      </c>
      <c r="H735" s="420" t="n">
        <f aca="false">H734+acc_z*pas</f>
        <v>-71.1145796066951</v>
      </c>
      <c r="I735" s="418" t="n">
        <f aca="false">SQRT(vit_x^2+vit_z^2)</f>
        <v>71.8518257736283</v>
      </c>
      <c r="J735" s="419" t="n">
        <f aca="false">J734+0.5*(vit_x+G734)*pas*(K734&gt;=0)</f>
        <v>211.791153319536</v>
      </c>
      <c r="K735" s="420" t="n">
        <f aca="false">K734+0.5*(vit_z+H734)*pas</f>
        <v>-7.17334157110686</v>
      </c>
      <c r="L735" s="418" t="n">
        <f aca="false">SQRT(pos_x^2+pos_z^2)</f>
        <v>211.912598619608</v>
      </c>
      <c r="M735" s="419" t="n">
        <f aca="false">IF(AND(L734&gt;L_rampe,G735&gt;0),ATAN2(G735,H735),$M$4)</f>
        <v>-1.42742100650718</v>
      </c>
      <c r="N735" s="418" t="n">
        <f aca="false">DEGREES(Beta)</f>
        <v>-81.7851992611773</v>
      </c>
      <c r="O735" s="402"/>
      <c r="P735" s="421" t="n">
        <f aca="false">MATCH(t-pas/2-T_ini,CdP_t)</f>
        <v>23</v>
      </c>
      <c r="Q735" s="418" t="n">
        <f aca="false">(INDEX(CdP,2,i_P+1)-INDEX(CdP,2,i_P+0))/(INDEX(CdP,1,i_P+1)-INDEX(CdP,1,i_P+0))*(t-pas/2-T_ini-INDEX(CdP,1,i_P+0))+INDEX(CdP,2,i_P+0)</f>
        <v>0</v>
      </c>
      <c r="R735" s="419" t="n">
        <f aca="false">Poussee/(g*ISP)</f>
        <v>0</v>
      </c>
      <c r="S735" s="420" t="n">
        <f aca="false">S734-Débit*pas</f>
        <v>1.4843</v>
      </c>
      <c r="T735" s="418" t="n">
        <f aca="false">m*g</f>
        <v>14.560983</v>
      </c>
      <c r="U735" s="422" t="n">
        <f aca="false">IF(pos_xz&lt;L_rampe,Poids*COS(Beta),0)</f>
        <v>0</v>
      </c>
      <c r="V735" s="419" t="n">
        <f aca="false">Rho_moyen*(20000-Alt_rampe-pos_z)/(20000+Alt_rampe+pos_z)</f>
        <v>1.22587904962862</v>
      </c>
      <c r="W735" s="418" t="n">
        <f aca="false">1/2*Rho*Sref*Cx*vit_xz^2</f>
        <v>5.57881531966715</v>
      </c>
      <c r="X735" s="402"/>
      <c r="Y735" s="423" t="str">
        <f aca="false">IF(AND(pos_z&lt;=0,K734&gt;0),"Impact balistique","") &amp; IF(AND(H736&lt;0,vit_z&gt;=0),"Apogée","") &amp; IF(AND(Poussee=0,Q734&gt;0),"Fin de propulsion","") &amp; IF(AND(L736&gt;L_rampe,pos_xz&lt;=L_rampe),"Sortie de rampe","")</f>
        <v/>
      </c>
      <c r="Z735" s="424" t="str">
        <f aca="false">IF(ABS(t-T_para)&lt;pas/2,"Para","")</f>
        <v/>
      </c>
      <c r="AA735" s="425" t="str">
        <f aca="false">IF(ABS(t-T_satellite)&lt;pas/2,"Satellite","")</f>
        <v/>
      </c>
      <c r="AB735" s="413"/>
      <c r="AC735" s="421" t="e">
        <f aca="false">IF(ABS(t-ROUND(t,0))&lt;0.001,t,NA())</f>
        <v>#N/A</v>
      </c>
      <c r="AD735" s="426" t="e">
        <f aca="false">IF(ABS(t-ROUND(t,0))&lt;0.001,pos_x,NA())</f>
        <v>#N/A</v>
      </c>
      <c r="AE735" s="427" t="e">
        <f aca="false">IF(t&lt;T_para, pos_z, NA())</f>
        <v>#N/A</v>
      </c>
      <c r="AF735" s="413"/>
      <c r="AG735" s="419" t="n">
        <f aca="false">IF(AND(L734&lt;L_rampe,Poussee&lt;Poids*SIN(M734)),0,(-W734+Poussee)/m-Poids*SIN(M734)/m)</f>
        <v>5.95085555587728</v>
      </c>
      <c r="AH735" s="418" t="n">
        <f aca="false">IF(AND(L734&lt;L_rampe,Poussee&lt;Poids*SIN(M734)), g*SIN(M734), (-W734+Poussee)/m)</f>
        <v>-3.75848476986312</v>
      </c>
    </row>
    <row r="736" customFormat="false" ht="12" hidden="false" customHeight="false" outlineLevel="0" collapsed="false">
      <c r="A736" s="417" t="n">
        <f aca="false">IF(B735+0.01&lt;=T_ini+ROUNDUP(Temps_fin_propu,0), 0.01, IF(K735&gt;0, 0.1, 0.0001))</f>
        <v>0.0001</v>
      </c>
      <c r="B736" s="418" t="n">
        <f aca="false">B735+pas</f>
        <v>16.5386999999999</v>
      </c>
      <c r="C736" s="402"/>
      <c r="D736" s="419" t="n">
        <f aca="false">IF(AND(L735&lt;L_rampe,Poussee&lt;Poids*SIN(M735)),0,(-W735+Poussee)/m*COS(M735)-U735/m*SIN(M735))</f>
        <v>-0.53703890634486</v>
      </c>
      <c r="E736" s="420" t="n">
        <f aca="false">IF(AND(L735&lt;L_rampe,Poussee&lt;Poids*SIN(M735)),0,(-W735+Poussee)/m*SIN(M735)+U735/m*COS(M735)-Poids/m)</f>
        <v>-6.09001544892656</v>
      </c>
      <c r="F736" s="418" t="n">
        <f aca="false">SQRT(acc_x^2+acc_z^2)</f>
        <v>6.11364857962022</v>
      </c>
      <c r="G736" s="419" t="n">
        <f aca="false">G735+acc_x*pas</f>
        <v>10.2664663670418</v>
      </c>
      <c r="H736" s="420" t="n">
        <f aca="false">H735+acc_z*pas</f>
        <v>-71.11518860824</v>
      </c>
      <c r="I736" s="418" t="n">
        <f aca="false">SQRT(vit_x^2+vit_z^2)</f>
        <v>71.8524208531011</v>
      </c>
      <c r="J736" s="419" t="n">
        <f aca="false">J735+0.5*(vit_x+G735)*pas*(K735&gt;=0)</f>
        <v>211.791153319536</v>
      </c>
      <c r="K736" s="420" t="n">
        <f aca="false">K735+0.5*(vit_z+H735)*pas</f>
        <v>-7.18045305951761</v>
      </c>
      <c r="L736" s="418" t="n">
        <f aca="false">SQRT(pos_x^2+pos_z^2)</f>
        <v>211.912839466039</v>
      </c>
      <c r="M736" s="419" t="n">
        <f aca="false">IF(AND(L735&gt;L_rampe,G736&gt;0),ATAN2(G736,H736),$M$4)</f>
        <v>-1.42742295730856</v>
      </c>
      <c r="N736" s="418" t="n">
        <f aca="false">DEGREES(Beta)</f>
        <v>-81.7853110338632</v>
      </c>
      <c r="O736" s="402"/>
      <c r="P736" s="421" t="n">
        <f aca="false">MATCH(t-pas/2-T_ini,CdP_t)</f>
        <v>23</v>
      </c>
      <c r="Q736" s="418" t="n">
        <f aca="false">(INDEX(CdP,2,i_P+1)-INDEX(CdP,2,i_P+0))/(INDEX(CdP,1,i_P+1)-INDEX(CdP,1,i_P+0))*(t-pas/2-T_ini-INDEX(CdP,1,i_P+0))+INDEX(CdP,2,i_P+0)</f>
        <v>0</v>
      </c>
      <c r="R736" s="419" t="n">
        <f aca="false">Poussee/(g*ISP)</f>
        <v>0</v>
      </c>
      <c r="S736" s="420" t="n">
        <f aca="false">S735-Débit*pas</f>
        <v>1.4843</v>
      </c>
      <c r="T736" s="418" t="n">
        <f aca="false">m*g</f>
        <v>14.560983</v>
      </c>
      <c r="U736" s="422" t="n">
        <f aca="false">IF(pos_xz&lt;L_rampe,Poids*COS(Beta),0)</f>
        <v>0</v>
      </c>
      <c r="V736" s="419" t="n">
        <f aca="false">Rho_moyen*(20000-Alt_rampe-pos_z)/(20000+Alt_rampe+pos_z)</f>
        <v>1.22587992141151</v>
      </c>
      <c r="W736" s="418" t="n">
        <f aca="false">1/2*Rho*Sref*Cx*vit_xz^2</f>
        <v>5.57891169539423</v>
      </c>
      <c r="X736" s="402"/>
      <c r="Y736" s="423" t="str">
        <f aca="false">IF(AND(pos_z&lt;=0,K735&gt;0),"Impact balistique","") &amp; IF(AND(H737&lt;0,vit_z&gt;=0),"Apogée","") &amp; IF(AND(Poussee=0,Q735&gt;0),"Fin de propulsion","") &amp; IF(AND(L737&gt;L_rampe,pos_xz&lt;=L_rampe),"Sortie de rampe","")</f>
        <v/>
      </c>
      <c r="Z736" s="424" t="str">
        <f aca="false">IF(ABS(t-T_para)&lt;pas/2,"Para","")</f>
        <v/>
      </c>
      <c r="AA736" s="425" t="str">
        <f aca="false">IF(ABS(t-T_satellite)&lt;pas/2,"Satellite","")</f>
        <v/>
      </c>
      <c r="AB736" s="413"/>
      <c r="AC736" s="421" t="e">
        <f aca="false">IF(ABS(t-ROUND(t,0))&lt;0.001,t,NA())</f>
        <v>#N/A</v>
      </c>
      <c r="AD736" s="426" t="e">
        <f aca="false">IF(ABS(t-ROUND(t,0))&lt;0.001,pos_x,NA())</f>
        <v>#N/A</v>
      </c>
      <c r="AE736" s="427" t="e">
        <f aca="false">IF(t&lt;T_para, pos_z, NA())</f>
        <v>#N/A</v>
      </c>
      <c r="AF736" s="413"/>
      <c r="AG736" s="419" t="n">
        <f aca="false">IF(AND(L735&lt;L_rampe,Poussee&lt;Poids*SIN(M735)),0,(-W735+Poussee)/m-Poids*SIN(M735)/m)</f>
        <v>5.95079336028177</v>
      </c>
      <c r="AH736" s="418" t="n">
        <f aca="false">IF(AND(L735&lt;L_rampe,Poussee&lt;Poids*SIN(M735)), g*SIN(M735), (-W735+Poussee)/m)</f>
        <v>-3.75854969997114</v>
      </c>
    </row>
    <row r="737" customFormat="false" ht="12" hidden="false" customHeight="false" outlineLevel="0" collapsed="false">
      <c r="A737" s="417" t="n">
        <f aca="false">IF(B736+0.01&lt;=T_ini+ROUNDUP(Temps_fin_propu,0), 0.01, IF(K736&gt;0, 0.1, 0.0001))</f>
        <v>0.0001</v>
      </c>
      <c r="B737" s="418" t="n">
        <f aca="false">B736+pas</f>
        <v>16.5387999999999</v>
      </c>
      <c r="C737" s="402"/>
      <c r="D737" s="419" t="n">
        <f aca="false">IF(AND(L736&lt;L_rampe,Poussee&lt;Poids*SIN(M736)),0,(-W736+Poussee)/m*COS(M736)-U736/m*SIN(M736))</f>
        <v>-0.537040926777493</v>
      </c>
      <c r="E737" s="420" t="n">
        <f aca="false">IF(AND(L736&lt;L_rampe,Poussee&lt;Poids*SIN(M736)),0,(-W736+Poussee)/m*SIN(M736)+U736/m*COS(M736)-Poids/m)</f>
        <v>-6.08995013739766</v>
      </c>
      <c r="F737" s="418" t="n">
        <f aca="false">SQRT(acc_x^2+acc_z^2)</f>
        <v>6.11358369804682</v>
      </c>
      <c r="G737" s="419" t="n">
        <f aca="false">G736+acc_x*pas</f>
        <v>10.2664126629491</v>
      </c>
      <c r="H737" s="420" t="n">
        <f aca="false">H736+acc_z*pas</f>
        <v>-71.1157976032537</v>
      </c>
      <c r="I737" s="418" t="n">
        <f aca="false">SQRT(vit_x^2+vit_z^2)</f>
        <v>71.8530159263542</v>
      </c>
      <c r="J737" s="419" t="n">
        <f aca="false">J736+0.5*(vit_x+G736)*pas*(K736&gt;=0)</f>
        <v>211.791153319536</v>
      </c>
      <c r="K737" s="420" t="n">
        <f aca="false">K736+0.5*(vit_z+H736)*pas</f>
        <v>-7.18756460882818</v>
      </c>
      <c r="L737" s="418" t="n">
        <f aca="false">SQRT(pos_x^2+pos_z^2)</f>
        <v>211.913080552913</v>
      </c>
      <c r="M737" s="419" t="n">
        <f aca="false">IF(AND(L736&gt;L_rampe,G737&gt;0),ATAN2(G737,H737),$M$4)</f>
        <v>-1.42742490806743</v>
      </c>
      <c r="N737" s="418" t="n">
        <f aca="false">DEGREES(Beta)</f>
        <v>-81.7854228041131</v>
      </c>
      <c r="O737" s="402"/>
      <c r="P737" s="421" t="n">
        <f aca="false">MATCH(t-pas/2-T_ini,CdP_t)</f>
        <v>23</v>
      </c>
      <c r="Q737" s="418" t="n">
        <f aca="false">(INDEX(CdP,2,i_P+1)-INDEX(CdP,2,i_P+0))/(INDEX(CdP,1,i_P+1)-INDEX(CdP,1,i_P+0))*(t-pas/2-T_ini-INDEX(CdP,1,i_P+0))+INDEX(CdP,2,i_P+0)</f>
        <v>0</v>
      </c>
      <c r="R737" s="419" t="n">
        <f aca="false">Poussee/(g*ISP)</f>
        <v>0</v>
      </c>
      <c r="S737" s="420" t="n">
        <f aca="false">S736-Débit*pas</f>
        <v>1.4843</v>
      </c>
      <c r="T737" s="418" t="n">
        <f aca="false">m*g</f>
        <v>14.560983</v>
      </c>
      <c r="U737" s="422" t="n">
        <f aca="false">IF(pos_xz&lt;L_rampe,Poids*COS(Beta),0)</f>
        <v>0</v>
      </c>
      <c r="V737" s="419" t="n">
        <f aca="false">Rho_moyen*(20000-Alt_rampe-pos_z)/(20000+Alt_rampe+pos_z)</f>
        <v>1.22588079320248</v>
      </c>
      <c r="W737" s="418" t="n">
        <f aca="false">1/2*Rho*Sref*Cx*vit_xz^2</f>
        <v>5.57900807108903</v>
      </c>
      <c r="X737" s="402"/>
      <c r="Y737" s="423" t="str">
        <f aca="false">IF(AND(pos_z&lt;=0,K736&gt;0),"Impact balistique","") &amp; IF(AND(H738&lt;0,vit_z&gt;=0),"Apogée","") &amp; IF(AND(Poussee=0,Q736&gt;0),"Fin de propulsion","") &amp; IF(AND(L738&gt;L_rampe,pos_xz&lt;=L_rampe),"Sortie de rampe","")</f>
        <v/>
      </c>
      <c r="Z737" s="424" t="str">
        <f aca="false">IF(ABS(t-T_para)&lt;pas/2,"Para","")</f>
        <v/>
      </c>
      <c r="AA737" s="425" t="str">
        <f aca="false">IF(ABS(t-T_satellite)&lt;pas/2,"Satellite","")</f>
        <v/>
      </c>
      <c r="AB737" s="413"/>
      <c r="AC737" s="421" t="e">
        <f aca="false">IF(ABS(t-ROUND(t,0))&lt;0.001,t,NA())</f>
        <v>#N/A</v>
      </c>
      <c r="AD737" s="426" t="e">
        <f aca="false">IF(ABS(t-ROUND(t,0))&lt;0.001,pos_x,NA())</f>
        <v>#N/A</v>
      </c>
      <c r="AE737" s="427" t="e">
        <f aca="false">IF(t&lt;T_para, pos_z, NA())</f>
        <v>#N/A</v>
      </c>
      <c r="AF737" s="413"/>
      <c r="AG737" s="419" t="n">
        <f aca="false">IF(AND(L736&lt;L_rampe,Poussee&lt;Poids*SIN(M736)),0,(-W736+Poussee)/m-Poids*SIN(M736)/m)</f>
        <v>5.95073116461145</v>
      </c>
      <c r="AH737" s="418" t="n">
        <f aca="false">IF(AND(L736&lt;L_rampe,Poussee&lt;Poids*SIN(M736)), g*SIN(M736), (-W736+Poussee)/m)</f>
        <v>-3.75861463005743</v>
      </c>
    </row>
    <row r="738" customFormat="false" ht="12" hidden="false" customHeight="false" outlineLevel="0" collapsed="false">
      <c r="A738" s="417" t="n">
        <f aca="false">IF(B737+0.01&lt;=T_ini+ROUNDUP(Temps_fin_propu,0), 0.01, IF(K737&gt;0, 0.1, 0.0001))</f>
        <v>0.0001</v>
      </c>
      <c r="B738" s="418" t="n">
        <f aca="false">B737+pas</f>
        <v>16.5388999999999</v>
      </c>
      <c r="C738" s="402"/>
      <c r="D738" s="419" t="n">
        <f aca="false">IF(AND(L737&lt;L_rampe,Poussee&lt;Poids*SIN(M737)),0,(-W737+Poussee)/m*COS(M737)-U737/m*SIN(M737))</f>
        <v>-0.53704294711241</v>
      </c>
      <c r="E738" s="420" t="n">
        <f aca="false">IF(AND(L737&lt;L_rampe,Poussee&lt;Poids*SIN(M737)),0,(-W737+Poussee)/m*SIN(M737)+U737/m*COS(M737)-Poids/m)</f>
        <v>-6.08988482589107</v>
      </c>
      <c r="F738" s="418" t="n">
        <f aca="false">SQRT(acc_x^2+acc_z^2)</f>
        <v>6.11351881649689</v>
      </c>
      <c r="G738" s="419" t="n">
        <f aca="false">G737+acc_x*pas</f>
        <v>10.2663589586544</v>
      </c>
      <c r="H738" s="420" t="n">
        <f aca="false">H737+acc_z*pas</f>
        <v>-71.1164065917363</v>
      </c>
      <c r="I738" s="418" t="n">
        <f aca="false">SQRT(vit_x^2+vit_z^2)</f>
        <v>71.8536109933878</v>
      </c>
      <c r="J738" s="419" t="n">
        <f aca="false">J737+0.5*(vit_x+G737)*pas*(K737&gt;=0)</f>
        <v>211.791153319536</v>
      </c>
      <c r="K738" s="420" t="n">
        <f aca="false">K737+0.5*(vit_z+H737)*pas</f>
        <v>-7.19467621903793</v>
      </c>
      <c r="L738" s="418" t="n">
        <f aca="false">SQRT(pos_x^2+pos_z^2)</f>
        <v>211.913321880235</v>
      </c>
      <c r="M738" s="419" t="n">
        <f aca="false">IF(AND(L737&gt;L_rampe,G738&gt;0),ATAN2(G738,H738),$M$4)</f>
        <v>-1.42742685878378</v>
      </c>
      <c r="N738" s="418" t="n">
        <f aca="false">DEGREES(Beta)</f>
        <v>-81.785534571927</v>
      </c>
      <c r="O738" s="402"/>
      <c r="P738" s="421" t="n">
        <f aca="false">MATCH(t-pas/2-T_ini,CdP_t)</f>
        <v>23</v>
      </c>
      <c r="Q738" s="418" t="n">
        <f aca="false">(INDEX(CdP,2,i_P+1)-INDEX(CdP,2,i_P+0))/(INDEX(CdP,1,i_P+1)-INDEX(CdP,1,i_P+0))*(t-pas/2-T_ini-INDEX(CdP,1,i_P+0))+INDEX(CdP,2,i_P+0)</f>
        <v>0</v>
      </c>
      <c r="R738" s="419" t="n">
        <f aca="false">Poussee/(g*ISP)</f>
        <v>0</v>
      </c>
      <c r="S738" s="420" t="n">
        <f aca="false">S737-Débit*pas</f>
        <v>1.4843</v>
      </c>
      <c r="T738" s="418" t="n">
        <f aca="false">m*g</f>
        <v>14.560983</v>
      </c>
      <c r="U738" s="422" t="n">
        <f aca="false">IF(pos_xz&lt;L_rampe,Poids*COS(Beta),0)</f>
        <v>0</v>
      </c>
      <c r="V738" s="419" t="n">
        <f aca="false">Rho_moyen*(20000-Alt_rampe-pos_z)/(20000+Alt_rampe+pos_z)</f>
        <v>1.22588166500154</v>
      </c>
      <c r="W738" s="418" t="n">
        <f aca="false">1/2*Rho*Sref*Cx*vit_xz^2</f>
        <v>5.57910444675153</v>
      </c>
      <c r="X738" s="402"/>
      <c r="Y738" s="423" t="str">
        <f aca="false">IF(AND(pos_z&lt;=0,K737&gt;0),"Impact balistique","") &amp; IF(AND(H739&lt;0,vit_z&gt;=0),"Apogée","") &amp; IF(AND(Poussee=0,Q737&gt;0),"Fin de propulsion","") &amp; IF(AND(L739&gt;L_rampe,pos_xz&lt;=L_rampe),"Sortie de rampe","")</f>
        <v/>
      </c>
      <c r="Z738" s="424" t="str">
        <f aca="false">IF(ABS(t-T_para)&lt;pas/2,"Para","")</f>
        <v/>
      </c>
      <c r="AA738" s="425" t="str">
        <f aca="false">IF(ABS(t-T_satellite)&lt;pas/2,"Satellite","")</f>
        <v/>
      </c>
      <c r="AB738" s="413"/>
      <c r="AC738" s="421" t="e">
        <f aca="false">IF(ABS(t-ROUND(t,0))&lt;0.001,t,NA())</f>
        <v>#N/A</v>
      </c>
      <c r="AD738" s="426" t="e">
        <f aca="false">IF(ABS(t-ROUND(t,0))&lt;0.001,pos_x,NA())</f>
        <v>#N/A</v>
      </c>
      <c r="AE738" s="427" t="e">
        <f aca="false">IF(t&lt;T_para, pos_z, NA())</f>
        <v>#N/A</v>
      </c>
      <c r="AF738" s="413"/>
      <c r="AG738" s="419" t="n">
        <f aca="false">IF(AND(L737&lt;L_rampe,Poussee&lt;Poids*SIN(M737)),0,(-W737+Poussee)/m-Poids*SIN(M737)/m)</f>
        <v>5.95066896886632</v>
      </c>
      <c r="AH738" s="418" t="n">
        <f aca="false">IF(AND(L737&lt;L_rampe,Poussee&lt;Poids*SIN(M737)), g*SIN(M737), (-W737+Poussee)/m)</f>
        <v>-3.75867956012197</v>
      </c>
    </row>
    <row r="739" customFormat="false" ht="12" hidden="false" customHeight="false" outlineLevel="0" collapsed="false">
      <c r="A739" s="417" t="n">
        <f aca="false">IF(B738+0.01&lt;=T_ini+ROUNDUP(Temps_fin_propu,0), 0.01, IF(K738&gt;0, 0.1, 0.0001))</f>
        <v>0.0001</v>
      </c>
      <c r="B739" s="418" t="n">
        <f aca="false">B738+pas</f>
        <v>16.5389999999999</v>
      </c>
      <c r="C739" s="402"/>
      <c r="D739" s="419" t="n">
        <f aca="false">IF(AND(L738&lt;L_rampe,Poussee&lt;Poids*SIN(M738)),0,(-W738+Poussee)/m*COS(M738)-U738/m*SIN(M738))</f>
        <v>-0.537044967349614</v>
      </c>
      <c r="E739" s="420" t="n">
        <f aca="false">IF(AND(L738&lt;L_rampe,Poussee&lt;Poids*SIN(M738)),0,(-W738+Poussee)/m*SIN(M738)+U738/m*COS(M738)-Poids/m)</f>
        <v>-6.08981951440682</v>
      </c>
      <c r="F739" s="418" t="n">
        <f aca="false">SQRT(acc_x^2+acc_z^2)</f>
        <v>6.11345393497045</v>
      </c>
      <c r="G739" s="419" t="n">
        <f aca="false">G738+acc_x*pas</f>
        <v>10.2663052541577</v>
      </c>
      <c r="H739" s="420" t="n">
        <f aca="false">H738+acc_z*pas</f>
        <v>-71.1170155736878</v>
      </c>
      <c r="I739" s="418" t="n">
        <f aca="false">SQRT(vit_x^2+vit_z^2)</f>
        <v>71.8542060542018</v>
      </c>
      <c r="J739" s="419" t="n">
        <f aca="false">J738+0.5*(vit_x+G738)*pas*(K738&gt;=0)</f>
        <v>211.791153319536</v>
      </c>
      <c r="K739" s="420" t="n">
        <f aca="false">K738+0.5*(vit_z+H738)*pas</f>
        <v>-7.2017878901462</v>
      </c>
      <c r="L739" s="418" t="n">
        <f aca="false">SQRT(pos_x^2+pos_z^2)</f>
        <v>211.91356344801</v>
      </c>
      <c r="M739" s="419" t="n">
        <f aca="false">IF(AND(L738&gt;L_rampe,G739&gt;0),ATAN2(G739,H739),$M$4)</f>
        <v>-1.42742880945761</v>
      </c>
      <c r="N739" s="418" t="n">
        <f aca="false">DEGREES(Beta)</f>
        <v>-81.785646337305</v>
      </c>
      <c r="O739" s="402"/>
      <c r="P739" s="421" t="n">
        <f aca="false">MATCH(t-pas/2-T_ini,CdP_t)</f>
        <v>23</v>
      </c>
      <c r="Q739" s="418" t="n">
        <f aca="false">(INDEX(CdP,2,i_P+1)-INDEX(CdP,2,i_P+0))/(INDEX(CdP,1,i_P+1)-INDEX(CdP,1,i_P+0))*(t-pas/2-T_ini-INDEX(CdP,1,i_P+0))+INDEX(CdP,2,i_P+0)</f>
        <v>0</v>
      </c>
      <c r="R739" s="419" t="n">
        <f aca="false">Poussee/(g*ISP)</f>
        <v>0</v>
      </c>
      <c r="S739" s="420" t="n">
        <f aca="false">S738-Débit*pas</f>
        <v>1.4843</v>
      </c>
      <c r="T739" s="418" t="n">
        <f aca="false">m*g</f>
        <v>14.560983</v>
      </c>
      <c r="U739" s="422" t="n">
        <f aca="false">IF(pos_xz&lt;L_rampe,Poids*COS(Beta),0)</f>
        <v>0</v>
      </c>
      <c r="V739" s="419" t="n">
        <f aca="false">Rho_moyen*(20000-Alt_rampe-pos_z)/(20000+Alt_rampe+pos_z)</f>
        <v>1.22588253680869</v>
      </c>
      <c r="W739" s="418" t="n">
        <f aca="false">1/2*Rho*Sref*Cx*vit_xz^2</f>
        <v>5.57920082238171</v>
      </c>
      <c r="X739" s="402"/>
      <c r="Y739" s="423" t="str">
        <f aca="false">IF(AND(pos_z&lt;=0,K738&gt;0),"Impact balistique","") &amp; IF(AND(H740&lt;0,vit_z&gt;=0),"Apogée","") &amp; IF(AND(Poussee=0,Q738&gt;0),"Fin de propulsion","") &amp; IF(AND(L740&gt;L_rampe,pos_xz&lt;=L_rampe),"Sortie de rampe","")</f>
        <v/>
      </c>
      <c r="Z739" s="424" t="str">
        <f aca="false">IF(ABS(t-T_para)&lt;pas/2,"Para","")</f>
        <v/>
      </c>
      <c r="AA739" s="425" t="str">
        <f aca="false">IF(ABS(t-T_satellite)&lt;pas/2,"Satellite","")</f>
        <v/>
      </c>
      <c r="AB739" s="413"/>
      <c r="AC739" s="421" t="e">
        <f aca="false">IF(ABS(t-ROUND(t,0))&lt;0.001,t,NA())</f>
        <v>#N/A</v>
      </c>
      <c r="AD739" s="426" t="e">
        <f aca="false">IF(ABS(t-ROUND(t,0))&lt;0.001,pos_x,NA())</f>
        <v>#N/A</v>
      </c>
      <c r="AE739" s="427" t="e">
        <f aca="false">IF(t&lt;T_para, pos_z, NA())</f>
        <v>#N/A</v>
      </c>
      <c r="AF739" s="413"/>
      <c r="AG739" s="419" t="n">
        <f aca="false">IF(AND(L738&lt;L_rampe,Poussee&lt;Poids*SIN(M738)),0,(-W738+Poussee)/m-Poids*SIN(M738)/m)</f>
        <v>5.95060677304642</v>
      </c>
      <c r="AH739" s="418" t="n">
        <f aca="false">IF(AND(L738&lt;L_rampe,Poussee&lt;Poids*SIN(M738)), g*SIN(M738), (-W738+Poussee)/m)</f>
        <v>-3.75874449016475</v>
      </c>
    </row>
    <row r="740" customFormat="false" ht="12" hidden="false" customHeight="false" outlineLevel="0" collapsed="false">
      <c r="A740" s="417" t="n">
        <f aca="false">IF(B739+0.01&lt;=T_ini+ROUNDUP(Temps_fin_propu,0), 0.01, IF(K739&gt;0, 0.1, 0.0001))</f>
        <v>0.0001</v>
      </c>
      <c r="B740" s="418" t="n">
        <f aca="false">B739+pas</f>
        <v>16.5390999999999</v>
      </c>
      <c r="C740" s="402"/>
      <c r="D740" s="419" t="n">
        <f aca="false">IF(AND(L739&lt;L_rampe,Poussee&lt;Poids*SIN(M739)),0,(-W739+Poussee)/m*COS(M739)-U739/m*SIN(M739))</f>
        <v>-0.537046987489103</v>
      </c>
      <c r="E740" s="420" t="n">
        <f aca="false">IF(AND(L739&lt;L_rampe,Poussee&lt;Poids*SIN(M739)),0,(-W739+Poussee)/m*SIN(M739)+U739/m*COS(M739)-Poids/m)</f>
        <v>-6.08975420294491</v>
      </c>
      <c r="F740" s="418" t="n">
        <f aca="false">SQRT(acc_x^2+acc_z^2)</f>
        <v>6.11338905346751</v>
      </c>
      <c r="G740" s="419" t="n">
        <f aca="false">G739+acc_x*pas</f>
        <v>10.2662515494589</v>
      </c>
      <c r="H740" s="420" t="n">
        <f aca="false">H739+acc_z*pas</f>
        <v>-71.1176245491081</v>
      </c>
      <c r="I740" s="418" t="n">
        <f aca="false">SQRT(vit_x^2+vit_z^2)</f>
        <v>71.8548011087962</v>
      </c>
      <c r="J740" s="419" t="n">
        <f aca="false">J739+0.5*(vit_x+G739)*pas*(K739&gt;=0)</f>
        <v>211.791153319536</v>
      </c>
      <c r="K740" s="420" t="n">
        <f aca="false">K739+0.5*(vit_z+H739)*pas</f>
        <v>-7.20889962215234</v>
      </c>
      <c r="L740" s="418" t="n">
        <f aca="false">SQRT(pos_x^2+pos_z^2)</f>
        <v>211.913805256245</v>
      </c>
      <c r="M740" s="419" t="n">
        <f aca="false">IF(AND(L739&gt;L_rampe,G740&gt;0),ATAN2(G740,H740),$M$4)</f>
        <v>-1.42743076008894</v>
      </c>
      <c r="N740" s="418" t="n">
        <f aca="false">DEGREES(Beta)</f>
        <v>-81.7857581002472</v>
      </c>
      <c r="O740" s="402"/>
      <c r="P740" s="421" t="n">
        <f aca="false">MATCH(t-pas/2-T_ini,CdP_t)</f>
        <v>23</v>
      </c>
      <c r="Q740" s="418" t="n">
        <f aca="false">(INDEX(CdP,2,i_P+1)-INDEX(CdP,2,i_P+0))/(INDEX(CdP,1,i_P+1)-INDEX(CdP,1,i_P+0))*(t-pas/2-T_ini-INDEX(CdP,1,i_P+0))+INDEX(CdP,2,i_P+0)</f>
        <v>0</v>
      </c>
      <c r="R740" s="419" t="n">
        <f aca="false">Poussee/(g*ISP)</f>
        <v>0</v>
      </c>
      <c r="S740" s="420" t="n">
        <f aca="false">S739-Débit*pas</f>
        <v>1.4843</v>
      </c>
      <c r="T740" s="418" t="n">
        <f aca="false">m*g</f>
        <v>14.560983</v>
      </c>
      <c r="U740" s="422" t="n">
        <f aca="false">IF(pos_xz&lt;L_rampe,Poids*COS(Beta),0)</f>
        <v>0</v>
      </c>
      <c r="V740" s="419" t="n">
        <f aca="false">Rho_moyen*(20000-Alt_rampe-pos_z)/(20000+Alt_rampe+pos_z)</f>
        <v>1.22588340862392</v>
      </c>
      <c r="W740" s="418" t="n">
        <f aca="false">1/2*Rho*Sref*Cx*vit_xz^2</f>
        <v>5.57929719797953</v>
      </c>
      <c r="X740" s="402"/>
      <c r="Y740" s="423" t="str">
        <f aca="false">IF(AND(pos_z&lt;=0,K739&gt;0),"Impact balistique","") &amp; IF(AND(H741&lt;0,vit_z&gt;=0),"Apogée","") &amp; IF(AND(Poussee=0,Q739&gt;0),"Fin de propulsion","") &amp; IF(AND(L741&gt;L_rampe,pos_xz&lt;=L_rampe),"Sortie de rampe","")</f>
        <v/>
      </c>
      <c r="Z740" s="424" t="str">
        <f aca="false">IF(ABS(t-T_para)&lt;pas/2,"Para","")</f>
        <v/>
      </c>
      <c r="AA740" s="425" t="str">
        <f aca="false">IF(ABS(t-T_satellite)&lt;pas/2,"Satellite","")</f>
        <v/>
      </c>
      <c r="AB740" s="413"/>
      <c r="AC740" s="421" t="e">
        <f aca="false">IF(ABS(t-ROUND(t,0))&lt;0.001,t,NA())</f>
        <v>#N/A</v>
      </c>
      <c r="AD740" s="426" t="e">
        <f aca="false">IF(ABS(t-ROUND(t,0))&lt;0.001,pos_x,NA())</f>
        <v>#N/A</v>
      </c>
      <c r="AE740" s="427" t="e">
        <f aca="false">IF(t&lt;T_para, pos_z, NA())</f>
        <v>#N/A</v>
      </c>
      <c r="AF740" s="413"/>
      <c r="AG740" s="419" t="n">
        <f aca="false">IF(AND(L739&lt;L_rampe,Poussee&lt;Poids*SIN(M739)),0,(-W739+Poussee)/m-Poids*SIN(M739)/m)</f>
        <v>5.95054457715175</v>
      </c>
      <c r="AH740" s="418" t="n">
        <f aca="false">IF(AND(L739&lt;L_rampe,Poussee&lt;Poids*SIN(M739)), g*SIN(M739), (-W739+Poussee)/m)</f>
        <v>-3.75880942018575</v>
      </c>
    </row>
    <row r="741" customFormat="false" ht="12" hidden="false" customHeight="false" outlineLevel="0" collapsed="false">
      <c r="A741" s="417" t="n">
        <f aca="false">IF(B740+0.01&lt;=T_ini+ROUNDUP(Temps_fin_propu,0), 0.01, IF(K740&gt;0, 0.1, 0.0001))</f>
        <v>0.0001</v>
      </c>
      <c r="B741" s="418" t="n">
        <f aca="false">B740+pas</f>
        <v>16.5391999999999</v>
      </c>
      <c r="C741" s="402"/>
      <c r="D741" s="419" t="n">
        <f aca="false">IF(AND(L740&lt;L_rampe,Poussee&lt;Poids*SIN(M740)),0,(-W740+Poussee)/m*COS(M740)-U740/m*SIN(M740))</f>
        <v>-0.53704900753088</v>
      </c>
      <c r="E741" s="420" t="n">
        <f aca="false">IF(AND(L740&lt;L_rampe,Poussee&lt;Poids*SIN(M740)),0,(-W740+Poussee)/m*SIN(M740)+U740/m*COS(M740)-Poids/m)</f>
        <v>-6.08968889150537</v>
      </c>
      <c r="F741" s="418" t="n">
        <f aca="false">SQRT(acc_x^2+acc_z^2)</f>
        <v>6.11332417198809</v>
      </c>
      <c r="G741" s="419" t="n">
        <f aca="false">G740+acc_x*pas</f>
        <v>10.2661978445582</v>
      </c>
      <c r="H741" s="420" t="n">
        <f aca="false">H740+acc_z*pas</f>
        <v>-71.1182335179972</v>
      </c>
      <c r="I741" s="418" t="n">
        <f aca="false">SQRT(vit_x^2+vit_z^2)</f>
        <v>71.8553961571711</v>
      </c>
      <c r="J741" s="419" t="n">
        <f aca="false">J740+0.5*(vit_x+G740)*pas*(K740&gt;=0)</f>
        <v>211.791153319536</v>
      </c>
      <c r="K741" s="420" t="n">
        <f aca="false">K740+0.5*(vit_z+H740)*pas</f>
        <v>-7.2160114150557</v>
      </c>
      <c r="L741" s="418" t="n">
        <f aca="false">SQRT(pos_x^2+pos_z^2)</f>
        <v>211.914047304943</v>
      </c>
      <c r="M741" s="419" t="n">
        <f aca="false">IF(AND(L740&gt;L_rampe,G741&gt;0),ATAN2(G741,H741),$M$4)</f>
        <v>-1.42743271067775</v>
      </c>
      <c r="N741" s="418" t="n">
        <f aca="false">DEGREES(Beta)</f>
        <v>-81.7858698607538</v>
      </c>
      <c r="O741" s="402"/>
      <c r="P741" s="421" t="n">
        <f aca="false">MATCH(t-pas/2-T_ini,CdP_t)</f>
        <v>23</v>
      </c>
      <c r="Q741" s="418" t="n">
        <f aca="false">(INDEX(CdP,2,i_P+1)-INDEX(CdP,2,i_P+0))/(INDEX(CdP,1,i_P+1)-INDEX(CdP,1,i_P+0))*(t-pas/2-T_ini-INDEX(CdP,1,i_P+0))+INDEX(CdP,2,i_P+0)</f>
        <v>0</v>
      </c>
      <c r="R741" s="419" t="n">
        <f aca="false">Poussee/(g*ISP)</f>
        <v>0</v>
      </c>
      <c r="S741" s="420" t="n">
        <f aca="false">S740-Débit*pas</f>
        <v>1.4843</v>
      </c>
      <c r="T741" s="418" t="n">
        <f aca="false">m*g</f>
        <v>14.560983</v>
      </c>
      <c r="U741" s="422" t="n">
        <f aca="false">IF(pos_xz&lt;L_rampe,Poids*COS(Beta),0)</f>
        <v>0</v>
      </c>
      <c r="V741" s="419" t="n">
        <f aca="false">Rho_moyen*(20000-Alt_rampe-pos_z)/(20000+Alt_rampe+pos_z)</f>
        <v>1.22588428044723</v>
      </c>
      <c r="W741" s="418" t="n">
        <f aca="false">1/2*Rho*Sref*Cx*vit_xz^2</f>
        <v>5.57939357354499</v>
      </c>
      <c r="X741" s="402"/>
      <c r="Y741" s="423" t="str">
        <f aca="false">IF(AND(pos_z&lt;=0,K740&gt;0),"Impact balistique","") &amp; IF(AND(H742&lt;0,vit_z&gt;=0),"Apogée","") &amp; IF(AND(Poussee=0,Q740&gt;0),"Fin de propulsion","") &amp; IF(AND(L742&gt;L_rampe,pos_xz&lt;=L_rampe),"Sortie de rampe","")</f>
        <v/>
      </c>
      <c r="Z741" s="424" t="str">
        <f aca="false">IF(ABS(t-T_para)&lt;pas/2,"Para","")</f>
        <v/>
      </c>
      <c r="AA741" s="425" t="str">
        <f aca="false">IF(ABS(t-T_satellite)&lt;pas/2,"Satellite","")</f>
        <v/>
      </c>
      <c r="AB741" s="413"/>
      <c r="AC741" s="421" t="e">
        <f aca="false">IF(ABS(t-ROUND(t,0))&lt;0.001,t,NA())</f>
        <v>#N/A</v>
      </c>
      <c r="AD741" s="426" t="e">
        <f aca="false">IF(ABS(t-ROUND(t,0))&lt;0.001,pos_x,NA())</f>
        <v>#N/A</v>
      </c>
      <c r="AE741" s="427" t="e">
        <f aca="false">IF(t&lt;T_para, pos_z, NA())</f>
        <v>#N/A</v>
      </c>
      <c r="AF741" s="413"/>
      <c r="AG741" s="419" t="n">
        <f aca="false">IF(AND(L740&lt;L_rampe,Poussee&lt;Poids*SIN(M740)),0,(-W740+Poussee)/m-Poids*SIN(M740)/m)</f>
        <v>5.95048238118235</v>
      </c>
      <c r="AH741" s="418" t="n">
        <f aca="false">IF(AND(L740&lt;L_rampe,Poussee&lt;Poids*SIN(M740)), g*SIN(M740), (-W740+Poussee)/m)</f>
        <v>-3.75887435018496</v>
      </c>
    </row>
    <row r="742" customFormat="false" ht="12" hidden="false" customHeight="false" outlineLevel="0" collapsed="false">
      <c r="A742" s="417" t="n">
        <f aca="false">IF(B741+0.01&lt;=T_ini+ROUNDUP(Temps_fin_propu,0), 0.01, IF(K741&gt;0, 0.1, 0.0001))</f>
        <v>0.0001</v>
      </c>
      <c r="B742" s="418" t="n">
        <f aca="false">B741+pas</f>
        <v>16.5392999999999</v>
      </c>
      <c r="C742" s="402"/>
      <c r="D742" s="419" t="n">
        <f aca="false">IF(AND(L741&lt;L_rampe,Poussee&lt;Poids*SIN(M741)),0,(-W741+Poussee)/m*COS(M741)-U741/m*SIN(M741))</f>
        <v>-0.537051027474945</v>
      </c>
      <c r="E742" s="420" t="n">
        <f aca="false">IF(AND(L741&lt;L_rampe,Poussee&lt;Poids*SIN(M741)),0,(-W741+Poussee)/m*SIN(M741)+U741/m*COS(M741)-Poids/m)</f>
        <v>-6.08962358008821</v>
      </c>
      <c r="F742" s="418" t="n">
        <f aca="false">SQRT(acc_x^2+acc_z^2)</f>
        <v>6.1132592905322</v>
      </c>
      <c r="G742" s="419" t="n">
        <f aca="false">G741+acc_x*pas</f>
        <v>10.2661441394554</v>
      </c>
      <c r="H742" s="420" t="n">
        <f aca="false">H741+acc_z*pas</f>
        <v>-71.1188424803552</v>
      </c>
      <c r="I742" s="418" t="n">
        <f aca="false">SQRT(vit_x^2+vit_z^2)</f>
        <v>71.8559911993263</v>
      </c>
      <c r="J742" s="419" t="n">
        <f aca="false">J741+0.5*(vit_x+G741)*pas*(K741&gt;=0)</f>
        <v>211.791153319536</v>
      </c>
      <c r="K742" s="420" t="n">
        <f aca="false">K741+0.5*(vit_z+H741)*pas</f>
        <v>-7.22312326885562</v>
      </c>
      <c r="L742" s="418" t="n">
        <f aca="false">SQRT(pos_x^2+pos_z^2)</f>
        <v>211.91428959411</v>
      </c>
      <c r="M742" s="419" t="n">
        <f aca="false">IF(AND(L741&gt;L_rampe,G742&gt;0),ATAN2(G742,H742),$M$4)</f>
        <v>-1.42743466122405</v>
      </c>
      <c r="N742" s="418" t="n">
        <f aca="false">DEGREES(Beta)</f>
        <v>-81.7859816188247</v>
      </c>
      <c r="O742" s="402"/>
      <c r="P742" s="421" t="n">
        <f aca="false">MATCH(t-pas/2-T_ini,CdP_t)</f>
        <v>23</v>
      </c>
      <c r="Q742" s="418" t="n">
        <f aca="false">(INDEX(CdP,2,i_P+1)-INDEX(CdP,2,i_P+0))/(INDEX(CdP,1,i_P+1)-INDEX(CdP,1,i_P+0))*(t-pas/2-T_ini-INDEX(CdP,1,i_P+0))+INDEX(CdP,2,i_P+0)</f>
        <v>0</v>
      </c>
      <c r="R742" s="419" t="n">
        <f aca="false">Poussee/(g*ISP)</f>
        <v>0</v>
      </c>
      <c r="S742" s="420" t="n">
        <f aca="false">S741-Débit*pas</f>
        <v>1.4843</v>
      </c>
      <c r="T742" s="418" t="n">
        <f aca="false">m*g</f>
        <v>14.560983</v>
      </c>
      <c r="U742" s="422" t="n">
        <f aca="false">IF(pos_xz&lt;L_rampe,Poids*COS(Beta),0)</f>
        <v>0</v>
      </c>
      <c r="V742" s="419" t="n">
        <f aca="false">Rho_moyen*(20000-Alt_rampe-pos_z)/(20000+Alt_rampe+pos_z)</f>
        <v>1.22588515227864</v>
      </c>
      <c r="W742" s="418" t="n">
        <f aca="false">1/2*Rho*Sref*Cx*vit_xz^2</f>
        <v>5.57948994907805</v>
      </c>
      <c r="X742" s="402"/>
      <c r="Y742" s="423" t="str">
        <f aca="false">IF(AND(pos_z&lt;=0,K741&gt;0),"Impact balistique","") &amp; IF(AND(H743&lt;0,vit_z&gt;=0),"Apogée","") &amp; IF(AND(Poussee=0,Q741&gt;0),"Fin de propulsion","") &amp; IF(AND(L743&gt;L_rampe,pos_xz&lt;=L_rampe),"Sortie de rampe","")</f>
        <v/>
      </c>
      <c r="Z742" s="424" t="str">
        <f aca="false">IF(ABS(t-T_para)&lt;pas/2,"Para","")</f>
        <v/>
      </c>
      <c r="AA742" s="425" t="str">
        <f aca="false">IF(ABS(t-T_satellite)&lt;pas/2,"Satellite","")</f>
        <v/>
      </c>
      <c r="AB742" s="413"/>
      <c r="AC742" s="421" t="e">
        <f aca="false">IF(ABS(t-ROUND(t,0))&lt;0.001,t,NA())</f>
        <v>#N/A</v>
      </c>
      <c r="AD742" s="426" t="e">
        <f aca="false">IF(ABS(t-ROUND(t,0))&lt;0.001,pos_x,NA())</f>
        <v>#N/A</v>
      </c>
      <c r="AE742" s="427" t="e">
        <f aca="false">IF(t&lt;T_para, pos_z, NA())</f>
        <v>#N/A</v>
      </c>
      <c r="AF742" s="413"/>
      <c r="AG742" s="419" t="n">
        <f aca="false">IF(AND(L741&lt;L_rampe,Poussee&lt;Poids*SIN(M741)),0,(-W741+Poussee)/m-Poids*SIN(M741)/m)</f>
        <v>5.95042018513823</v>
      </c>
      <c r="AH742" s="418" t="n">
        <f aca="false">IF(AND(L741&lt;L_rampe,Poussee&lt;Poids*SIN(M741)), g*SIN(M741), (-W741+Poussee)/m)</f>
        <v>-3.75893928016236</v>
      </c>
    </row>
    <row r="743" customFormat="false" ht="12" hidden="false" customHeight="false" outlineLevel="0" collapsed="false">
      <c r="A743" s="417" t="n">
        <f aca="false">IF(B742+0.01&lt;=T_ini+ROUNDUP(Temps_fin_propu,0), 0.01, IF(K742&gt;0, 0.1, 0.0001))</f>
        <v>0.0001</v>
      </c>
      <c r="B743" s="418" t="n">
        <f aca="false">B742+pas</f>
        <v>16.5393999999999</v>
      </c>
      <c r="C743" s="402"/>
      <c r="D743" s="419" t="n">
        <f aca="false">IF(AND(L742&lt;L_rampe,Poussee&lt;Poids*SIN(M742)),0,(-W742+Poussee)/m*COS(M742)-U742/m*SIN(M742))</f>
        <v>-0.537053047321298</v>
      </c>
      <c r="E743" s="420" t="n">
        <f aca="false">IF(AND(L742&lt;L_rampe,Poussee&lt;Poids*SIN(M742)),0,(-W742+Poussee)/m*SIN(M742)+U742/m*COS(M742)-Poids/m)</f>
        <v>-6.08955826869345</v>
      </c>
      <c r="F743" s="418" t="n">
        <f aca="false">SQRT(acc_x^2+acc_z^2)</f>
        <v>6.11319440909987</v>
      </c>
      <c r="G743" s="419" t="n">
        <f aca="false">G742+acc_x*pas</f>
        <v>10.2660904341507</v>
      </c>
      <c r="H743" s="420" t="n">
        <f aca="false">H742+acc_z*pas</f>
        <v>-71.1194514361821</v>
      </c>
      <c r="I743" s="418" t="n">
        <f aca="false">SQRT(vit_x^2+vit_z^2)</f>
        <v>71.8565862352619</v>
      </c>
      <c r="J743" s="419" t="n">
        <f aca="false">J742+0.5*(vit_x+G742)*pas*(K742&gt;=0)</f>
        <v>211.791153319536</v>
      </c>
      <c r="K743" s="420" t="n">
        <f aca="false">K742+0.5*(vit_z+H742)*pas</f>
        <v>-7.23023518355145</v>
      </c>
      <c r="L743" s="418" t="n">
        <f aca="false">SQRT(pos_x^2+pos_z^2)</f>
        <v>211.914532123752</v>
      </c>
      <c r="M743" s="419" t="n">
        <f aca="false">IF(AND(L742&gt;L_rampe,G743&gt;0),ATAN2(G743,H743),$M$4)</f>
        <v>-1.42743661172785</v>
      </c>
      <c r="N743" s="418" t="n">
        <f aca="false">DEGREES(Beta)</f>
        <v>-81.78609337446</v>
      </c>
      <c r="O743" s="402"/>
      <c r="P743" s="421" t="n">
        <f aca="false">MATCH(t-pas/2-T_ini,CdP_t)</f>
        <v>23</v>
      </c>
      <c r="Q743" s="418" t="n">
        <f aca="false">(INDEX(CdP,2,i_P+1)-INDEX(CdP,2,i_P+0))/(INDEX(CdP,1,i_P+1)-INDEX(CdP,1,i_P+0))*(t-pas/2-T_ini-INDEX(CdP,1,i_P+0))+INDEX(CdP,2,i_P+0)</f>
        <v>0</v>
      </c>
      <c r="R743" s="419" t="n">
        <f aca="false">Poussee/(g*ISP)</f>
        <v>0</v>
      </c>
      <c r="S743" s="420" t="n">
        <f aca="false">S742-Débit*pas</f>
        <v>1.4843</v>
      </c>
      <c r="T743" s="418" t="n">
        <f aca="false">m*g</f>
        <v>14.560983</v>
      </c>
      <c r="U743" s="422" t="n">
        <f aca="false">IF(pos_xz&lt;L_rampe,Poids*COS(Beta),0)</f>
        <v>0</v>
      </c>
      <c r="V743" s="419" t="n">
        <f aca="false">Rho_moyen*(20000-Alt_rampe-pos_z)/(20000+Alt_rampe+pos_z)</f>
        <v>1.22588602411812</v>
      </c>
      <c r="W743" s="418" t="n">
        <f aca="false">1/2*Rho*Sref*Cx*vit_xz^2</f>
        <v>5.57958632457868</v>
      </c>
      <c r="X743" s="402"/>
      <c r="Y743" s="423" t="str">
        <f aca="false">IF(AND(pos_z&lt;=0,K742&gt;0),"Impact balistique","") &amp; IF(AND(H744&lt;0,vit_z&gt;=0),"Apogée","") &amp; IF(AND(Poussee=0,Q742&gt;0),"Fin de propulsion","") &amp; IF(AND(L744&gt;L_rampe,pos_xz&lt;=L_rampe),"Sortie de rampe","")</f>
        <v/>
      </c>
      <c r="Z743" s="424" t="str">
        <f aca="false">IF(ABS(t-T_para)&lt;pas/2,"Para","")</f>
        <v/>
      </c>
      <c r="AA743" s="425" t="str">
        <f aca="false">IF(ABS(t-T_satellite)&lt;pas/2,"Satellite","")</f>
        <v/>
      </c>
      <c r="AB743" s="413"/>
      <c r="AC743" s="421" t="e">
        <f aca="false">IF(ABS(t-ROUND(t,0))&lt;0.001,t,NA())</f>
        <v>#N/A</v>
      </c>
      <c r="AD743" s="426" t="e">
        <f aca="false">IF(ABS(t-ROUND(t,0))&lt;0.001,pos_x,NA())</f>
        <v>#N/A</v>
      </c>
      <c r="AE743" s="427" t="e">
        <f aca="false">IF(t&lt;T_para, pos_z, NA())</f>
        <v>#N/A</v>
      </c>
      <c r="AF743" s="413"/>
      <c r="AG743" s="419" t="n">
        <f aca="false">IF(AND(L742&lt;L_rampe,Poussee&lt;Poids*SIN(M742)),0,(-W742+Poussee)/m-Poids*SIN(M742)/m)</f>
        <v>5.95035798901942</v>
      </c>
      <c r="AH743" s="418" t="n">
        <f aca="false">IF(AND(L742&lt;L_rampe,Poussee&lt;Poids*SIN(M742)), g*SIN(M742), (-W742+Poussee)/m)</f>
        <v>-3.75900421011794</v>
      </c>
    </row>
    <row r="744" customFormat="false" ht="12" hidden="false" customHeight="false" outlineLevel="0" collapsed="false">
      <c r="A744" s="417" t="n">
        <f aca="false">IF(B743+0.01&lt;=T_ini+ROUNDUP(Temps_fin_propu,0), 0.01, IF(K743&gt;0, 0.1, 0.0001))</f>
        <v>0.0001</v>
      </c>
      <c r="B744" s="418" t="n">
        <f aca="false">B743+pas</f>
        <v>16.5394999999999</v>
      </c>
      <c r="C744" s="402"/>
      <c r="D744" s="419" t="n">
        <f aca="false">IF(AND(L743&lt;L_rampe,Poussee&lt;Poids*SIN(M743)),0,(-W743+Poussee)/m*COS(M743)-U743/m*SIN(M743))</f>
        <v>-0.537055067069941</v>
      </c>
      <c r="E744" s="420" t="n">
        <f aca="false">IF(AND(L743&lt;L_rampe,Poussee&lt;Poids*SIN(M743)),0,(-W743+Poussee)/m*SIN(M743)+U743/m*COS(M743)-Poids/m)</f>
        <v>-6.0894929573211</v>
      </c>
      <c r="F744" s="418" t="n">
        <f aca="false">SQRT(acc_x^2+acc_z^2)</f>
        <v>6.1131295276911</v>
      </c>
      <c r="G744" s="419" t="n">
        <f aca="false">G743+acc_x*pas</f>
        <v>10.266036728644</v>
      </c>
      <c r="H744" s="420" t="n">
        <f aca="false">H743+acc_z*pas</f>
        <v>-71.1200603854778</v>
      </c>
      <c r="I744" s="418" t="n">
        <f aca="false">SQRT(vit_x^2+vit_z^2)</f>
        <v>71.8571812649778</v>
      </c>
      <c r="J744" s="419" t="n">
        <f aca="false">J743+0.5*(vit_x+G743)*pas*(K743&gt;=0)</f>
        <v>211.791153319536</v>
      </c>
      <c r="K744" s="420" t="n">
        <f aca="false">K743+0.5*(vit_z+H743)*pas</f>
        <v>-7.23734715914253</v>
      </c>
      <c r="L744" s="418" t="n">
        <f aca="false">SQRT(pos_x^2+pos_z^2)</f>
        <v>211.914774893874</v>
      </c>
      <c r="M744" s="419" t="n">
        <f aca="false">IF(AND(L743&gt;L_rampe,G744&gt;0),ATAN2(G744,H744),$M$4)</f>
        <v>-1.42743856218913</v>
      </c>
      <c r="N744" s="418" t="n">
        <f aca="false">DEGREES(Beta)</f>
        <v>-81.7862051276599</v>
      </c>
      <c r="O744" s="402"/>
      <c r="P744" s="421" t="n">
        <f aca="false">MATCH(t-pas/2-T_ini,CdP_t)</f>
        <v>23</v>
      </c>
      <c r="Q744" s="418" t="n">
        <f aca="false">(INDEX(CdP,2,i_P+1)-INDEX(CdP,2,i_P+0))/(INDEX(CdP,1,i_P+1)-INDEX(CdP,1,i_P+0))*(t-pas/2-T_ini-INDEX(CdP,1,i_P+0))+INDEX(CdP,2,i_P+0)</f>
        <v>0</v>
      </c>
      <c r="R744" s="419" t="n">
        <f aca="false">Poussee/(g*ISP)</f>
        <v>0</v>
      </c>
      <c r="S744" s="420" t="n">
        <f aca="false">S743-Débit*pas</f>
        <v>1.4843</v>
      </c>
      <c r="T744" s="418" t="n">
        <f aca="false">m*g</f>
        <v>14.560983</v>
      </c>
      <c r="U744" s="422" t="n">
        <f aca="false">IF(pos_xz&lt;L_rampe,Poids*COS(Beta),0)</f>
        <v>0</v>
      </c>
      <c r="V744" s="419" t="n">
        <f aca="false">Rho_moyen*(20000-Alt_rampe-pos_z)/(20000+Alt_rampe+pos_z)</f>
        <v>1.22588689596569</v>
      </c>
      <c r="W744" s="418" t="n">
        <f aca="false">1/2*Rho*Sref*Cx*vit_xz^2</f>
        <v>5.57968270004688</v>
      </c>
      <c r="X744" s="402"/>
      <c r="Y744" s="423" t="str">
        <f aca="false">IF(AND(pos_z&lt;=0,K743&gt;0),"Impact balistique","") &amp; IF(AND(H745&lt;0,vit_z&gt;=0),"Apogée","") &amp; IF(AND(Poussee=0,Q743&gt;0),"Fin de propulsion","") &amp; IF(AND(L745&gt;L_rampe,pos_xz&lt;=L_rampe),"Sortie de rampe","")</f>
        <v/>
      </c>
      <c r="Z744" s="424" t="str">
        <f aca="false">IF(ABS(t-T_para)&lt;pas/2,"Para","")</f>
        <v/>
      </c>
      <c r="AA744" s="425" t="str">
        <f aca="false">IF(ABS(t-T_satellite)&lt;pas/2,"Satellite","")</f>
        <v/>
      </c>
      <c r="AB744" s="413"/>
      <c r="AC744" s="421" t="e">
        <f aca="false">IF(ABS(t-ROUND(t,0))&lt;0.001,t,NA())</f>
        <v>#N/A</v>
      </c>
      <c r="AD744" s="426" t="e">
        <f aca="false">IF(ABS(t-ROUND(t,0))&lt;0.001,pos_x,NA())</f>
        <v>#N/A</v>
      </c>
      <c r="AE744" s="427" t="e">
        <f aca="false">IF(t&lt;T_para, pos_z, NA())</f>
        <v>#N/A</v>
      </c>
      <c r="AF744" s="413"/>
      <c r="AG744" s="419" t="n">
        <f aca="false">IF(AND(L743&lt;L_rampe,Poussee&lt;Poids*SIN(M743)),0,(-W743+Poussee)/m-Poids*SIN(M743)/m)</f>
        <v>5.95029579282593</v>
      </c>
      <c r="AH744" s="418" t="n">
        <f aca="false">IF(AND(L743&lt;L_rampe,Poussee&lt;Poids*SIN(M743)), g*SIN(M743), (-W743+Poussee)/m)</f>
        <v>-3.75906914005167</v>
      </c>
    </row>
    <row r="745" customFormat="false" ht="12" hidden="false" customHeight="false" outlineLevel="0" collapsed="false">
      <c r="A745" s="417" t="n">
        <f aca="false">IF(B744+0.01&lt;=T_ini+ROUNDUP(Temps_fin_propu,0), 0.01, IF(K744&gt;0, 0.1, 0.0001))</f>
        <v>0.0001</v>
      </c>
      <c r="B745" s="418" t="n">
        <f aca="false">B744+pas</f>
        <v>16.5395999999999</v>
      </c>
      <c r="C745" s="402"/>
      <c r="D745" s="419" t="n">
        <f aca="false">IF(AND(L744&lt;L_rampe,Poussee&lt;Poids*SIN(M744)),0,(-W744+Poussee)/m*COS(M744)-U744/m*SIN(M744))</f>
        <v>-0.537057086720873</v>
      </c>
      <c r="E745" s="420" t="n">
        <f aca="false">IF(AND(L744&lt;L_rampe,Poussee&lt;Poids*SIN(M744)),0,(-W744+Poussee)/m*SIN(M744)+U744/m*COS(M744)-Poids/m)</f>
        <v>-6.08942764597118</v>
      </c>
      <c r="F745" s="418" t="n">
        <f aca="false">SQRT(acc_x^2+acc_z^2)</f>
        <v>6.11306464630591</v>
      </c>
      <c r="G745" s="419" t="n">
        <f aca="false">G744+acc_x*pas</f>
        <v>10.2659830229353</v>
      </c>
      <c r="H745" s="420" t="n">
        <f aca="false">H744+acc_z*pas</f>
        <v>-71.1206693282424</v>
      </c>
      <c r="I745" s="418" t="n">
        <f aca="false">SQRT(vit_x^2+vit_z^2)</f>
        <v>71.8577762884742</v>
      </c>
      <c r="J745" s="419" t="n">
        <f aca="false">J744+0.5*(vit_x+G744)*pas*(K744&gt;=0)</f>
        <v>211.791153319536</v>
      </c>
      <c r="K745" s="420" t="n">
        <f aca="false">K744+0.5*(vit_z+H744)*pas</f>
        <v>-7.24445919562821</v>
      </c>
      <c r="L745" s="418" t="n">
        <f aca="false">SQRT(pos_x^2+pos_z^2)</f>
        <v>211.915017904481</v>
      </c>
      <c r="M745" s="419" t="n">
        <f aca="false">IF(AND(L744&gt;L_rampe,G745&gt;0),ATAN2(G745,H745),$M$4)</f>
        <v>-1.42744051260792</v>
      </c>
      <c r="N745" s="418" t="n">
        <f aca="false">DEGREES(Beta)</f>
        <v>-81.7863168784244</v>
      </c>
      <c r="O745" s="402"/>
      <c r="P745" s="421" t="n">
        <f aca="false">MATCH(t-pas/2-T_ini,CdP_t)</f>
        <v>23</v>
      </c>
      <c r="Q745" s="418" t="n">
        <f aca="false">(INDEX(CdP,2,i_P+1)-INDEX(CdP,2,i_P+0))/(INDEX(CdP,1,i_P+1)-INDEX(CdP,1,i_P+0))*(t-pas/2-T_ini-INDEX(CdP,1,i_P+0))+INDEX(CdP,2,i_P+0)</f>
        <v>0</v>
      </c>
      <c r="R745" s="419" t="n">
        <f aca="false">Poussee/(g*ISP)</f>
        <v>0</v>
      </c>
      <c r="S745" s="420" t="n">
        <f aca="false">S744-Débit*pas</f>
        <v>1.4843</v>
      </c>
      <c r="T745" s="418" t="n">
        <f aca="false">m*g</f>
        <v>14.560983</v>
      </c>
      <c r="U745" s="422" t="n">
        <f aca="false">IF(pos_xz&lt;L_rampe,Poids*COS(Beta),0)</f>
        <v>0</v>
      </c>
      <c r="V745" s="419" t="n">
        <f aca="false">Rho_moyen*(20000-Alt_rampe-pos_z)/(20000+Alt_rampe+pos_z)</f>
        <v>1.22588776782135</v>
      </c>
      <c r="W745" s="418" t="n">
        <f aca="false">1/2*Rho*Sref*Cx*vit_xz^2</f>
        <v>5.5797790754826</v>
      </c>
      <c r="X745" s="402"/>
      <c r="Y745" s="423" t="str">
        <f aca="false">IF(AND(pos_z&lt;=0,K744&gt;0),"Impact balistique","") &amp; IF(AND(H746&lt;0,vit_z&gt;=0),"Apogée","") &amp; IF(AND(Poussee=0,Q744&gt;0),"Fin de propulsion","") &amp; IF(AND(L746&gt;L_rampe,pos_xz&lt;=L_rampe),"Sortie de rampe","")</f>
        <v/>
      </c>
      <c r="Z745" s="424" t="str">
        <f aca="false">IF(ABS(t-T_para)&lt;pas/2,"Para","")</f>
        <v/>
      </c>
      <c r="AA745" s="425" t="str">
        <f aca="false">IF(ABS(t-T_satellite)&lt;pas/2,"Satellite","")</f>
        <v/>
      </c>
      <c r="AB745" s="413"/>
      <c r="AC745" s="421" t="e">
        <f aca="false">IF(ABS(t-ROUND(t,0))&lt;0.001,t,NA())</f>
        <v>#N/A</v>
      </c>
      <c r="AD745" s="426" t="e">
        <f aca="false">IF(ABS(t-ROUND(t,0))&lt;0.001,pos_x,NA())</f>
        <v>#N/A</v>
      </c>
      <c r="AE745" s="427" t="e">
        <f aca="false">IF(t&lt;T_para, pos_z, NA())</f>
        <v>#N/A</v>
      </c>
      <c r="AF745" s="413"/>
      <c r="AG745" s="419" t="n">
        <f aca="false">IF(AND(L744&lt;L_rampe,Poussee&lt;Poids*SIN(M744)),0,(-W744+Poussee)/m-Poids*SIN(M744)/m)</f>
        <v>5.95023359655778</v>
      </c>
      <c r="AH745" s="418" t="n">
        <f aca="false">IF(AND(L744&lt;L_rampe,Poussee&lt;Poids*SIN(M744)), g*SIN(M744), (-W744+Poussee)/m)</f>
        <v>-3.75913406996354</v>
      </c>
    </row>
    <row r="746" customFormat="false" ht="12" hidden="false" customHeight="false" outlineLevel="0" collapsed="false">
      <c r="A746" s="417" t="n">
        <f aca="false">IF(B745+0.01&lt;=T_ini+ROUNDUP(Temps_fin_propu,0), 0.01, IF(K745&gt;0, 0.1, 0.0001))</f>
        <v>0.0001</v>
      </c>
      <c r="B746" s="418" t="n">
        <f aca="false">B745+pas</f>
        <v>16.5396999999999</v>
      </c>
      <c r="C746" s="402"/>
      <c r="D746" s="419" t="n">
        <f aca="false">IF(AND(L745&lt;L_rampe,Poussee&lt;Poids*SIN(M745)),0,(-W745+Poussee)/m*COS(M745)-U745/m*SIN(M745))</f>
        <v>-0.537059106274096</v>
      </c>
      <c r="E746" s="420" t="n">
        <f aca="false">IF(AND(L745&lt;L_rampe,Poussee&lt;Poids*SIN(M745)),0,(-W745+Poussee)/m*SIN(M745)+U745/m*COS(M745)-Poids/m)</f>
        <v>-6.08936233464371</v>
      </c>
      <c r="F746" s="418" t="n">
        <f aca="false">SQRT(acc_x^2+acc_z^2)</f>
        <v>6.11299976494433</v>
      </c>
      <c r="G746" s="419" t="n">
        <f aca="false">G745+acc_x*pas</f>
        <v>10.2659293170247</v>
      </c>
      <c r="H746" s="420" t="n">
        <f aca="false">H745+acc_z*pas</f>
        <v>-71.1212782644759</v>
      </c>
      <c r="I746" s="418" t="n">
        <f aca="false">SQRT(vit_x^2+vit_z^2)</f>
        <v>71.8583713057509</v>
      </c>
      <c r="J746" s="419" t="n">
        <f aca="false">J745+0.5*(vit_x+G745)*pas*(K745&gt;=0)</f>
        <v>211.791153319536</v>
      </c>
      <c r="K746" s="420" t="n">
        <f aca="false">K745+0.5*(vit_z+H745)*pas</f>
        <v>-7.25157129300785</v>
      </c>
      <c r="L746" s="418" t="n">
        <f aca="false">SQRT(pos_x^2+pos_z^2)</f>
        <v>211.915261155578</v>
      </c>
      <c r="M746" s="419" t="n">
        <f aca="false">IF(AND(L745&gt;L_rampe,G746&gt;0),ATAN2(G746,H746),$M$4)</f>
        <v>-1.4274424629842</v>
      </c>
      <c r="N746" s="418" t="n">
        <f aca="false">DEGREES(Beta)</f>
        <v>-81.7864286267537</v>
      </c>
      <c r="O746" s="402"/>
      <c r="P746" s="421" t="n">
        <f aca="false">MATCH(t-pas/2-T_ini,CdP_t)</f>
        <v>23</v>
      </c>
      <c r="Q746" s="418" t="n">
        <f aca="false">(INDEX(CdP,2,i_P+1)-INDEX(CdP,2,i_P+0))/(INDEX(CdP,1,i_P+1)-INDEX(CdP,1,i_P+0))*(t-pas/2-T_ini-INDEX(CdP,1,i_P+0))+INDEX(CdP,2,i_P+0)</f>
        <v>0</v>
      </c>
      <c r="R746" s="419" t="n">
        <f aca="false">Poussee/(g*ISP)</f>
        <v>0</v>
      </c>
      <c r="S746" s="420" t="n">
        <f aca="false">S745-Débit*pas</f>
        <v>1.4843</v>
      </c>
      <c r="T746" s="418" t="n">
        <f aca="false">m*g</f>
        <v>14.560983</v>
      </c>
      <c r="U746" s="422" t="n">
        <f aca="false">IF(pos_xz&lt;L_rampe,Poids*COS(Beta),0)</f>
        <v>0</v>
      </c>
      <c r="V746" s="419" t="n">
        <f aca="false">Rho_moyen*(20000-Alt_rampe-pos_z)/(20000+Alt_rampe+pos_z)</f>
        <v>1.2258886396851</v>
      </c>
      <c r="W746" s="418" t="n">
        <f aca="false">1/2*Rho*Sref*Cx*vit_xz^2</f>
        <v>5.57987545088583</v>
      </c>
      <c r="X746" s="402"/>
      <c r="Y746" s="423" t="str">
        <f aca="false">IF(AND(pos_z&lt;=0,K745&gt;0),"Impact balistique","") &amp; IF(AND(H747&lt;0,vit_z&gt;=0),"Apogée","") &amp; IF(AND(Poussee=0,Q745&gt;0),"Fin de propulsion","") &amp; IF(AND(L747&gt;L_rampe,pos_xz&lt;=L_rampe),"Sortie de rampe","")</f>
        <v/>
      </c>
      <c r="Z746" s="424" t="str">
        <f aca="false">IF(ABS(t-T_para)&lt;pas/2,"Para","")</f>
        <v/>
      </c>
      <c r="AA746" s="425" t="str">
        <f aca="false">IF(ABS(t-T_satellite)&lt;pas/2,"Satellite","")</f>
        <v/>
      </c>
      <c r="AB746" s="413"/>
      <c r="AC746" s="421" t="e">
        <f aca="false">IF(ABS(t-ROUND(t,0))&lt;0.001,t,NA())</f>
        <v>#N/A</v>
      </c>
      <c r="AD746" s="426" t="e">
        <f aca="false">IF(ABS(t-ROUND(t,0))&lt;0.001,pos_x,NA())</f>
        <v>#N/A</v>
      </c>
      <c r="AE746" s="427" t="e">
        <f aca="false">IF(t&lt;T_para, pos_z, NA())</f>
        <v>#N/A</v>
      </c>
      <c r="AF746" s="413"/>
      <c r="AG746" s="419" t="n">
        <f aca="false">IF(AND(L745&lt;L_rampe,Poussee&lt;Poids*SIN(M745)),0,(-W745+Poussee)/m-Poids*SIN(M745)/m)</f>
        <v>5.95017140021501</v>
      </c>
      <c r="AH746" s="418" t="n">
        <f aca="false">IF(AND(L745&lt;L_rampe,Poussee&lt;Poids*SIN(M745)), g*SIN(M745), (-W745+Poussee)/m)</f>
        <v>-3.75919899985354</v>
      </c>
    </row>
    <row r="747" customFormat="false" ht="12" hidden="false" customHeight="false" outlineLevel="0" collapsed="false">
      <c r="A747" s="417" t="n">
        <f aca="false">IF(B746+0.01&lt;=T_ini+ROUNDUP(Temps_fin_propu,0), 0.01, IF(K746&gt;0, 0.1, 0.0001))</f>
        <v>0.0001</v>
      </c>
      <c r="B747" s="418" t="n">
        <f aca="false">B746+pas</f>
        <v>16.5397999999999</v>
      </c>
      <c r="C747" s="402"/>
      <c r="D747" s="419" t="n">
        <f aca="false">IF(AND(L746&lt;L_rampe,Poussee&lt;Poids*SIN(M746)),0,(-W746+Poussee)/m*COS(M746)-U746/m*SIN(M746))</f>
        <v>-0.53706112572961</v>
      </c>
      <c r="E747" s="420" t="n">
        <f aca="false">IF(AND(L746&lt;L_rampe,Poussee&lt;Poids*SIN(M746)),0,(-W746+Poussee)/m*SIN(M746)+U746/m*COS(M746)-Poids/m)</f>
        <v>-6.0892970233387</v>
      </c>
      <c r="F747" s="418" t="n">
        <f aca="false">SQRT(acc_x^2+acc_z^2)</f>
        <v>6.11293488360636</v>
      </c>
      <c r="G747" s="419" t="n">
        <f aca="false">G746+acc_x*pas</f>
        <v>10.2658756109121</v>
      </c>
      <c r="H747" s="420" t="n">
        <f aca="false">H746+acc_z*pas</f>
        <v>-71.1218871941782</v>
      </c>
      <c r="I747" s="418" t="n">
        <f aca="false">SQRT(vit_x^2+vit_z^2)</f>
        <v>71.8589663168079</v>
      </c>
      <c r="J747" s="419" t="n">
        <f aca="false">J746+0.5*(vit_x+G746)*pas*(K746&gt;=0)</f>
        <v>211.791153319536</v>
      </c>
      <c r="K747" s="420" t="n">
        <f aca="false">K746+0.5*(vit_z+H746)*pas</f>
        <v>-7.25868345128078</v>
      </c>
      <c r="L747" s="418" t="n">
        <f aca="false">SQRT(pos_x^2+pos_z^2)</f>
        <v>211.915504647171</v>
      </c>
      <c r="M747" s="419" t="n">
        <f aca="false">IF(AND(L746&gt;L_rampe,G747&gt;0),ATAN2(G747,H747),$M$4)</f>
        <v>-1.42744441331797</v>
      </c>
      <c r="N747" s="418" t="n">
        <f aca="false">DEGREES(Beta)</f>
        <v>-81.7865403726476</v>
      </c>
      <c r="O747" s="402"/>
      <c r="P747" s="421" t="n">
        <f aca="false">MATCH(t-pas/2-T_ini,CdP_t)</f>
        <v>23</v>
      </c>
      <c r="Q747" s="418" t="n">
        <f aca="false">(INDEX(CdP,2,i_P+1)-INDEX(CdP,2,i_P+0))/(INDEX(CdP,1,i_P+1)-INDEX(CdP,1,i_P+0))*(t-pas/2-T_ini-INDEX(CdP,1,i_P+0))+INDEX(CdP,2,i_P+0)</f>
        <v>0</v>
      </c>
      <c r="R747" s="419" t="n">
        <f aca="false">Poussee/(g*ISP)</f>
        <v>0</v>
      </c>
      <c r="S747" s="420" t="n">
        <f aca="false">S746-Débit*pas</f>
        <v>1.4843</v>
      </c>
      <c r="T747" s="418" t="n">
        <f aca="false">m*g</f>
        <v>14.560983</v>
      </c>
      <c r="U747" s="422" t="n">
        <f aca="false">IF(pos_xz&lt;L_rampe,Poids*COS(Beta),0)</f>
        <v>0</v>
      </c>
      <c r="V747" s="419" t="n">
        <f aca="false">Rho_moyen*(20000-Alt_rampe-pos_z)/(20000+Alt_rampe+pos_z)</f>
        <v>1.22588951155692</v>
      </c>
      <c r="W747" s="418" t="n">
        <f aca="false">1/2*Rho*Sref*Cx*vit_xz^2</f>
        <v>5.57997182625655</v>
      </c>
      <c r="X747" s="402"/>
      <c r="Y747" s="423" t="str">
        <f aca="false">IF(AND(pos_z&lt;=0,K746&gt;0),"Impact balistique","") &amp; IF(AND(H748&lt;0,vit_z&gt;=0),"Apogée","") &amp; IF(AND(Poussee=0,Q746&gt;0),"Fin de propulsion","") &amp; IF(AND(L748&gt;L_rampe,pos_xz&lt;=L_rampe),"Sortie de rampe","")</f>
        <v/>
      </c>
      <c r="Z747" s="424" t="str">
        <f aca="false">IF(ABS(t-T_para)&lt;pas/2,"Para","")</f>
        <v/>
      </c>
      <c r="AA747" s="425" t="str">
        <f aca="false">IF(ABS(t-T_satellite)&lt;pas/2,"Satellite","")</f>
        <v/>
      </c>
      <c r="AB747" s="413"/>
      <c r="AC747" s="421" t="e">
        <f aca="false">IF(ABS(t-ROUND(t,0))&lt;0.001,t,NA())</f>
        <v>#N/A</v>
      </c>
      <c r="AD747" s="426" t="e">
        <f aca="false">IF(ABS(t-ROUND(t,0))&lt;0.001,pos_x,NA())</f>
        <v>#N/A</v>
      </c>
      <c r="AE747" s="427" t="e">
        <f aca="false">IF(t&lt;T_para, pos_z, NA())</f>
        <v>#N/A</v>
      </c>
      <c r="AF747" s="413"/>
      <c r="AG747" s="419" t="n">
        <f aca="false">IF(AND(L746&lt;L_rampe,Poussee&lt;Poids*SIN(M746)),0,(-W746+Poussee)/m-Poids*SIN(M746)/m)</f>
        <v>5.95010920379761</v>
      </c>
      <c r="AH747" s="418" t="n">
        <f aca="false">IF(AND(L746&lt;L_rampe,Poussee&lt;Poids*SIN(M746)), g*SIN(M746), (-W746+Poussee)/m)</f>
        <v>-3.75926392972164</v>
      </c>
    </row>
    <row r="748" customFormat="false" ht="12" hidden="false" customHeight="false" outlineLevel="0" collapsed="false">
      <c r="A748" s="417" t="n">
        <f aca="false">IF(B747+0.01&lt;=T_ini+ROUNDUP(Temps_fin_propu,0), 0.01, IF(K747&gt;0, 0.1, 0.0001))</f>
        <v>0.0001</v>
      </c>
      <c r="B748" s="418" t="n">
        <f aca="false">B747+pas</f>
        <v>16.5398999999999</v>
      </c>
      <c r="C748" s="402"/>
      <c r="D748" s="419" t="n">
        <f aca="false">IF(AND(L747&lt;L_rampe,Poussee&lt;Poids*SIN(M747)),0,(-W747+Poussee)/m*COS(M747)-U747/m*SIN(M747))</f>
        <v>-0.537063145087417</v>
      </c>
      <c r="E748" s="420" t="n">
        <f aca="false">IF(AND(L747&lt;L_rampe,Poussee&lt;Poids*SIN(M747)),0,(-W747+Poussee)/m*SIN(M747)+U747/m*COS(M747)-Poids/m)</f>
        <v>-6.08923171205617</v>
      </c>
      <c r="F748" s="418" t="n">
        <f aca="false">SQRT(acc_x^2+acc_z^2)</f>
        <v>6.11287000229202</v>
      </c>
      <c r="G748" s="419" t="n">
        <f aca="false">G747+acc_x*pas</f>
        <v>10.2658219045976</v>
      </c>
      <c r="H748" s="420" t="n">
        <f aca="false">H747+acc_z*pas</f>
        <v>-71.1224961173494</v>
      </c>
      <c r="I748" s="418" t="n">
        <f aca="false">SQRT(vit_x^2+vit_z^2)</f>
        <v>71.8595613216453</v>
      </c>
      <c r="J748" s="419" t="n">
        <f aca="false">J747+0.5*(vit_x+G747)*pas*(K747&gt;=0)</f>
        <v>211.791153319536</v>
      </c>
      <c r="K748" s="420" t="n">
        <f aca="false">K747+0.5*(vit_z+H747)*pas</f>
        <v>-7.26579567044636</v>
      </c>
      <c r="L748" s="418" t="n">
        <f aca="false">SQRT(pos_x^2+pos_z^2)</f>
        <v>211.915748379265</v>
      </c>
      <c r="M748" s="419" t="n">
        <f aca="false">IF(AND(L747&gt;L_rampe,G748&gt;0),ATAN2(G748,H748),$M$4)</f>
        <v>-1.42744636360925</v>
      </c>
      <c r="N748" s="418" t="n">
        <f aca="false">DEGREES(Beta)</f>
        <v>-81.7866521161065</v>
      </c>
      <c r="O748" s="402"/>
      <c r="P748" s="421" t="n">
        <f aca="false">MATCH(t-pas/2-T_ini,CdP_t)</f>
        <v>23</v>
      </c>
      <c r="Q748" s="418" t="n">
        <f aca="false">(INDEX(CdP,2,i_P+1)-INDEX(CdP,2,i_P+0))/(INDEX(CdP,1,i_P+1)-INDEX(CdP,1,i_P+0))*(t-pas/2-T_ini-INDEX(CdP,1,i_P+0))+INDEX(CdP,2,i_P+0)</f>
        <v>0</v>
      </c>
      <c r="R748" s="419" t="n">
        <f aca="false">Poussee/(g*ISP)</f>
        <v>0</v>
      </c>
      <c r="S748" s="420" t="n">
        <f aca="false">S747-Débit*pas</f>
        <v>1.4843</v>
      </c>
      <c r="T748" s="418" t="n">
        <f aca="false">m*g</f>
        <v>14.560983</v>
      </c>
      <c r="U748" s="422" t="n">
        <f aca="false">IF(pos_xz&lt;L_rampe,Poids*COS(Beta),0)</f>
        <v>0</v>
      </c>
      <c r="V748" s="419" t="n">
        <f aca="false">Rho_moyen*(20000-Alt_rampe-pos_z)/(20000+Alt_rampe+pos_z)</f>
        <v>1.22589038343684</v>
      </c>
      <c r="W748" s="418" t="n">
        <f aca="false">1/2*Rho*Sref*Cx*vit_xz^2</f>
        <v>5.58006820159472</v>
      </c>
      <c r="X748" s="402"/>
      <c r="Y748" s="423" t="str">
        <f aca="false">IF(AND(pos_z&lt;=0,K747&gt;0),"Impact balistique","") &amp; IF(AND(H749&lt;0,vit_z&gt;=0),"Apogée","") &amp; IF(AND(Poussee=0,Q747&gt;0),"Fin de propulsion","") &amp; IF(AND(L749&gt;L_rampe,pos_xz&lt;=L_rampe),"Sortie de rampe","")</f>
        <v/>
      </c>
      <c r="Z748" s="424" t="str">
        <f aca="false">IF(ABS(t-T_para)&lt;pas/2,"Para","")</f>
        <v/>
      </c>
      <c r="AA748" s="425" t="str">
        <f aca="false">IF(ABS(t-T_satellite)&lt;pas/2,"Satellite","")</f>
        <v/>
      </c>
      <c r="AB748" s="413"/>
      <c r="AC748" s="421" t="e">
        <f aca="false">IF(ABS(t-ROUND(t,0))&lt;0.001,t,NA())</f>
        <v>#N/A</v>
      </c>
      <c r="AD748" s="426" t="e">
        <f aca="false">IF(ABS(t-ROUND(t,0))&lt;0.001,pos_x,NA())</f>
        <v>#N/A</v>
      </c>
      <c r="AE748" s="427" t="e">
        <f aca="false">IF(t&lt;T_para, pos_z, NA())</f>
        <v>#N/A</v>
      </c>
      <c r="AF748" s="413"/>
      <c r="AG748" s="419" t="n">
        <f aca="false">IF(AND(L747&lt;L_rampe,Poussee&lt;Poids*SIN(M747)),0,(-W747+Poussee)/m-Poids*SIN(M747)/m)</f>
        <v>5.95004700730563</v>
      </c>
      <c r="AH748" s="418" t="n">
        <f aca="false">IF(AND(L747&lt;L_rampe,Poussee&lt;Poids*SIN(M747)), g*SIN(M747), (-W747+Poussee)/m)</f>
        <v>-3.75932885956785</v>
      </c>
    </row>
    <row r="749" customFormat="false" ht="12" hidden="false" customHeight="false" outlineLevel="0" collapsed="false">
      <c r="A749" s="417" t="n">
        <f aca="false">IF(B748+0.01&lt;=T_ini+ROUNDUP(Temps_fin_propu,0), 0.01, IF(K748&gt;0, 0.1, 0.0001))</f>
        <v>0.0001</v>
      </c>
      <c r="B749" s="418" t="n">
        <f aca="false">B748+pas</f>
        <v>16.5399999999999</v>
      </c>
      <c r="C749" s="402"/>
      <c r="D749" s="419" t="n">
        <f aca="false">IF(AND(L748&lt;L_rampe,Poussee&lt;Poids*SIN(M748)),0,(-W748+Poussee)/m*COS(M748)-U748/m*SIN(M748))</f>
        <v>-0.537065164347517</v>
      </c>
      <c r="E749" s="420" t="n">
        <f aca="false">IF(AND(L748&lt;L_rampe,Poussee&lt;Poids*SIN(M748)),0,(-W748+Poussee)/m*SIN(M748)+U748/m*COS(M748)-Poids/m)</f>
        <v>-6.08916640079613</v>
      </c>
      <c r="F749" s="418" t="n">
        <f aca="false">SQRT(acc_x^2+acc_z^2)</f>
        <v>6.11280512100133</v>
      </c>
      <c r="G749" s="419" t="n">
        <f aca="false">G748+acc_x*pas</f>
        <v>10.2657681980812</v>
      </c>
      <c r="H749" s="420" t="n">
        <f aca="false">H748+acc_z*pas</f>
        <v>-71.1231050339895</v>
      </c>
      <c r="I749" s="418" t="n">
        <f aca="false">SQRT(vit_x^2+vit_z^2)</f>
        <v>71.860156320263</v>
      </c>
      <c r="J749" s="419" t="n">
        <f aca="false">J748+0.5*(vit_x+G748)*pas*(K748&gt;=0)</f>
        <v>211.791153319536</v>
      </c>
      <c r="K749" s="420" t="n">
        <f aca="false">K748+0.5*(vit_z+H748)*pas</f>
        <v>-7.27290795050393</v>
      </c>
      <c r="L749" s="418" t="n">
        <f aca="false">SQRT(pos_x^2+pos_z^2)</f>
        <v>211.915992351865</v>
      </c>
      <c r="M749" s="419" t="n">
        <f aca="false">IF(AND(L748&gt;L_rampe,G749&gt;0),ATAN2(G749,H749),$M$4)</f>
        <v>-1.42744831385802</v>
      </c>
      <c r="N749" s="418" t="n">
        <f aca="false">DEGREES(Beta)</f>
        <v>-81.7867638571303</v>
      </c>
      <c r="O749" s="402"/>
      <c r="P749" s="421" t="n">
        <f aca="false">MATCH(t-pas/2-T_ini,CdP_t)</f>
        <v>23</v>
      </c>
      <c r="Q749" s="418" t="n">
        <f aca="false">(INDEX(CdP,2,i_P+1)-INDEX(CdP,2,i_P+0))/(INDEX(CdP,1,i_P+1)-INDEX(CdP,1,i_P+0))*(t-pas/2-T_ini-INDEX(CdP,1,i_P+0))+INDEX(CdP,2,i_P+0)</f>
        <v>0</v>
      </c>
      <c r="R749" s="419" t="n">
        <f aca="false">Poussee/(g*ISP)</f>
        <v>0</v>
      </c>
      <c r="S749" s="420" t="n">
        <f aca="false">S748-Débit*pas</f>
        <v>1.4843</v>
      </c>
      <c r="T749" s="418" t="n">
        <f aca="false">m*g</f>
        <v>14.560983</v>
      </c>
      <c r="U749" s="422" t="n">
        <f aca="false">IF(pos_xz&lt;L_rampe,Poids*COS(Beta),0)</f>
        <v>0</v>
      </c>
      <c r="V749" s="419" t="n">
        <f aca="false">Rho_moyen*(20000-Alt_rampe-pos_z)/(20000+Alt_rampe+pos_z)</f>
        <v>1.22589125532483</v>
      </c>
      <c r="W749" s="418" t="n">
        <f aca="false">1/2*Rho*Sref*Cx*vit_xz^2</f>
        <v>5.58016457690032</v>
      </c>
      <c r="X749" s="402"/>
      <c r="Y749" s="423" t="str">
        <f aca="false">IF(AND(pos_z&lt;=0,K748&gt;0),"Impact balistique","") &amp; IF(AND(H750&lt;0,vit_z&gt;=0),"Apogée","") &amp; IF(AND(Poussee=0,Q748&gt;0),"Fin de propulsion","") &amp; IF(AND(L750&gt;L_rampe,pos_xz&lt;=L_rampe),"Sortie de rampe","")</f>
        <v/>
      </c>
      <c r="Z749" s="424" t="str">
        <f aca="false">IF(ABS(t-T_para)&lt;pas/2,"Para","")</f>
        <v/>
      </c>
      <c r="AA749" s="425" t="str">
        <f aca="false">IF(ABS(t-T_satellite)&lt;pas/2,"Satellite","")</f>
        <v/>
      </c>
      <c r="AB749" s="413"/>
      <c r="AC749" s="421" t="e">
        <f aca="false">IF(ABS(t-ROUND(t,0))&lt;0.001,t,NA())</f>
        <v>#N/A</v>
      </c>
      <c r="AD749" s="426" t="e">
        <f aca="false">IF(ABS(t-ROUND(t,0))&lt;0.001,pos_x,NA())</f>
        <v>#N/A</v>
      </c>
      <c r="AE749" s="427" t="e">
        <f aca="false">IF(t&lt;T_para, pos_z, NA())</f>
        <v>#N/A</v>
      </c>
      <c r="AF749" s="413"/>
      <c r="AG749" s="419" t="n">
        <f aca="false">IF(AND(L748&lt;L_rampe,Poussee&lt;Poids*SIN(M748)),0,(-W748+Poussee)/m-Poids*SIN(M748)/m)</f>
        <v>5.94998481073907</v>
      </c>
      <c r="AH749" s="418" t="n">
        <f aca="false">IF(AND(L748&lt;L_rampe,Poussee&lt;Poids*SIN(M748)), g*SIN(M748), (-W748+Poussee)/m)</f>
        <v>-3.75939378939212</v>
      </c>
    </row>
    <row r="750" customFormat="false" ht="12" hidden="false" customHeight="false" outlineLevel="0" collapsed="false">
      <c r="A750" s="417" t="n">
        <f aca="false">IF(B749+0.01&lt;=T_ini+ROUNDUP(Temps_fin_propu,0), 0.01, IF(K749&gt;0, 0.1, 0.0001))</f>
        <v>0.0001</v>
      </c>
      <c r="B750" s="418" t="n">
        <f aca="false">B749+pas</f>
        <v>16.5400999999999</v>
      </c>
      <c r="C750" s="402"/>
      <c r="D750" s="419" t="n">
        <f aca="false">IF(AND(L749&lt;L_rampe,Poussee&lt;Poids*SIN(M749)),0,(-W749+Poussee)/m*COS(M749)-U749/m*SIN(M749))</f>
        <v>-0.537067183509909</v>
      </c>
      <c r="E750" s="420" t="n">
        <f aca="false">IF(AND(L749&lt;L_rampe,Poussee&lt;Poids*SIN(M749)),0,(-W749+Poussee)/m*SIN(M749)+U749/m*COS(M749)-Poids/m)</f>
        <v>-6.08910108955861</v>
      </c>
      <c r="F750" s="418" t="n">
        <f aca="false">SQRT(acc_x^2+acc_z^2)</f>
        <v>6.11274023973431</v>
      </c>
      <c r="G750" s="419" t="n">
        <f aca="false">G749+acc_x*pas</f>
        <v>10.2657144913628</v>
      </c>
      <c r="H750" s="420" t="n">
        <f aca="false">H749+acc_z*pas</f>
        <v>-71.1237139440985</v>
      </c>
      <c r="I750" s="418" t="n">
        <f aca="false">SQRT(vit_x^2+vit_z^2)</f>
        <v>71.8607513126611</v>
      </c>
      <c r="J750" s="419" t="n">
        <f aca="false">J749+0.5*(vit_x+G749)*pas*(K749&gt;=0)</f>
        <v>211.791153319536</v>
      </c>
      <c r="K750" s="420" t="n">
        <f aca="false">K749+0.5*(vit_z+H749)*pas</f>
        <v>-7.28002029145283</v>
      </c>
      <c r="L750" s="418" t="n">
        <f aca="false">SQRT(pos_x^2+pos_z^2)</f>
        <v>211.916236564977</v>
      </c>
      <c r="M750" s="419" t="n">
        <f aca="false">IF(AND(L749&gt;L_rampe,G750&gt;0),ATAN2(G750,H750),$M$4)</f>
        <v>-1.4274502640643</v>
      </c>
      <c r="N750" s="418" t="n">
        <f aca="false">DEGREES(Beta)</f>
        <v>-81.7868755957191</v>
      </c>
      <c r="O750" s="402"/>
      <c r="P750" s="421" t="n">
        <f aca="false">MATCH(t-pas/2-T_ini,CdP_t)</f>
        <v>23</v>
      </c>
      <c r="Q750" s="418" t="n">
        <f aca="false">(INDEX(CdP,2,i_P+1)-INDEX(CdP,2,i_P+0))/(INDEX(CdP,1,i_P+1)-INDEX(CdP,1,i_P+0))*(t-pas/2-T_ini-INDEX(CdP,1,i_P+0))+INDEX(CdP,2,i_P+0)</f>
        <v>0</v>
      </c>
      <c r="R750" s="419" t="n">
        <f aca="false">Poussee/(g*ISP)</f>
        <v>0</v>
      </c>
      <c r="S750" s="420" t="n">
        <f aca="false">S749-Débit*pas</f>
        <v>1.4843</v>
      </c>
      <c r="T750" s="418" t="n">
        <f aca="false">m*g</f>
        <v>14.560983</v>
      </c>
      <c r="U750" s="422" t="n">
        <f aca="false">IF(pos_xz&lt;L_rampe,Poids*COS(Beta),0)</f>
        <v>0</v>
      </c>
      <c r="V750" s="419" t="n">
        <f aca="false">Rho_moyen*(20000-Alt_rampe-pos_z)/(20000+Alt_rampe+pos_z)</f>
        <v>1.22589212722092</v>
      </c>
      <c r="W750" s="418" t="n">
        <f aca="false">1/2*Rho*Sref*Cx*vit_xz^2</f>
        <v>5.58026095217334</v>
      </c>
      <c r="X750" s="402"/>
      <c r="Y750" s="423" t="str">
        <f aca="false">IF(AND(pos_z&lt;=0,K749&gt;0),"Impact balistique","") &amp; IF(AND(H751&lt;0,vit_z&gt;=0),"Apogée","") &amp; IF(AND(Poussee=0,Q749&gt;0),"Fin de propulsion","") &amp; IF(AND(L751&gt;L_rampe,pos_xz&lt;=L_rampe),"Sortie de rampe","")</f>
        <v/>
      </c>
      <c r="Z750" s="424" t="str">
        <f aca="false">IF(ABS(t-T_para)&lt;pas/2,"Para","")</f>
        <v/>
      </c>
      <c r="AA750" s="425" t="str">
        <f aca="false">IF(ABS(t-T_satellite)&lt;pas/2,"Satellite","")</f>
        <v/>
      </c>
      <c r="AB750" s="413"/>
      <c r="AC750" s="421" t="e">
        <f aca="false">IF(ABS(t-ROUND(t,0))&lt;0.001,t,NA())</f>
        <v>#N/A</v>
      </c>
      <c r="AD750" s="426" t="e">
        <f aca="false">IF(ABS(t-ROUND(t,0))&lt;0.001,pos_x,NA())</f>
        <v>#N/A</v>
      </c>
      <c r="AE750" s="427" t="e">
        <f aca="false">IF(t&lt;T_para, pos_z, NA())</f>
        <v>#N/A</v>
      </c>
      <c r="AF750" s="413"/>
      <c r="AG750" s="419" t="n">
        <f aca="false">IF(AND(L749&lt;L_rampe,Poussee&lt;Poids*SIN(M749)),0,(-W749+Poussee)/m-Poids*SIN(M749)/m)</f>
        <v>5.94992261409796</v>
      </c>
      <c r="AH750" s="418" t="n">
        <f aca="false">IF(AND(L749&lt;L_rampe,Poussee&lt;Poids*SIN(M749)), g*SIN(M749), (-W749+Poussee)/m)</f>
        <v>-3.75945871919446</v>
      </c>
    </row>
    <row r="751" customFormat="false" ht="12" hidden="false" customHeight="false" outlineLevel="0" collapsed="false">
      <c r="A751" s="417" t="n">
        <f aca="false">IF(B750+0.01&lt;=T_ini+ROUNDUP(Temps_fin_propu,0), 0.01, IF(K750&gt;0, 0.1, 0.0001))</f>
        <v>0.0001</v>
      </c>
      <c r="B751" s="418" t="n">
        <f aca="false">B750+pas</f>
        <v>16.5401999999999</v>
      </c>
      <c r="C751" s="402"/>
      <c r="D751" s="419" t="n">
        <f aca="false">IF(AND(L750&lt;L_rampe,Poussee&lt;Poids*SIN(M750)),0,(-W750+Poussee)/m*COS(M750)-U750/m*SIN(M750))</f>
        <v>-0.537069202574596</v>
      </c>
      <c r="E751" s="420" t="n">
        <f aca="false">IF(AND(L750&lt;L_rampe,Poussee&lt;Poids*SIN(M750)),0,(-W750+Poussee)/m*SIN(M750)+U750/m*COS(M750)-Poids/m)</f>
        <v>-6.08903577834361</v>
      </c>
      <c r="F751" s="418" t="n">
        <f aca="false">SQRT(acc_x^2+acc_z^2)</f>
        <v>6.11267535849097</v>
      </c>
      <c r="G751" s="419" t="n">
        <f aca="false">G750+acc_x*pas</f>
        <v>10.2656607844426</v>
      </c>
      <c r="H751" s="420" t="n">
        <f aca="false">H750+acc_z*pas</f>
        <v>-71.1243228476763</v>
      </c>
      <c r="I751" s="418" t="n">
        <f aca="false">SQRT(vit_x^2+vit_z^2)</f>
        <v>71.8613462988395</v>
      </c>
      <c r="J751" s="419" t="n">
        <f aca="false">J750+0.5*(vit_x+G750)*pas*(K750&gt;=0)</f>
        <v>211.791153319536</v>
      </c>
      <c r="K751" s="420" t="n">
        <f aca="false">K750+0.5*(vit_z+H750)*pas</f>
        <v>-7.28713269329242</v>
      </c>
      <c r="L751" s="418" t="n">
        <f aca="false">SQRT(pos_x^2+pos_z^2)</f>
        <v>211.916481018605</v>
      </c>
      <c r="M751" s="419" t="n">
        <f aca="false">IF(AND(L750&gt;L_rampe,G751&gt;0),ATAN2(G751,H751),$M$4)</f>
        <v>-1.42745221422808</v>
      </c>
      <c r="N751" s="418" t="n">
        <f aca="false">DEGREES(Beta)</f>
        <v>-81.7869873318731</v>
      </c>
      <c r="O751" s="402"/>
      <c r="P751" s="421" t="n">
        <f aca="false">MATCH(t-pas/2-T_ini,CdP_t)</f>
        <v>23</v>
      </c>
      <c r="Q751" s="418" t="n">
        <f aca="false">(INDEX(CdP,2,i_P+1)-INDEX(CdP,2,i_P+0))/(INDEX(CdP,1,i_P+1)-INDEX(CdP,1,i_P+0))*(t-pas/2-T_ini-INDEX(CdP,1,i_P+0))+INDEX(CdP,2,i_P+0)</f>
        <v>0</v>
      </c>
      <c r="R751" s="419" t="n">
        <f aca="false">Poussee/(g*ISP)</f>
        <v>0</v>
      </c>
      <c r="S751" s="420" t="n">
        <f aca="false">S750-Débit*pas</f>
        <v>1.4843</v>
      </c>
      <c r="T751" s="418" t="n">
        <f aca="false">m*g</f>
        <v>14.560983</v>
      </c>
      <c r="U751" s="422" t="n">
        <f aca="false">IF(pos_xz&lt;L_rampe,Poids*COS(Beta),0)</f>
        <v>0</v>
      </c>
      <c r="V751" s="419" t="n">
        <f aca="false">Rho_moyen*(20000-Alt_rampe-pos_z)/(20000+Alt_rampe+pos_z)</f>
        <v>1.22589299912508</v>
      </c>
      <c r="W751" s="418" t="n">
        <f aca="false">1/2*Rho*Sref*Cx*vit_xz^2</f>
        <v>5.58035732741375</v>
      </c>
      <c r="X751" s="402"/>
      <c r="Y751" s="423" t="str">
        <f aca="false">IF(AND(pos_z&lt;=0,K750&gt;0),"Impact balistique","") &amp; IF(AND(H752&lt;0,vit_z&gt;=0),"Apogée","") &amp; IF(AND(Poussee=0,Q750&gt;0),"Fin de propulsion","") &amp; IF(AND(L752&gt;L_rampe,pos_xz&lt;=L_rampe),"Sortie de rampe","")</f>
        <v/>
      </c>
      <c r="Z751" s="424" t="str">
        <f aca="false">IF(ABS(t-T_para)&lt;pas/2,"Para","")</f>
        <v/>
      </c>
      <c r="AA751" s="425" t="str">
        <f aca="false">IF(ABS(t-T_satellite)&lt;pas/2,"Satellite","")</f>
        <v/>
      </c>
      <c r="AB751" s="413"/>
      <c r="AC751" s="421" t="e">
        <f aca="false">IF(ABS(t-ROUND(t,0))&lt;0.001,t,NA())</f>
        <v>#N/A</v>
      </c>
      <c r="AD751" s="426" t="e">
        <f aca="false">IF(ABS(t-ROUND(t,0))&lt;0.001,pos_x,NA())</f>
        <v>#N/A</v>
      </c>
      <c r="AE751" s="427" t="e">
        <f aca="false">IF(t&lt;T_para, pos_z, NA())</f>
        <v>#N/A</v>
      </c>
      <c r="AF751" s="413"/>
      <c r="AG751" s="419" t="n">
        <f aca="false">IF(AND(L750&lt;L_rampe,Poussee&lt;Poids*SIN(M750)),0,(-W750+Poussee)/m-Poids*SIN(M750)/m)</f>
        <v>5.94986041738232</v>
      </c>
      <c r="AH751" s="418" t="n">
        <f aca="false">IF(AND(L750&lt;L_rampe,Poussee&lt;Poids*SIN(M750)), g*SIN(M750), (-W750+Poussee)/m)</f>
        <v>-3.75952364897484</v>
      </c>
    </row>
    <row r="752" customFormat="false" ht="12" hidden="false" customHeight="false" outlineLevel="0" collapsed="false">
      <c r="A752" s="417" t="n">
        <f aca="false">IF(B751+0.01&lt;=T_ini+ROUNDUP(Temps_fin_propu,0), 0.01, IF(K751&gt;0, 0.1, 0.0001))</f>
        <v>0.0001</v>
      </c>
      <c r="B752" s="418" t="n">
        <f aca="false">B751+pas</f>
        <v>16.5402999999999</v>
      </c>
      <c r="C752" s="402"/>
      <c r="D752" s="419" t="n">
        <f aca="false">IF(AND(L751&lt;L_rampe,Poussee&lt;Poids*SIN(M751)),0,(-W751+Poussee)/m*COS(M751)-U751/m*SIN(M751))</f>
        <v>-0.537071221541577</v>
      </c>
      <c r="E752" s="420" t="n">
        <f aca="false">IF(AND(L751&lt;L_rampe,Poussee&lt;Poids*SIN(M751)),0,(-W751+Poussee)/m*SIN(M751)+U751/m*COS(M751)-Poids/m)</f>
        <v>-6.08897046715116</v>
      </c>
      <c r="F752" s="418" t="n">
        <f aca="false">SQRT(acc_x^2+acc_z^2)</f>
        <v>6.11261047727132</v>
      </c>
      <c r="G752" s="419" t="n">
        <f aca="false">G751+acc_x*pas</f>
        <v>10.2656070773204</v>
      </c>
      <c r="H752" s="420" t="n">
        <f aca="false">H751+acc_z*pas</f>
        <v>-71.124931744723</v>
      </c>
      <c r="I752" s="418" t="n">
        <f aca="false">SQRT(vit_x^2+vit_z^2)</f>
        <v>71.8619412787982</v>
      </c>
      <c r="J752" s="419" t="n">
        <f aca="false">J751+0.5*(vit_x+G751)*pas*(K751&gt;=0)</f>
        <v>211.791153319536</v>
      </c>
      <c r="K752" s="420" t="n">
        <f aca="false">K751+0.5*(vit_z+H751)*pas</f>
        <v>-7.29424515602204</v>
      </c>
      <c r="L752" s="418" t="n">
        <f aca="false">SQRT(pos_x^2+pos_z^2)</f>
        <v>211.916725712756</v>
      </c>
      <c r="M752" s="419" t="n">
        <f aca="false">IF(AND(L751&gt;L_rampe,G752&gt;0),ATAN2(G752,H752),$M$4)</f>
        <v>-1.42745416434936</v>
      </c>
      <c r="N752" s="418" t="n">
        <f aca="false">DEGREES(Beta)</f>
        <v>-81.7870990655923</v>
      </c>
      <c r="O752" s="402"/>
      <c r="P752" s="421" t="n">
        <f aca="false">MATCH(t-pas/2-T_ini,CdP_t)</f>
        <v>23</v>
      </c>
      <c r="Q752" s="418" t="n">
        <f aca="false">(INDEX(CdP,2,i_P+1)-INDEX(CdP,2,i_P+0))/(INDEX(CdP,1,i_P+1)-INDEX(CdP,1,i_P+0))*(t-pas/2-T_ini-INDEX(CdP,1,i_P+0))+INDEX(CdP,2,i_P+0)</f>
        <v>0</v>
      </c>
      <c r="R752" s="419" t="n">
        <f aca="false">Poussee/(g*ISP)</f>
        <v>0</v>
      </c>
      <c r="S752" s="420" t="n">
        <f aca="false">S751-Débit*pas</f>
        <v>1.4843</v>
      </c>
      <c r="T752" s="418" t="n">
        <f aca="false">m*g</f>
        <v>14.560983</v>
      </c>
      <c r="U752" s="422" t="n">
        <f aca="false">IF(pos_xz&lt;L_rampe,Poids*COS(Beta),0)</f>
        <v>0</v>
      </c>
      <c r="V752" s="419" t="n">
        <f aca="false">Rho_moyen*(20000-Alt_rampe-pos_z)/(20000+Alt_rampe+pos_z)</f>
        <v>1.22589387103734</v>
      </c>
      <c r="W752" s="418" t="n">
        <f aca="false">1/2*Rho*Sref*Cx*vit_xz^2</f>
        <v>5.58045370262152</v>
      </c>
      <c r="X752" s="402"/>
      <c r="Y752" s="423" t="str">
        <f aca="false">IF(AND(pos_z&lt;=0,K751&gt;0),"Impact balistique","") &amp; IF(AND(H753&lt;0,vit_z&gt;=0),"Apogée","") &amp; IF(AND(Poussee=0,Q751&gt;0),"Fin de propulsion","") &amp; IF(AND(L753&gt;L_rampe,pos_xz&lt;=L_rampe),"Sortie de rampe","")</f>
        <v/>
      </c>
      <c r="Z752" s="424" t="str">
        <f aca="false">IF(ABS(t-T_para)&lt;pas/2,"Para","")</f>
        <v/>
      </c>
      <c r="AA752" s="425" t="str">
        <f aca="false">IF(ABS(t-T_satellite)&lt;pas/2,"Satellite","")</f>
        <v/>
      </c>
      <c r="AB752" s="413"/>
      <c r="AC752" s="421" t="e">
        <f aca="false">IF(ABS(t-ROUND(t,0))&lt;0.001,t,NA())</f>
        <v>#N/A</v>
      </c>
      <c r="AD752" s="426" t="e">
        <f aca="false">IF(ABS(t-ROUND(t,0))&lt;0.001,pos_x,NA())</f>
        <v>#N/A</v>
      </c>
      <c r="AE752" s="427" t="e">
        <f aca="false">IF(t&lt;T_para, pos_z, NA())</f>
        <v>#N/A</v>
      </c>
      <c r="AF752" s="413"/>
      <c r="AG752" s="419" t="n">
        <f aca="false">IF(AND(L751&lt;L_rampe,Poussee&lt;Poids*SIN(M751)),0,(-W751+Poussee)/m-Poids*SIN(M751)/m)</f>
        <v>5.94979822059217</v>
      </c>
      <c r="AH752" s="418" t="n">
        <f aca="false">IF(AND(L751&lt;L_rampe,Poussee&lt;Poids*SIN(M751)), g*SIN(M751), (-W751+Poussee)/m)</f>
        <v>-3.75958857873324</v>
      </c>
    </row>
    <row r="753" customFormat="false" ht="12" hidden="false" customHeight="false" outlineLevel="0" collapsed="false">
      <c r="A753" s="417" t="n">
        <f aca="false">IF(B752+0.01&lt;=T_ini+ROUNDUP(Temps_fin_propu,0), 0.01, IF(K752&gt;0, 0.1, 0.0001))</f>
        <v>0.0001</v>
      </c>
      <c r="B753" s="418" t="n">
        <f aca="false">B752+pas</f>
        <v>16.5403999999999</v>
      </c>
      <c r="C753" s="402"/>
      <c r="D753" s="419" t="n">
        <f aca="false">IF(AND(L752&lt;L_rampe,Poussee&lt;Poids*SIN(M752)),0,(-W752+Poussee)/m*COS(M752)-U752/m*SIN(M752))</f>
        <v>-0.537073240410855</v>
      </c>
      <c r="E753" s="420" t="n">
        <f aca="false">IF(AND(L752&lt;L_rampe,Poussee&lt;Poids*SIN(M752)),0,(-W752+Poussee)/m*SIN(M752)+U752/m*COS(M752)-Poids/m)</f>
        <v>-6.08890515598126</v>
      </c>
      <c r="F753" s="418" t="n">
        <f aca="false">SQRT(acc_x^2+acc_z^2)</f>
        <v>6.11254559607539</v>
      </c>
      <c r="G753" s="419" t="n">
        <f aca="false">G752+acc_x*pas</f>
        <v>10.2655533699964</v>
      </c>
      <c r="H753" s="420" t="n">
        <f aca="false">H752+acc_z*pas</f>
        <v>-71.1255406352386</v>
      </c>
      <c r="I753" s="418" t="n">
        <f aca="false">SQRT(vit_x^2+vit_z^2)</f>
        <v>71.8625362525372</v>
      </c>
      <c r="J753" s="419" t="n">
        <f aca="false">J752+0.5*(vit_x+G752)*pas*(K752&gt;=0)</f>
        <v>211.791153319536</v>
      </c>
      <c r="K753" s="420" t="n">
        <f aca="false">K752+0.5*(vit_z+H752)*pas</f>
        <v>-7.30135767964104</v>
      </c>
      <c r="L753" s="418" t="n">
        <f aca="false">SQRT(pos_x^2+pos_z^2)</f>
        <v>211.916970647434</v>
      </c>
      <c r="M753" s="419" t="n">
        <f aca="false">IF(AND(L752&gt;L_rampe,G753&gt;0),ATAN2(G753,H753),$M$4)</f>
        <v>-1.42745611442815</v>
      </c>
      <c r="N753" s="418" t="n">
        <f aca="false">DEGREES(Beta)</f>
        <v>-81.7872107968767</v>
      </c>
      <c r="O753" s="402"/>
      <c r="P753" s="421" t="n">
        <f aca="false">MATCH(t-pas/2-T_ini,CdP_t)</f>
        <v>23</v>
      </c>
      <c r="Q753" s="418" t="n">
        <f aca="false">(INDEX(CdP,2,i_P+1)-INDEX(CdP,2,i_P+0))/(INDEX(CdP,1,i_P+1)-INDEX(CdP,1,i_P+0))*(t-pas/2-T_ini-INDEX(CdP,1,i_P+0))+INDEX(CdP,2,i_P+0)</f>
        <v>0</v>
      </c>
      <c r="R753" s="419" t="n">
        <f aca="false">Poussee/(g*ISP)</f>
        <v>0</v>
      </c>
      <c r="S753" s="420" t="n">
        <f aca="false">S752-Débit*pas</f>
        <v>1.4843</v>
      </c>
      <c r="T753" s="418" t="n">
        <f aca="false">m*g</f>
        <v>14.560983</v>
      </c>
      <c r="U753" s="422" t="n">
        <f aca="false">IF(pos_xz&lt;L_rampe,Poids*COS(Beta),0)</f>
        <v>0</v>
      </c>
      <c r="V753" s="419" t="n">
        <f aca="false">Rho_moyen*(20000-Alt_rampe-pos_z)/(20000+Alt_rampe+pos_z)</f>
        <v>1.22589474295767</v>
      </c>
      <c r="W753" s="418" t="n">
        <f aca="false">1/2*Rho*Sref*Cx*vit_xz^2</f>
        <v>5.58055007779662</v>
      </c>
      <c r="X753" s="402"/>
      <c r="Y753" s="423" t="str">
        <f aca="false">IF(AND(pos_z&lt;=0,K752&gt;0),"Impact balistique","") &amp; IF(AND(H754&lt;0,vit_z&gt;=0),"Apogée","") &amp; IF(AND(Poussee=0,Q752&gt;0),"Fin de propulsion","") &amp; IF(AND(L754&gt;L_rampe,pos_xz&lt;=L_rampe),"Sortie de rampe","")</f>
        <v/>
      </c>
      <c r="Z753" s="424" t="str">
        <f aca="false">IF(ABS(t-T_para)&lt;pas/2,"Para","")</f>
        <v/>
      </c>
      <c r="AA753" s="425" t="str">
        <f aca="false">IF(ABS(t-T_satellite)&lt;pas/2,"Satellite","")</f>
        <v/>
      </c>
      <c r="AB753" s="413"/>
      <c r="AC753" s="421" t="e">
        <f aca="false">IF(ABS(t-ROUND(t,0))&lt;0.001,t,NA())</f>
        <v>#N/A</v>
      </c>
      <c r="AD753" s="426" t="e">
        <f aca="false">IF(ABS(t-ROUND(t,0))&lt;0.001,pos_x,NA())</f>
        <v>#N/A</v>
      </c>
      <c r="AE753" s="427" t="e">
        <f aca="false">IF(t&lt;T_para, pos_z, NA())</f>
        <v>#N/A</v>
      </c>
      <c r="AF753" s="413"/>
      <c r="AG753" s="419" t="n">
        <f aca="false">IF(AND(L752&lt;L_rampe,Poussee&lt;Poids*SIN(M752)),0,(-W752+Poussee)/m-Poids*SIN(M752)/m)</f>
        <v>5.94973602372753</v>
      </c>
      <c r="AH753" s="418" t="n">
        <f aca="false">IF(AND(L752&lt;L_rampe,Poussee&lt;Poids*SIN(M752)), g*SIN(M752), (-W752+Poussee)/m)</f>
        <v>-3.75965350846967</v>
      </c>
    </row>
    <row r="754" customFormat="false" ht="12" hidden="false" customHeight="false" outlineLevel="0" collapsed="false">
      <c r="A754" s="417" t="n">
        <f aca="false">IF(B753+0.01&lt;=T_ini+ROUNDUP(Temps_fin_propu,0), 0.01, IF(K753&gt;0, 0.1, 0.0001))</f>
        <v>0.0001</v>
      </c>
      <c r="B754" s="418" t="n">
        <f aca="false">B753+pas</f>
        <v>16.5404999999999</v>
      </c>
      <c r="C754" s="402"/>
      <c r="D754" s="419" t="n">
        <f aca="false">IF(AND(L753&lt;L_rampe,Poussee&lt;Poids*SIN(M753)),0,(-W753+Poussee)/m*COS(M753)-U753/m*SIN(M753))</f>
        <v>-0.537075259182429</v>
      </c>
      <c r="E754" s="420" t="n">
        <f aca="false">IF(AND(L753&lt;L_rampe,Poussee&lt;Poids*SIN(M753)),0,(-W753+Poussee)/m*SIN(M753)+U753/m*COS(M753)-Poids/m)</f>
        <v>-6.08883984483394</v>
      </c>
      <c r="F754" s="418" t="n">
        <f aca="false">SQRT(acc_x^2+acc_z^2)</f>
        <v>6.11248071490318</v>
      </c>
      <c r="G754" s="419" t="n">
        <f aca="false">G753+acc_x*pas</f>
        <v>10.2654996624705</v>
      </c>
      <c r="H754" s="420" t="n">
        <f aca="false">H753+acc_z*pas</f>
        <v>-71.1261495192231</v>
      </c>
      <c r="I754" s="418" t="n">
        <f aca="false">SQRT(vit_x^2+vit_z^2)</f>
        <v>71.8631312200565</v>
      </c>
      <c r="J754" s="419" t="n">
        <f aca="false">J753+0.5*(vit_x+G753)*pas*(K753&gt;=0)</f>
        <v>211.791153319536</v>
      </c>
      <c r="K754" s="420" t="n">
        <f aca="false">K753+0.5*(vit_z+H753)*pas</f>
        <v>-7.30847026414876</v>
      </c>
      <c r="L754" s="418" t="n">
        <f aca="false">SQRT(pos_x^2+pos_z^2)</f>
        <v>211.917215822644</v>
      </c>
      <c r="M754" s="419" t="n">
        <f aca="false">IF(AND(L753&gt;L_rampe,G754&gt;0),ATAN2(G754,H754),$M$4)</f>
        <v>-1.42745806446445</v>
      </c>
      <c r="N754" s="418" t="n">
        <f aca="false">DEGREES(Beta)</f>
        <v>-81.7873225257265</v>
      </c>
      <c r="O754" s="402"/>
      <c r="P754" s="421" t="n">
        <f aca="false">MATCH(t-pas/2-T_ini,CdP_t)</f>
        <v>23</v>
      </c>
      <c r="Q754" s="418" t="n">
        <f aca="false">(INDEX(CdP,2,i_P+1)-INDEX(CdP,2,i_P+0))/(INDEX(CdP,1,i_P+1)-INDEX(CdP,1,i_P+0))*(t-pas/2-T_ini-INDEX(CdP,1,i_P+0))+INDEX(CdP,2,i_P+0)</f>
        <v>0</v>
      </c>
      <c r="R754" s="419" t="n">
        <f aca="false">Poussee/(g*ISP)</f>
        <v>0</v>
      </c>
      <c r="S754" s="420" t="n">
        <f aca="false">S753-Débit*pas</f>
        <v>1.4843</v>
      </c>
      <c r="T754" s="418" t="n">
        <f aca="false">m*g</f>
        <v>14.560983</v>
      </c>
      <c r="U754" s="422" t="n">
        <f aca="false">IF(pos_xz&lt;L_rampe,Poids*COS(Beta),0)</f>
        <v>0</v>
      </c>
      <c r="V754" s="419" t="n">
        <f aca="false">Rho_moyen*(20000-Alt_rampe-pos_z)/(20000+Alt_rampe+pos_z)</f>
        <v>1.2258956148861</v>
      </c>
      <c r="W754" s="418" t="n">
        <f aca="false">1/2*Rho*Sref*Cx*vit_xz^2</f>
        <v>5.58064645293905</v>
      </c>
      <c r="X754" s="402"/>
      <c r="Y754" s="423" t="str">
        <f aca="false">IF(AND(pos_z&lt;=0,K753&gt;0),"Impact balistique","") &amp; IF(AND(H755&lt;0,vit_z&gt;=0),"Apogée","") &amp; IF(AND(Poussee=0,Q753&gt;0),"Fin de propulsion","") &amp; IF(AND(L755&gt;L_rampe,pos_xz&lt;=L_rampe),"Sortie de rampe","")</f>
        <v/>
      </c>
      <c r="Z754" s="424" t="str">
        <f aca="false">IF(ABS(t-T_para)&lt;pas/2,"Para","")</f>
        <v/>
      </c>
      <c r="AA754" s="425" t="str">
        <f aca="false">IF(ABS(t-T_satellite)&lt;pas/2,"Satellite","")</f>
        <v/>
      </c>
      <c r="AB754" s="413"/>
      <c r="AC754" s="421" t="e">
        <f aca="false">IF(ABS(t-ROUND(t,0))&lt;0.001,t,NA())</f>
        <v>#N/A</v>
      </c>
      <c r="AD754" s="426" t="e">
        <f aca="false">IF(ABS(t-ROUND(t,0))&lt;0.001,pos_x,NA())</f>
        <v>#N/A</v>
      </c>
      <c r="AE754" s="427" t="e">
        <f aca="false">IF(t&lt;T_para, pos_z, NA())</f>
        <v>#N/A</v>
      </c>
      <c r="AF754" s="413"/>
      <c r="AG754" s="419" t="n">
        <f aca="false">IF(AND(L753&lt;L_rampe,Poussee&lt;Poids*SIN(M753)),0,(-W753+Poussee)/m-Poids*SIN(M753)/m)</f>
        <v>5.94967382678842</v>
      </c>
      <c r="AH754" s="418" t="n">
        <f aca="false">IF(AND(L753&lt;L_rampe,Poussee&lt;Poids*SIN(M753)), g*SIN(M753), (-W753+Poussee)/m)</f>
        <v>-3.75971843818408</v>
      </c>
    </row>
    <row r="755" customFormat="false" ht="12" hidden="false" customHeight="false" outlineLevel="0" collapsed="false">
      <c r="A755" s="417" t="n">
        <f aca="false">IF(B754+0.01&lt;=T_ini+ROUNDUP(Temps_fin_propu,0), 0.01, IF(K754&gt;0, 0.1, 0.0001))</f>
        <v>0.0001</v>
      </c>
      <c r="B755" s="418" t="n">
        <f aca="false">B754+pas</f>
        <v>16.5405999999999</v>
      </c>
      <c r="C755" s="402"/>
      <c r="D755" s="419" t="n">
        <f aca="false">IF(AND(L754&lt;L_rampe,Poussee&lt;Poids*SIN(M754)),0,(-W754+Poussee)/m*COS(M754)-U754/m*SIN(M754))</f>
        <v>-0.5370772778563</v>
      </c>
      <c r="E755" s="420" t="n">
        <f aca="false">IF(AND(L754&lt;L_rampe,Poussee&lt;Poids*SIN(M754)),0,(-W754+Poussee)/m*SIN(M754)+U754/m*COS(M754)-Poids/m)</f>
        <v>-6.08877453370922</v>
      </c>
      <c r="F755" s="418" t="n">
        <f aca="false">SQRT(acc_x^2+acc_z^2)</f>
        <v>6.11241583375472</v>
      </c>
      <c r="G755" s="419" t="n">
        <f aca="false">G754+acc_x*pas</f>
        <v>10.2654459547427</v>
      </c>
      <c r="H755" s="420" t="n">
        <f aca="false">H754+acc_z*pas</f>
        <v>-71.1267583966765</v>
      </c>
      <c r="I755" s="418" t="n">
        <f aca="false">SQRT(vit_x^2+vit_z^2)</f>
        <v>71.8637261813561</v>
      </c>
      <c r="J755" s="419" t="n">
        <f aca="false">J754+0.5*(vit_x+G754)*pas*(K754&gt;=0)</f>
        <v>211.791153319536</v>
      </c>
      <c r="K755" s="420" t="n">
        <f aca="false">K754+0.5*(vit_z+H754)*pas</f>
        <v>-7.31558290954455</v>
      </c>
      <c r="L755" s="418" t="n">
        <f aca="false">SQRT(pos_x^2+pos_z^2)</f>
        <v>211.917461238393</v>
      </c>
      <c r="M755" s="419" t="n">
        <f aca="false">IF(AND(L754&gt;L_rampe,G755&gt;0),ATAN2(G755,H755),$M$4)</f>
        <v>-1.42746001445826</v>
      </c>
      <c r="N755" s="418" t="n">
        <f aca="false">DEGREES(Beta)</f>
        <v>-81.7874342521417</v>
      </c>
      <c r="O755" s="402"/>
      <c r="P755" s="421" t="n">
        <f aca="false">MATCH(t-pas/2-T_ini,CdP_t)</f>
        <v>23</v>
      </c>
      <c r="Q755" s="418" t="n">
        <f aca="false">(INDEX(CdP,2,i_P+1)-INDEX(CdP,2,i_P+0))/(INDEX(CdP,1,i_P+1)-INDEX(CdP,1,i_P+0))*(t-pas/2-T_ini-INDEX(CdP,1,i_P+0))+INDEX(CdP,2,i_P+0)</f>
        <v>0</v>
      </c>
      <c r="R755" s="419" t="n">
        <f aca="false">Poussee/(g*ISP)</f>
        <v>0</v>
      </c>
      <c r="S755" s="420" t="n">
        <f aca="false">S754-Débit*pas</f>
        <v>1.4843</v>
      </c>
      <c r="T755" s="418" t="n">
        <f aca="false">m*g</f>
        <v>14.560983</v>
      </c>
      <c r="U755" s="422" t="n">
        <f aca="false">IF(pos_xz&lt;L_rampe,Poids*COS(Beta),0)</f>
        <v>0</v>
      </c>
      <c r="V755" s="419" t="n">
        <f aca="false">Rho_moyen*(20000-Alt_rampe-pos_z)/(20000+Alt_rampe+pos_z)</f>
        <v>1.2258964868226</v>
      </c>
      <c r="W755" s="418" t="n">
        <f aca="false">1/2*Rho*Sref*Cx*vit_xz^2</f>
        <v>5.58074282804876</v>
      </c>
      <c r="X755" s="402"/>
      <c r="Y755" s="423" t="str">
        <f aca="false">IF(AND(pos_z&lt;=0,K754&gt;0),"Impact balistique","") &amp; IF(AND(H756&lt;0,vit_z&gt;=0),"Apogée","") &amp; IF(AND(Poussee=0,Q754&gt;0),"Fin de propulsion","") &amp; IF(AND(L756&gt;L_rampe,pos_xz&lt;=L_rampe),"Sortie de rampe","")</f>
        <v/>
      </c>
      <c r="Z755" s="424" t="str">
        <f aca="false">IF(ABS(t-T_para)&lt;pas/2,"Para","")</f>
        <v/>
      </c>
      <c r="AA755" s="425" t="str">
        <f aca="false">IF(ABS(t-T_satellite)&lt;pas/2,"Satellite","")</f>
        <v/>
      </c>
      <c r="AB755" s="413"/>
      <c r="AC755" s="421" t="e">
        <f aca="false">IF(ABS(t-ROUND(t,0))&lt;0.001,t,NA())</f>
        <v>#N/A</v>
      </c>
      <c r="AD755" s="426" t="e">
        <f aca="false">IF(ABS(t-ROUND(t,0))&lt;0.001,pos_x,NA())</f>
        <v>#N/A</v>
      </c>
      <c r="AE755" s="427" t="e">
        <f aca="false">IF(t&lt;T_para, pos_z, NA())</f>
        <v>#N/A</v>
      </c>
      <c r="AF755" s="413"/>
      <c r="AG755" s="419" t="n">
        <f aca="false">IF(AND(L754&lt;L_rampe,Poussee&lt;Poids*SIN(M754)),0,(-W754+Poussee)/m-Poids*SIN(M754)/m)</f>
        <v>5.94961162977487</v>
      </c>
      <c r="AH755" s="418" t="n">
        <f aca="false">IF(AND(L754&lt;L_rampe,Poussee&lt;Poids*SIN(M754)), g*SIN(M754), (-W754+Poussee)/m)</f>
        <v>-3.75978336787648</v>
      </c>
    </row>
    <row r="756" customFormat="false" ht="12" hidden="false" customHeight="false" outlineLevel="0" collapsed="false">
      <c r="A756" s="417" t="n">
        <f aca="false">IF(B755+0.01&lt;=T_ini+ROUNDUP(Temps_fin_propu,0), 0.01, IF(K755&gt;0, 0.1, 0.0001))</f>
        <v>0.0001</v>
      </c>
      <c r="B756" s="418" t="n">
        <f aca="false">B755+pas</f>
        <v>16.5406999999999</v>
      </c>
      <c r="C756" s="402"/>
      <c r="D756" s="419" t="n">
        <f aca="false">IF(AND(L755&lt;L_rampe,Poussee&lt;Poids*SIN(M755)),0,(-W755+Poussee)/m*COS(M755)-U755/m*SIN(M755))</f>
        <v>-0.537079296432468</v>
      </c>
      <c r="E756" s="420" t="n">
        <f aca="false">IF(AND(L755&lt;L_rampe,Poussee&lt;Poids*SIN(M755)),0,(-W755+Poussee)/m*SIN(M755)+U755/m*COS(M755)-Poids/m)</f>
        <v>-6.0887092226071</v>
      </c>
      <c r="F756" s="418" t="n">
        <f aca="false">SQRT(acc_x^2+acc_z^2)</f>
        <v>6.11235095263003</v>
      </c>
      <c r="G756" s="419" t="n">
        <f aca="false">G755+acc_x*pas</f>
        <v>10.265392246813</v>
      </c>
      <c r="H756" s="420" t="n">
        <f aca="false">H755+acc_z*pas</f>
        <v>-71.1273672675987</v>
      </c>
      <c r="I756" s="418" t="n">
        <f aca="false">SQRT(vit_x^2+vit_z^2)</f>
        <v>71.864321136436</v>
      </c>
      <c r="J756" s="419" t="n">
        <f aca="false">J755+0.5*(vit_x+G755)*pas*(K755&gt;=0)</f>
        <v>211.791153319536</v>
      </c>
      <c r="K756" s="420" t="n">
        <f aca="false">K755+0.5*(vit_z+H755)*pas</f>
        <v>-7.32269561582777</v>
      </c>
      <c r="L756" s="418" t="n">
        <f aca="false">SQRT(pos_x^2+pos_z^2)</f>
        <v>211.917706894684</v>
      </c>
      <c r="M756" s="419" t="n">
        <f aca="false">IF(AND(L755&gt;L_rampe,G756&gt;0),ATAN2(G756,H756),$M$4)</f>
        <v>-1.42746196440958</v>
      </c>
      <c r="N756" s="418" t="n">
        <f aca="false">DEGREES(Beta)</f>
        <v>-81.7875459761225</v>
      </c>
      <c r="O756" s="402"/>
      <c r="P756" s="421" t="n">
        <f aca="false">MATCH(t-pas/2-T_ini,CdP_t)</f>
        <v>23</v>
      </c>
      <c r="Q756" s="418" t="n">
        <f aca="false">(INDEX(CdP,2,i_P+1)-INDEX(CdP,2,i_P+0))/(INDEX(CdP,1,i_P+1)-INDEX(CdP,1,i_P+0))*(t-pas/2-T_ini-INDEX(CdP,1,i_P+0))+INDEX(CdP,2,i_P+0)</f>
        <v>0</v>
      </c>
      <c r="R756" s="419" t="n">
        <f aca="false">Poussee/(g*ISP)</f>
        <v>0</v>
      </c>
      <c r="S756" s="420" t="n">
        <f aca="false">S755-Débit*pas</f>
        <v>1.4843</v>
      </c>
      <c r="T756" s="418" t="n">
        <f aca="false">m*g</f>
        <v>14.560983</v>
      </c>
      <c r="U756" s="422" t="n">
        <f aca="false">IF(pos_xz&lt;L_rampe,Poids*COS(Beta),0)</f>
        <v>0</v>
      </c>
      <c r="V756" s="419" t="n">
        <f aca="false">Rho_moyen*(20000-Alt_rampe-pos_z)/(20000+Alt_rampe+pos_z)</f>
        <v>1.22589735876719</v>
      </c>
      <c r="W756" s="418" t="n">
        <f aca="false">1/2*Rho*Sref*Cx*vit_xz^2</f>
        <v>5.58083920312574</v>
      </c>
      <c r="X756" s="402"/>
      <c r="Y756" s="423" t="str">
        <f aca="false">IF(AND(pos_z&lt;=0,K755&gt;0),"Impact balistique","") &amp; IF(AND(H757&lt;0,vit_z&gt;=0),"Apogée","") &amp; IF(AND(Poussee=0,Q755&gt;0),"Fin de propulsion","") &amp; IF(AND(L757&gt;L_rampe,pos_xz&lt;=L_rampe),"Sortie de rampe","")</f>
        <v/>
      </c>
      <c r="Z756" s="424" t="str">
        <f aca="false">IF(ABS(t-T_para)&lt;pas/2,"Para","")</f>
        <v/>
      </c>
      <c r="AA756" s="425" t="str">
        <f aca="false">IF(ABS(t-T_satellite)&lt;pas/2,"Satellite","")</f>
        <v/>
      </c>
      <c r="AB756" s="413"/>
      <c r="AC756" s="421" t="e">
        <f aca="false">IF(ABS(t-ROUND(t,0))&lt;0.001,t,NA())</f>
        <v>#N/A</v>
      </c>
      <c r="AD756" s="426" t="e">
        <f aca="false">IF(ABS(t-ROUND(t,0))&lt;0.001,pos_x,NA())</f>
        <v>#N/A</v>
      </c>
      <c r="AE756" s="427" t="e">
        <f aca="false">IF(t&lt;T_para, pos_z, NA())</f>
        <v>#N/A</v>
      </c>
      <c r="AF756" s="413"/>
      <c r="AG756" s="419" t="n">
        <f aca="false">IF(AND(L755&lt;L_rampe,Poussee&lt;Poids*SIN(M755)),0,(-W755+Poussee)/m-Poids*SIN(M755)/m)</f>
        <v>5.94954943268688</v>
      </c>
      <c r="AH756" s="418" t="n">
        <f aca="false">IF(AND(L755&lt;L_rampe,Poussee&lt;Poids*SIN(M755)), g*SIN(M755), (-W755+Poussee)/m)</f>
        <v>-3.75984829754684</v>
      </c>
    </row>
    <row r="757" customFormat="false" ht="12" hidden="false" customHeight="false" outlineLevel="0" collapsed="false">
      <c r="A757" s="417" t="n">
        <f aca="false">IF(B756+0.01&lt;=T_ini+ROUNDUP(Temps_fin_propu,0), 0.01, IF(K756&gt;0, 0.1, 0.0001))</f>
        <v>0.0001</v>
      </c>
      <c r="B757" s="418" t="n">
        <f aca="false">B756+pas</f>
        <v>16.5407999999999</v>
      </c>
      <c r="C757" s="402"/>
      <c r="D757" s="419" t="n">
        <f aca="false">IF(AND(L756&lt;L_rampe,Poussee&lt;Poids*SIN(M756)),0,(-W756+Poussee)/m*COS(M756)-U756/m*SIN(M756))</f>
        <v>-0.537081314910935</v>
      </c>
      <c r="E757" s="420" t="n">
        <f aca="false">IF(AND(L756&lt;L_rampe,Poussee&lt;Poids*SIN(M756)),0,(-W756+Poussee)/m*SIN(M756)+U756/m*COS(M756)-Poids/m)</f>
        <v>-6.08864391152761</v>
      </c>
      <c r="F757" s="418" t="n">
        <f aca="false">SQRT(acc_x^2+acc_z^2)</f>
        <v>6.1122860715291</v>
      </c>
      <c r="G757" s="419" t="n">
        <f aca="false">G756+acc_x*pas</f>
        <v>10.2653385386815</v>
      </c>
      <c r="H757" s="420" t="n">
        <f aca="false">H756+acc_z*pas</f>
        <v>-71.1279761319899</v>
      </c>
      <c r="I757" s="418" t="n">
        <f aca="false">SQRT(vit_x^2+vit_z^2)</f>
        <v>71.8649160852962</v>
      </c>
      <c r="J757" s="419" t="n">
        <f aca="false">J756+0.5*(vit_x+G756)*pas*(K756&gt;=0)</f>
        <v>211.791153319536</v>
      </c>
      <c r="K757" s="420" t="n">
        <f aca="false">K756+0.5*(vit_z+H756)*pas</f>
        <v>-7.32980838299775</v>
      </c>
      <c r="L757" s="418" t="n">
        <f aca="false">SQRT(pos_x^2+pos_z^2)</f>
        <v>211.917952791524</v>
      </c>
      <c r="M757" s="419" t="n">
        <f aca="false">IF(AND(L756&gt;L_rampe,G757&gt;0),ATAN2(G757,H757),$M$4)</f>
        <v>-1.42746391431841</v>
      </c>
      <c r="N757" s="418" t="n">
        <f aca="false">DEGREES(Beta)</f>
        <v>-81.7876576976689</v>
      </c>
      <c r="O757" s="402"/>
      <c r="P757" s="421" t="n">
        <f aca="false">MATCH(t-pas/2-T_ini,CdP_t)</f>
        <v>23</v>
      </c>
      <c r="Q757" s="418" t="n">
        <f aca="false">(INDEX(CdP,2,i_P+1)-INDEX(CdP,2,i_P+0))/(INDEX(CdP,1,i_P+1)-INDEX(CdP,1,i_P+0))*(t-pas/2-T_ini-INDEX(CdP,1,i_P+0))+INDEX(CdP,2,i_P+0)</f>
        <v>0</v>
      </c>
      <c r="R757" s="419" t="n">
        <f aca="false">Poussee/(g*ISP)</f>
        <v>0</v>
      </c>
      <c r="S757" s="420" t="n">
        <f aca="false">S756-Débit*pas</f>
        <v>1.4843</v>
      </c>
      <c r="T757" s="418" t="n">
        <f aca="false">m*g</f>
        <v>14.560983</v>
      </c>
      <c r="U757" s="422" t="n">
        <f aca="false">IF(pos_xz&lt;L_rampe,Poids*COS(Beta),0)</f>
        <v>0</v>
      </c>
      <c r="V757" s="419" t="n">
        <f aca="false">Rho_moyen*(20000-Alt_rampe-pos_z)/(20000+Alt_rampe+pos_z)</f>
        <v>1.22589823071987</v>
      </c>
      <c r="W757" s="418" t="n">
        <f aca="false">1/2*Rho*Sref*Cx*vit_xz^2</f>
        <v>5.58093557816996</v>
      </c>
      <c r="X757" s="402"/>
      <c r="Y757" s="423" t="str">
        <f aca="false">IF(AND(pos_z&lt;=0,K756&gt;0),"Impact balistique","") &amp; IF(AND(H758&lt;0,vit_z&gt;=0),"Apogée","") &amp; IF(AND(Poussee=0,Q756&gt;0),"Fin de propulsion","") &amp; IF(AND(L758&gt;L_rampe,pos_xz&lt;=L_rampe),"Sortie de rampe","")</f>
        <v/>
      </c>
      <c r="Z757" s="424" t="str">
        <f aca="false">IF(ABS(t-T_para)&lt;pas/2,"Para","")</f>
        <v/>
      </c>
      <c r="AA757" s="425" t="str">
        <f aca="false">IF(ABS(t-T_satellite)&lt;pas/2,"Satellite","")</f>
        <v/>
      </c>
      <c r="AB757" s="413"/>
      <c r="AC757" s="421" t="e">
        <f aca="false">IF(ABS(t-ROUND(t,0))&lt;0.001,t,NA())</f>
        <v>#N/A</v>
      </c>
      <c r="AD757" s="426" t="e">
        <f aca="false">IF(ABS(t-ROUND(t,0))&lt;0.001,pos_x,NA())</f>
        <v>#N/A</v>
      </c>
      <c r="AE757" s="427" t="e">
        <f aca="false">IF(t&lt;T_para, pos_z, NA())</f>
        <v>#N/A</v>
      </c>
      <c r="AF757" s="413"/>
      <c r="AG757" s="419" t="n">
        <f aca="false">IF(AND(L756&lt;L_rampe,Poussee&lt;Poids*SIN(M756)),0,(-W756+Poussee)/m-Poids*SIN(M756)/m)</f>
        <v>5.94948723552448</v>
      </c>
      <c r="AH757" s="418" t="n">
        <f aca="false">IF(AND(L756&lt;L_rampe,Poussee&lt;Poids*SIN(M756)), g*SIN(M756), (-W756+Poussee)/m)</f>
        <v>-3.75991322719514</v>
      </c>
    </row>
    <row r="758" customFormat="false" ht="12" hidden="false" customHeight="false" outlineLevel="0" collapsed="false">
      <c r="A758" s="417" t="n">
        <f aca="false">IF(B757+0.01&lt;=T_ini+ROUNDUP(Temps_fin_propu,0), 0.01, IF(K757&gt;0, 0.1, 0.0001))</f>
        <v>0.0001</v>
      </c>
      <c r="B758" s="418" t="n">
        <f aca="false">B757+pas</f>
        <v>16.5408999999999</v>
      </c>
      <c r="C758" s="402"/>
      <c r="D758" s="419" t="n">
        <f aca="false">IF(AND(L757&lt;L_rampe,Poussee&lt;Poids*SIN(M757)),0,(-W757+Poussee)/m*COS(M757)-U757/m*SIN(M757))</f>
        <v>-0.537083333291702</v>
      </c>
      <c r="E758" s="420" t="n">
        <f aca="false">IF(AND(L757&lt;L_rampe,Poussee&lt;Poids*SIN(M757)),0,(-W757+Poussee)/m*SIN(M757)+U757/m*COS(M757)-Poids/m)</f>
        <v>-6.08857860047076</v>
      </c>
      <c r="F758" s="418" t="n">
        <f aca="false">SQRT(acc_x^2+acc_z^2)</f>
        <v>6.11222119045198</v>
      </c>
      <c r="G758" s="419" t="n">
        <f aca="false">G757+acc_x*pas</f>
        <v>10.2652848303482</v>
      </c>
      <c r="H758" s="420" t="n">
        <f aca="false">H757+acc_z*pas</f>
        <v>-71.1285849898499</v>
      </c>
      <c r="I758" s="418" t="n">
        <f aca="false">SQRT(vit_x^2+vit_z^2)</f>
        <v>71.8655110279366</v>
      </c>
      <c r="J758" s="419" t="n">
        <f aca="false">J757+0.5*(vit_x+G757)*pas*(K757&gt;=0)</f>
        <v>211.791153319536</v>
      </c>
      <c r="K758" s="420" t="n">
        <f aca="false">K757+0.5*(vit_z+H757)*pas</f>
        <v>-7.33692121105384</v>
      </c>
      <c r="L758" s="418" t="n">
        <f aca="false">SQRT(pos_x^2+pos_z^2)</f>
        <v>211.918198928918</v>
      </c>
      <c r="M758" s="419" t="n">
        <f aca="false">IF(AND(L757&gt;L_rampe,G758&gt;0),ATAN2(G758,H758),$M$4)</f>
        <v>-1.42746586418475</v>
      </c>
      <c r="N758" s="418" t="n">
        <f aca="false">DEGREES(Beta)</f>
        <v>-81.787769416781</v>
      </c>
      <c r="O758" s="402"/>
      <c r="P758" s="421" t="n">
        <f aca="false">MATCH(t-pas/2-T_ini,CdP_t)</f>
        <v>23</v>
      </c>
      <c r="Q758" s="418" t="n">
        <f aca="false">(INDEX(CdP,2,i_P+1)-INDEX(CdP,2,i_P+0))/(INDEX(CdP,1,i_P+1)-INDEX(CdP,1,i_P+0))*(t-pas/2-T_ini-INDEX(CdP,1,i_P+0))+INDEX(CdP,2,i_P+0)</f>
        <v>0</v>
      </c>
      <c r="R758" s="419" t="n">
        <f aca="false">Poussee/(g*ISP)</f>
        <v>0</v>
      </c>
      <c r="S758" s="420" t="n">
        <f aca="false">S757-Débit*pas</f>
        <v>1.4843</v>
      </c>
      <c r="T758" s="418" t="n">
        <f aca="false">m*g</f>
        <v>14.560983</v>
      </c>
      <c r="U758" s="422" t="n">
        <f aca="false">IF(pos_xz&lt;L_rampe,Poids*COS(Beta),0)</f>
        <v>0</v>
      </c>
      <c r="V758" s="419" t="n">
        <f aca="false">Rho_moyen*(20000-Alt_rampe-pos_z)/(20000+Alt_rampe+pos_z)</f>
        <v>1.22589910268063</v>
      </c>
      <c r="W758" s="418" t="n">
        <f aca="false">1/2*Rho*Sref*Cx*vit_xz^2</f>
        <v>5.58103195318141</v>
      </c>
      <c r="X758" s="402"/>
      <c r="Y758" s="423" t="str">
        <f aca="false">IF(AND(pos_z&lt;=0,K757&gt;0),"Impact balistique","") &amp; IF(AND(H759&lt;0,vit_z&gt;=0),"Apogée","") &amp; IF(AND(Poussee=0,Q757&gt;0),"Fin de propulsion","") &amp; IF(AND(L759&gt;L_rampe,pos_xz&lt;=L_rampe),"Sortie de rampe","")</f>
        <v/>
      </c>
      <c r="Z758" s="424" t="str">
        <f aca="false">IF(ABS(t-T_para)&lt;pas/2,"Para","")</f>
        <v/>
      </c>
      <c r="AA758" s="425" t="str">
        <f aca="false">IF(ABS(t-T_satellite)&lt;pas/2,"Satellite","")</f>
        <v/>
      </c>
      <c r="AB758" s="413"/>
      <c r="AC758" s="421" t="e">
        <f aca="false">IF(ABS(t-ROUND(t,0))&lt;0.001,t,NA())</f>
        <v>#N/A</v>
      </c>
      <c r="AD758" s="426" t="e">
        <f aca="false">IF(ABS(t-ROUND(t,0))&lt;0.001,pos_x,NA())</f>
        <v>#N/A</v>
      </c>
      <c r="AE758" s="427" t="e">
        <f aca="false">IF(t&lt;T_para, pos_z, NA())</f>
        <v>#N/A</v>
      </c>
      <c r="AF758" s="413"/>
      <c r="AG758" s="419" t="n">
        <f aca="false">IF(AND(L757&lt;L_rampe,Poussee&lt;Poids*SIN(M757)),0,(-W757+Poussee)/m-Poids*SIN(M757)/m)</f>
        <v>5.9494250382877</v>
      </c>
      <c r="AH758" s="418" t="n">
        <f aca="false">IF(AND(L757&lt;L_rampe,Poussee&lt;Poids*SIN(M757)), g*SIN(M757), (-W757+Poussee)/m)</f>
        <v>-3.75997815682138</v>
      </c>
    </row>
    <row r="759" customFormat="false" ht="12" hidden="false" customHeight="false" outlineLevel="0" collapsed="false">
      <c r="A759" s="417" t="n">
        <f aca="false">IF(B758+0.01&lt;=T_ini+ROUNDUP(Temps_fin_propu,0), 0.01, IF(K758&gt;0, 0.1, 0.0001))</f>
        <v>0.0001</v>
      </c>
      <c r="B759" s="418" t="n">
        <f aca="false">B758+pas</f>
        <v>16.5409999999999</v>
      </c>
      <c r="C759" s="402"/>
      <c r="D759" s="419" t="n">
        <f aca="false">IF(AND(L758&lt;L_rampe,Poussee&lt;Poids*SIN(M758)),0,(-W758+Poussee)/m*COS(M758)-U758/m*SIN(M758))</f>
        <v>-0.537085351574767</v>
      </c>
      <c r="E759" s="420" t="n">
        <f aca="false">IF(AND(L758&lt;L_rampe,Poussee&lt;Poids*SIN(M758)),0,(-W758+Poussee)/m*SIN(M758)+U758/m*COS(M758)-Poids/m)</f>
        <v>-6.08851328943657</v>
      </c>
      <c r="F759" s="418" t="n">
        <f aca="false">SQRT(acc_x^2+acc_z^2)</f>
        <v>6.11215630939867</v>
      </c>
      <c r="G759" s="419" t="n">
        <f aca="false">G758+acc_x*pas</f>
        <v>10.2652311218131</v>
      </c>
      <c r="H759" s="420" t="n">
        <f aca="false">H758+acc_z*pas</f>
        <v>-71.1291938411789</v>
      </c>
      <c r="I759" s="418" t="n">
        <f aca="false">SQRT(vit_x^2+vit_z^2)</f>
        <v>71.8661059643573</v>
      </c>
      <c r="J759" s="419" t="n">
        <f aca="false">J758+0.5*(vit_x+G758)*pas*(K758&gt;=0)</f>
        <v>211.791153319536</v>
      </c>
      <c r="K759" s="420" t="n">
        <f aca="false">K758+0.5*(vit_z+H758)*pas</f>
        <v>-7.34403409999539</v>
      </c>
      <c r="L759" s="418" t="n">
        <f aca="false">SQRT(pos_x^2+pos_z^2)</f>
        <v>211.918445306871</v>
      </c>
      <c r="M759" s="419" t="n">
        <f aca="false">IF(AND(L758&gt;L_rampe,G759&gt;0),ATAN2(G759,H759),$M$4)</f>
        <v>-1.42746781400861</v>
      </c>
      <c r="N759" s="418" t="n">
        <f aca="false">DEGREES(Beta)</f>
        <v>-81.7878811334588</v>
      </c>
      <c r="O759" s="402"/>
      <c r="P759" s="421" t="n">
        <f aca="false">MATCH(t-pas/2-T_ini,CdP_t)</f>
        <v>23</v>
      </c>
      <c r="Q759" s="418" t="n">
        <f aca="false">(INDEX(CdP,2,i_P+1)-INDEX(CdP,2,i_P+0))/(INDEX(CdP,1,i_P+1)-INDEX(CdP,1,i_P+0))*(t-pas/2-T_ini-INDEX(CdP,1,i_P+0))+INDEX(CdP,2,i_P+0)</f>
        <v>0</v>
      </c>
      <c r="R759" s="419" t="n">
        <f aca="false">Poussee/(g*ISP)</f>
        <v>0</v>
      </c>
      <c r="S759" s="420" t="n">
        <f aca="false">S758-Débit*pas</f>
        <v>1.4843</v>
      </c>
      <c r="T759" s="418" t="n">
        <f aca="false">m*g</f>
        <v>14.560983</v>
      </c>
      <c r="U759" s="422" t="n">
        <f aca="false">IF(pos_xz&lt;L_rampe,Poids*COS(Beta),0)</f>
        <v>0</v>
      </c>
      <c r="V759" s="419" t="n">
        <f aca="false">Rho_moyen*(20000-Alt_rampe-pos_z)/(20000+Alt_rampe+pos_z)</f>
        <v>1.22589997464948</v>
      </c>
      <c r="W759" s="418" t="n">
        <f aca="false">1/2*Rho*Sref*Cx*vit_xz^2</f>
        <v>5.58112832816004</v>
      </c>
      <c r="X759" s="402"/>
      <c r="Y759" s="423" t="str">
        <f aca="false">IF(AND(pos_z&lt;=0,K758&gt;0),"Impact balistique","") &amp; IF(AND(H760&lt;0,vit_z&gt;=0),"Apogée","") &amp; IF(AND(Poussee=0,Q758&gt;0),"Fin de propulsion","") &amp; IF(AND(L760&gt;L_rampe,pos_xz&lt;=L_rampe),"Sortie de rampe","")</f>
        <v/>
      </c>
      <c r="Z759" s="424" t="str">
        <f aca="false">IF(ABS(t-T_para)&lt;pas/2,"Para","")</f>
        <v/>
      </c>
      <c r="AA759" s="425" t="str">
        <f aca="false">IF(ABS(t-T_satellite)&lt;pas/2,"Satellite","")</f>
        <v/>
      </c>
      <c r="AB759" s="413"/>
      <c r="AC759" s="421" t="e">
        <f aca="false">IF(ABS(t-ROUND(t,0))&lt;0.001,t,NA())</f>
        <v>#N/A</v>
      </c>
      <c r="AD759" s="426" t="e">
        <f aca="false">IF(ABS(t-ROUND(t,0))&lt;0.001,pos_x,NA())</f>
        <v>#N/A</v>
      </c>
      <c r="AE759" s="427" t="e">
        <f aca="false">IF(t&lt;T_para, pos_z, NA())</f>
        <v>#N/A</v>
      </c>
      <c r="AF759" s="413"/>
      <c r="AG759" s="419" t="n">
        <f aca="false">IF(AND(L758&lt;L_rampe,Poussee&lt;Poids*SIN(M758)),0,(-W758+Poussee)/m-Poids*SIN(M758)/m)</f>
        <v>5.94936284097656</v>
      </c>
      <c r="AH759" s="418" t="n">
        <f aca="false">IF(AND(L758&lt;L_rampe,Poussee&lt;Poids*SIN(M758)), g*SIN(M758), (-W758+Poussee)/m)</f>
        <v>-3.76004308642553</v>
      </c>
    </row>
    <row r="760" customFormat="false" ht="12" hidden="false" customHeight="false" outlineLevel="0" collapsed="false">
      <c r="A760" s="417" t="n">
        <f aca="false">IF(B759+0.01&lt;=T_ini+ROUNDUP(Temps_fin_propu,0), 0.01, IF(K759&gt;0, 0.1, 0.0001))</f>
        <v>0.0001</v>
      </c>
      <c r="B760" s="418" t="n">
        <f aca="false">B759+pas</f>
        <v>16.5410999999999</v>
      </c>
      <c r="C760" s="402"/>
      <c r="D760" s="419" t="n">
        <f aca="false">IF(AND(L759&lt;L_rampe,Poussee&lt;Poids*SIN(M759)),0,(-W759+Poussee)/m*COS(M759)-U759/m*SIN(M759))</f>
        <v>-0.537087369760133</v>
      </c>
      <c r="E760" s="420" t="n">
        <f aca="false">IF(AND(L759&lt;L_rampe,Poussee&lt;Poids*SIN(M759)),0,(-W759+Poussee)/m*SIN(M759)+U759/m*COS(M759)-Poids/m)</f>
        <v>-6.08844797842505</v>
      </c>
      <c r="F760" s="418" t="n">
        <f aca="false">SQRT(acc_x^2+acc_z^2)</f>
        <v>6.11209142836918</v>
      </c>
      <c r="G760" s="419" t="n">
        <f aca="false">G759+acc_x*pas</f>
        <v>10.2651774130761</v>
      </c>
      <c r="H760" s="420" t="n">
        <f aca="false">H759+acc_z*pas</f>
        <v>-71.1298026859767</v>
      </c>
      <c r="I760" s="418" t="n">
        <f aca="false">SQRT(vit_x^2+vit_z^2)</f>
        <v>71.8667008945583</v>
      </c>
      <c r="J760" s="419" t="n">
        <f aca="false">J759+0.5*(vit_x+G759)*pas*(K759&gt;=0)</f>
        <v>211.791153319536</v>
      </c>
      <c r="K760" s="420" t="n">
        <f aca="false">K759+0.5*(vit_z+H759)*pas</f>
        <v>-7.35114704982175</v>
      </c>
      <c r="L760" s="418" t="n">
        <f aca="false">SQRT(pos_x^2+pos_z^2)</f>
        <v>211.918691925388</v>
      </c>
      <c r="M760" s="419" t="n">
        <f aca="false">IF(AND(L759&gt;L_rampe,G760&gt;0),ATAN2(G760,H760),$M$4)</f>
        <v>-1.42746976378998</v>
      </c>
      <c r="N760" s="418" t="n">
        <f aca="false">DEGREES(Beta)</f>
        <v>-81.7879928477025</v>
      </c>
      <c r="O760" s="402"/>
      <c r="P760" s="421" t="n">
        <f aca="false">MATCH(t-pas/2-T_ini,CdP_t)</f>
        <v>23</v>
      </c>
      <c r="Q760" s="418" t="n">
        <f aca="false">(INDEX(CdP,2,i_P+1)-INDEX(CdP,2,i_P+0))/(INDEX(CdP,1,i_P+1)-INDEX(CdP,1,i_P+0))*(t-pas/2-T_ini-INDEX(CdP,1,i_P+0))+INDEX(CdP,2,i_P+0)</f>
        <v>0</v>
      </c>
      <c r="R760" s="419" t="n">
        <f aca="false">Poussee/(g*ISP)</f>
        <v>0</v>
      </c>
      <c r="S760" s="420" t="n">
        <f aca="false">S759-Débit*pas</f>
        <v>1.4843</v>
      </c>
      <c r="T760" s="418" t="n">
        <f aca="false">m*g</f>
        <v>14.560983</v>
      </c>
      <c r="U760" s="422" t="n">
        <f aca="false">IF(pos_xz&lt;L_rampe,Poids*COS(Beta),0)</f>
        <v>0</v>
      </c>
      <c r="V760" s="419" t="n">
        <f aca="false">Rho_moyen*(20000-Alt_rampe-pos_z)/(20000+Alt_rampe+pos_z)</f>
        <v>1.2259008466264</v>
      </c>
      <c r="W760" s="418" t="n">
        <f aca="false">1/2*Rho*Sref*Cx*vit_xz^2</f>
        <v>5.58122470310585</v>
      </c>
      <c r="X760" s="402"/>
      <c r="Y760" s="423" t="str">
        <f aca="false">IF(AND(pos_z&lt;=0,K759&gt;0),"Impact balistique","") &amp; IF(AND(H761&lt;0,vit_z&gt;=0),"Apogée","") &amp; IF(AND(Poussee=0,Q759&gt;0),"Fin de propulsion","") &amp; IF(AND(L761&gt;L_rampe,pos_xz&lt;=L_rampe),"Sortie de rampe","")</f>
        <v/>
      </c>
      <c r="Z760" s="424" t="str">
        <f aca="false">IF(ABS(t-T_para)&lt;pas/2,"Para","")</f>
        <v/>
      </c>
      <c r="AA760" s="425" t="str">
        <f aca="false">IF(ABS(t-T_satellite)&lt;pas/2,"Satellite","")</f>
        <v/>
      </c>
      <c r="AB760" s="413"/>
      <c r="AC760" s="421" t="e">
        <f aca="false">IF(ABS(t-ROUND(t,0))&lt;0.001,t,NA())</f>
        <v>#N/A</v>
      </c>
      <c r="AD760" s="426" t="e">
        <f aca="false">IF(ABS(t-ROUND(t,0))&lt;0.001,pos_x,NA())</f>
        <v>#N/A</v>
      </c>
      <c r="AE760" s="427" t="e">
        <f aca="false">IF(t&lt;T_para, pos_z, NA())</f>
        <v>#N/A</v>
      </c>
      <c r="AF760" s="413"/>
      <c r="AG760" s="419" t="n">
        <f aca="false">IF(AND(L759&lt;L_rampe,Poussee&lt;Poids*SIN(M759)),0,(-W759+Poussee)/m-Poids*SIN(M759)/m)</f>
        <v>5.94930064359106</v>
      </c>
      <c r="AH760" s="418" t="n">
        <f aca="false">IF(AND(L759&lt;L_rampe,Poussee&lt;Poids*SIN(M759)), g*SIN(M759), (-W759+Poussee)/m)</f>
        <v>-3.76010801600758</v>
      </c>
    </row>
    <row r="761" customFormat="false" ht="12" hidden="false" customHeight="false" outlineLevel="0" collapsed="false">
      <c r="A761" s="417" t="n">
        <f aca="false">IF(B760+0.01&lt;=T_ini+ROUNDUP(Temps_fin_propu,0), 0.01, IF(K760&gt;0, 0.1, 0.0001))</f>
        <v>0.0001</v>
      </c>
      <c r="B761" s="418" t="n">
        <f aca="false">B760+pas</f>
        <v>16.5411999999999</v>
      </c>
      <c r="C761" s="402"/>
      <c r="D761" s="419" t="n">
        <f aca="false">IF(AND(L760&lt;L_rampe,Poussee&lt;Poids*SIN(M760)),0,(-W760+Poussee)/m*COS(M760)-U760/m*SIN(M760))</f>
        <v>-0.537089387847802</v>
      </c>
      <c r="E761" s="420" t="n">
        <f aca="false">IF(AND(L760&lt;L_rampe,Poussee&lt;Poids*SIN(M760)),0,(-W760+Poussee)/m*SIN(M760)+U760/m*COS(M760)-Poids/m)</f>
        <v>-6.08838266743622</v>
      </c>
      <c r="F761" s="418" t="n">
        <f aca="false">SQRT(acc_x^2+acc_z^2)</f>
        <v>6.11202654736353</v>
      </c>
      <c r="G761" s="419" t="n">
        <f aca="false">G760+acc_x*pas</f>
        <v>10.2651237041373</v>
      </c>
      <c r="H761" s="420" t="n">
        <f aca="false">H760+acc_z*pas</f>
        <v>-71.1304115242434</v>
      </c>
      <c r="I761" s="418" t="n">
        <f aca="false">SQRT(vit_x^2+vit_z^2)</f>
        <v>71.8672958185395</v>
      </c>
      <c r="J761" s="419" t="n">
        <f aca="false">J760+0.5*(vit_x+G760)*pas*(K760&gt;=0)</f>
        <v>211.791153319536</v>
      </c>
      <c r="K761" s="420" t="n">
        <f aca="false">K760+0.5*(vit_z+H760)*pas</f>
        <v>-7.35826006053226</v>
      </c>
      <c r="L761" s="418" t="n">
        <f aca="false">SQRT(pos_x^2+pos_z^2)</f>
        <v>211.918938784474</v>
      </c>
      <c r="M761" s="419" t="n">
        <f aca="false">IF(AND(L760&gt;L_rampe,G761&gt;0),ATAN2(G761,H761),$M$4)</f>
        <v>-1.42747171352887</v>
      </c>
      <c r="N761" s="418" t="n">
        <f aca="false">DEGREES(Beta)</f>
        <v>-81.7881045595121</v>
      </c>
      <c r="O761" s="402"/>
      <c r="P761" s="421" t="n">
        <f aca="false">MATCH(t-pas/2-T_ini,CdP_t)</f>
        <v>23</v>
      </c>
      <c r="Q761" s="418" t="n">
        <f aca="false">(INDEX(CdP,2,i_P+1)-INDEX(CdP,2,i_P+0))/(INDEX(CdP,1,i_P+1)-INDEX(CdP,1,i_P+0))*(t-pas/2-T_ini-INDEX(CdP,1,i_P+0))+INDEX(CdP,2,i_P+0)</f>
        <v>0</v>
      </c>
      <c r="R761" s="419" t="n">
        <f aca="false">Poussee/(g*ISP)</f>
        <v>0</v>
      </c>
      <c r="S761" s="420" t="n">
        <f aca="false">S760-Débit*pas</f>
        <v>1.4843</v>
      </c>
      <c r="T761" s="418" t="n">
        <f aca="false">m*g</f>
        <v>14.560983</v>
      </c>
      <c r="U761" s="422" t="n">
        <f aca="false">IF(pos_xz&lt;L_rampe,Poids*COS(Beta),0)</f>
        <v>0</v>
      </c>
      <c r="V761" s="419" t="n">
        <f aca="false">Rho_moyen*(20000-Alt_rampe-pos_z)/(20000+Alt_rampe+pos_z)</f>
        <v>1.22590171861142</v>
      </c>
      <c r="W761" s="418" t="n">
        <f aca="false">1/2*Rho*Sref*Cx*vit_xz^2</f>
        <v>5.5813210780188</v>
      </c>
      <c r="X761" s="402"/>
      <c r="Y761" s="423" t="str">
        <f aca="false">IF(AND(pos_z&lt;=0,K760&gt;0),"Impact balistique","") &amp; IF(AND(H762&lt;0,vit_z&gt;=0),"Apogée","") &amp; IF(AND(Poussee=0,Q760&gt;0),"Fin de propulsion","") &amp; IF(AND(L762&gt;L_rampe,pos_xz&lt;=L_rampe),"Sortie de rampe","")</f>
        <v/>
      </c>
      <c r="Z761" s="424" t="str">
        <f aca="false">IF(ABS(t-T_para)&lt;pas/2,"Para","")</f>
        <v/>
      </c>
      <c r="AA761" s="425" t="str">
        <f aca="false">IF(ABS(t-T_satellite)&lt;pas/2,"Satellite","")</f>
        <v/>
      </c>
      <c r="AB761" s="413"/>
      <c r="AC761" s="421" t="e">
        <f aca="false">IF(ABS(t-ROUND(t,0))&lt;0.001,t,NA())</f>
        <v>#N/A</v>
      </c>
      <c r="AD761" s="426" t="e">
        <f aca="false">IF(ABS(t-ROUND(t,0))&lt;0.001,pos_x,NA())</f>
        <v>#N/A</v>
      </c>
      <c r="AE761" s="427" t="e">
        <f aca="false">IF(t&lt;T_para, pos_z, NA())</f>
        <v>#N/A</v>
      </c>
      <c r="AF761" s="413"/>
      <c r="AG761" s="419" t="n">
        <f aca="false">IF(AND(L760&lt;L_rampe,Poussee&lt;Poids*SIN(M760)),0,(-W760+Poussee)/m-Poids*SIN(M760)/m)</f>
        <v>5.94923844613125</v>
      </c>
      <c r="AH761" s="418" t="n">
        <f aca="false">IF(AND(L760&lt;L_rampe,Poussee&lt;Poids*SIN(M760)), g*SIN(M760), (-W760+Poussee)/m)</f>
        <v>-3.76017294556751</v>
      </c>
    </row>
    <row r="762" customFormat="false" ht="12" hidden="false" customHeight="false" outlineLevel="0" collapsed="false">
      <c r="A762" s="417" t="n">
        <f aca="false">IF(B761+0.01&lt;=T_ini+ROUNDUP(Temps_fin_propu,0), 0.01, IF(K761&gt;0, 0.1, 0.0001))</f>
        <v>0.0001</v>
      </c>
      <c r="B762" s="418" t="n">
        <f aca="false">B761+pas</f>
        <v>16.5412999999999</v>
      </c>
      <c r="C762" s="402"/>
      <c r="D762" s="419" t="n">
        <f aca="false">IF(AND(L761&lt;L_rampe,Poussee&lt;Poids*SIN(M761)),0,(-W761+Poussee)/m*COS(M761)-U761/m*SIN(M761))</f>
        <v>-0.537091405837771</v>
      </c>
      <c r="E762" s="420" t="n">
        <f aca="false">IF(AND(L761&lt;L_rampe,Poussee&lt;Poids*SIN(M761)),0,(-W761+Poussee)/m*SIN(M761)+U761/m*COS(M761)-Poids/m)</f>
        <v>-6.0883173564701</v>
      </c>
      <c r="F762" s="418" t="n">
        <f aca="false">SQRT(acc_x^2+acc_z^2)</f>
        <v>6.11196166638174</v>
      </c>
      <c r="G762" s="419" t="n">
        <f aca="false">G761+acc_x*pas</f>
        <v>10.2650699949967</v>
      </c>
      <c r="H762" s="420" t="n">
        <f aca="false">H761+acc_z*pas</f>
        <v>-71.1310203559791</v>
      </c>
      <c r="I762" s="418" t="n">
        <f aca="false">SQRT(vit_x^2+vit_z^2)</f>
        <v>71.867890736301</v>
      </c>
      <c r="J762" s="419" t="n">
        <f aca="false">J761+0.5*(vit_x+G761)*pas*(K761&gt;=0)</f>
        <v>211.791153319536</v>
      </c>
      <c r="K762" s="420" t="n">
        <f aca="false">K761+0.5*(vit_z+H761)*pas</f>
        <v>-7.36537313212627</v>
      </c>
      <c r="L762" s="418" t="n">
        <f aca="false">SQRT(pos_x^2+pos_z^2)</f>
        <v>211.919185884135</v>
      </c>
      <c r="M762" s="419" t="n">
        <f aca="false">IF(AND(L761&gt;L_rampe,G762&gt;0),ATAN2(G762,H762),$M$4)</f>
        <v>-1.42747366322528</v>
      </c>
      <c r="N762" s="418" t="n">
        <f aca="false">DEGREES(Beta)</f>
        <v>-81.7882162688878</v>
      </c>
      <c r="O762" s="402"/>
      <c r="P762" s="421" t="n">
        <f aca="false">MATCH(t-pas/2-T_ini,CdP_t)</f>
        <v>23</v>
      </c>
      <c r="Q762" s="418" t="n">
        <f aca="false">(INDEX(CdP,2,i_P+1)-INDEX(CdP,2,i_P+0))/(INDEX(CdP,1,i_P+1)-INDEX(CdP,1,i_P+0))*(t-pas/2-T_ini-INDEX(CdP,1,i_P+0))+INDEX(CdP,2,i_P+0)</f>
        <v>0</v>
      </c>
      <c r="R762" s="419" t="n">
        <f aca="false">Poussee/(g*ISP)</f>
        <v>0</v>
      </c>
      <c r="S762" s="420" t="n">
        <f aca="false">S761-Débit*pas</f>
        <v>1.4843</v>
      </c>
      <c r="T762" s="418" t="n">
        <f aca="false">m*g</f>
        <v>14.560983</v>
      </c>
      <c r="U762" s="422" t="n">
        <f aca="false">IF(pos_xz&lt;L_rampe,Poids*COS(Beta),0)</f>
        <v>0</v>
      </c>
      <c r="V762" s="419" t="n">
        <f aca="false">Rho_moyen*(20000-Alt_rampe-pos_z)/(20000+Alt_rampe+pos_z)</f>
        <v>1.22590259060451</v>
      </c>
      <c r="W762" s="418" t="n">
        <f aca="false">1/2*Rho*Sref*Cx*vit_xz^2</f>
        <v>5.58141745289887</v>
      </c>
      <c r="X762" s="402"/>
      <c r="Y762" s="423" t="str">
        <f aca="false">IF(AND(pos_z&lt;=0,K761&gt;0),"Impact balistique","") &amp; IF(AND(H763&lt;0,vit_z&gt;=0),"Apogée","") &amp; IF(AND(Poussee=0,Q761&gt;0),"Fin de propulsion","") &amp; IF(AND(L763&gt;L_rampe,pos_xz&lt;=L_rampe),"Sortie de rampe","")</f>
        <v/>
      </c>
      <c r="Z762" s="424" t="str">
        <f aca="false">IF(ABS(t-T_para)&lt;pas/2,"Para","")</f>
        <v/>
      </c>
      <c r="AA762" s="425" t="str">
        <f aca="false">IF(ABS(t-T_satellite)&lt;pas/2,"Satellite","")</f>
        <v/>
      </c>
      <c r="AB762" s="413"/>
      <c r="AC762" s="421" t="e">
        <f aca="false">IF(ABS(t-ROUND(t,0))&lt;0.001,t,NA())</f>
        <v>#N/A</v>
      </c>
      <c r="AD762" s="426" t="e">
        <f aca="false">IF(ABS(t-ROUND(t,0))&lt;0.001,pos_x,NA())</f>
        <v>#N/A</v>
      </c>
      <c r="AE762" s="427" t="e">
        <f aca="false">IF(t&lt;T_para, pos_z, NA())</f>
        <v>#N/A</v>
      </c>
      <c r="AF762" s="413"/>
      <c r="AG762" s="419" t="n">
        <f aca="false">IF(AND(L761&lt;L_rampe,Poussee&lt;Poids*SIN(M761)),0,(-W761+Poussee)/m-Poids*SIN(M761)/m)</f>
        <v>5.94917624859712</v>
      </c>
      <c r="AH762" s="418" t="n">
        <f aca="false">IF(AND(L761&lt;L_rampe,Poussee&lt;Poids*SIN(M761)), g*SIN(M761), (-W761+Poussee)/m)</f>
        <v>-3.76023787510531</v>
      </c>
    </row>
    <row r="763" customFormat="false" ht="12" hidden="false" customHeight="false" outlineLevel="0" collapsed="false">
      <c r="A763" s="417" t="n">
        <f aca="false">IF(B762+0.01&lt;=T_ini+ROUNDUP(Temps_fin_propu,0), 0.01, IF(K762&gt;0, 0.1, 0.0001))</f>
        <v>0.0001</v>
      </c>
      <c r="B763" s="418" t="n">
        <f aca="false">B762+pas</f>
        <v>16.5413999999999</v>
      </c>
      <c r="C763" s="402"/>
      <c r="D763" s="419" t="n">
        <f aca="false">IF(AND(L762&lt;L_rampe,Poussee&lt;Poids*SIN(M762)),0,(-W762+Poussee)/m*COS(M762)-U762/m*SIN(M762))</f>
        <v>-0.537093423730043</v>
      </c>
      <c r="E763" s="420" t="n">
        <f aca="false">IF(AND(L762&lt;L_rampe,Poussee&lt;Poids*SIN(M762)),0,(-W762+Poussee)/m*SIN(M762)+U762/m*COS(M762)-Poids/m)</f>
        <v>-6.08825204552671</v>
      </c>
      <c r="F763" s="418" t="n">
        <f aca="false">SQRT(acc_x^2+acc_z^2)</f>
        <v>6.11189678542383</v>
      </c>
      <c r="G763" s="419" t="n">
        <f aca="false">G762+acc_x*pas</f>
        <v>10.2650162856543</v>
      </c>
      <c r="H763" s="420" t="n">
        <f aca="false">H762+acc_z*pas</f>
        <v>-71.1316291811836</v>
      </c>
      <c r="I763" s="418" t="n">
        <f aca="false">SQRT(vit_x^2+vit_z^2)</f>
        <v>71.8684856478427</v>
      </c>
      <c r="J763" s="419" t="n">
        <f aca="false">J762+0.5*(vit_x+G762)*pas*(K762&gt;=0)</f>
        <v>211.791153319536</v>
      </c>
      <c r="K763" s="420" t="n">
        <f aca="false">K762+0.5*(vit_z+H762)*pas</f>
        <v>-7.37248626460313</v>
      </c>
      <c r="L763" s="418" t="n">
        <f aca="false">SQRT(pos_x^2+pos_z^2)</f>
        <v>211.919433224377</v>
      </c>
      <c r="M763" s="419" t="n">
        <f aca="false">IF(AND(L762&gt;L_rampe,G763&gt;0),ATAN2(G763,H763),$M$4)</f>
        <v>-1.42747561287921</v>
      </c>
      <c r="N763" s="418" t="n">
        <f aca="false">DEGREES(Beta)</f>
        <v>-81.7883279758295</v>
      </c>
      <c r="O763" s="402"/>
      <c r="P763" s="421" t="n">
        <f aca="false">MATCH(t-pas/2-T_ini,CdP_t)</f>
        <v>23</v>
      </c>
      <c r="Q763" s="418" t="n">
        <f aca="false">(INDEX(CdP,2,i_P+1)-INDEX(CdP,2,i_P+0))/(INDEX(CdP,1,i_P+1)-INDEX(CdP,1,i_P+0))*(t-pas/2-T_ini-INDEX(CdP,1,i_P+0))+INDEX(CdP,2,i_P+0)</f>
        <v>0</v>
      </c>
      <c r="R763" s="419" t="n">
        <f aca="false">Poussee/(g*ISP)</f>
        <v>0</v>
      </c>
      <c r="S763" s="420" t="n">
        <f aca="false">S762-Débit*pas</f>
        <v>1.4843</v>
      </c>
      <c r="T763" s="418" t="n">
        <f aca="false">m*g</f>
        <v>14.560983</v>
      </c>
      <c r="U763" s="422" t="n">
        <f aca="false">IF(pos_xz&lt;L_rampe,Poids*COS(Beta),0)</f>
        <v>0</v>
      </c>
      <c r="V763" s="419" t="n">
        <f aca="false">Rho_moyen*(20000-Alt_rampe-pos_z)/(20000+Alt_rampe+pos_z)</f>
        <v>1.2259034626057</v>
      </c>
      <c r="W763" s="418" t="n">
        <f aca="false">1/2*Rho*Sref*Cx*vit_xz^2</f>
        <v>5.58151382774605</v>
      </c>
      <c r="X763" s="402"/>
      <c r="Y763" s="423" t="str">
        <f aca="false">IF(AND(pos_z&lt;=0,K762&gt;0),"Impact balistique","") &amp; IF(AND(H764&lt;0,vit_z&gt;=0),"Apogée","") &amp; IF(AND(Poussee=0,Q762&gt;0),"Fin de propulsion","") &amp; IF(AND(L764&gt;L_rampe,pos_xz&lt;=L_rampe),"Sortie de rampe","")</f>
        <v/>
      </c>
      <c r="Z763" s="424" t="str">
        <f aca="false">IF(ABS(t-T_para)&lt;pas/2,"Para","")</f>
        <v/>
      </c>
      <c r="AA763" s="425" t="str">
        <f aca="false">IF(ABS(t-T_satellite)&lt;pas/2,"Satellite","")</f>
        <v/>
      </c>
      <c r="AB763" s="413"/>
      <c r="AC763" s="421" t="e">
        <f aca="false">IF(ABS(t-ROUND(t,0))&lt;0.001,t,NA())</f>
        <v>#N/A</v>
      </c>
      <c r="AD763" s="426" t="e">
        <f aca="false">IF(ABS(t-ROUND(t,0))&lt;0.001,pos_x,NA())</f>
        <v>#N/A</v>
      </c>
      <c r="AE763" s="427" t="e">
        <f aca="false">IF(t&lt;T_para, pos_z, NA())</f>
        <v>#N/A</v>
      </c>
      <c r="AF763" s="413"/>
      <c r="AG763" s="419" t="n">
        <f aca="false">IF(AND(L762&lt;L_rampe,Poussee&lt;Poids*SIN(M762)),0,(-W762+Poussee)/m-Poids*SIN(M762)/m)</f>
        <v>5.94911405098872</v>
      </c>
      <c r="AH763" s="418" t="n">
        <f aca="false">IF(AND(L762&lt;L_rampe,Poussee&lt;Poids*SIN(M762)), g*SIN(M762), (-W762+Poussee)/m)</f>
        <v>-3.76030280462095</v>
      </c>
    </row>
    <row r="764" customFormat="false" ht="12" hidden="false" customHeight="false" outlineLevel="0" collapsed="false">
      <c r="A764" s="417" t="n">
        <f aca="false">IF(B763+0.01&lt;=T_ini+ROUNDUP(Temps_fin_propu,0), 0.01, IF(K763&gt;0, 0.1, 0.0001))</f>
        <v>0.0001</v>
      </c>
      <c r="B764" s="418" t="n">
        <f aca="false">B763+pas</f>
        <v>16.5414999999999</v>
      </c>
      <c r="C764" s="402"/>
      <c r="D764" s="419" t="n">
        <f aca="false">IF(AND(L763&lt;L_rampe,Poussee&lt;Poids*SIN(M763)),0,(-W763+Poussee)/m*COS(M763)-U763/m*SIN(M763))</f>
        <v>-0.537095441524619</v>
      </c>
      <c r="E764" s="420" t="n">
        <f aca="false">IF(AND(L763&lt;L_rampe,Poussee&lt;Poids*SIN(M763)),0,(-W763+Poussee)/m*SIN(M763)+U763/m*COS(M763)-Poids/m)</f>
        <v>-6.08818673460605</v>
      </c>
      <c r="F764" s="418" t="n">
        <f aca="false">SQRT(acc_x^2+acc_z^2)</f>
        <v>6.11183190448981</v>
      </c>
      <c r="G764" s="419" t="n">
        <f aca="false">G763+acc_x*pas</f>
        <v>10.2649625761102</v>
      </c>
      <c r="H764" s="420" t="n">
        <f aca="false">H763+acc_z*pas</f>
        <v>-71.1322379998571</v>
      </c>
      <c r="I764" s="418" t="n">
        <f aca="false">SQRT(vit_x^2+vit_z^2)</f>
        <v>71.8690805531646</v>
      </c>
      <c r="J764" s="419" t="n">
        <f aca="false">J763+0.5*(vit_x+G763)*pas*(K763&gt;=0)</f>
        <v>211.791153319536</v>
      </c>
      <c r="K764" s="420" t="n">
        <f aca="false">K763+0.5*(vit_z+H763)*pas</f>
        <v>-7.37959945796218</v>
      </c>
      <c r="L764" s="418" t="n">
        <f aca="false">SQRT(pos_x^2+pos_z^2)</f>
        <v>211.919680805203</v>
      </c>
      <c r="M764" s="419" t="n">
        <f aca="false">IF(AND(L763&gt;L_rampe,G764&gt;0),ATAN2(G764,H764),$M$4)</f>
        <v>-1.42747756249067</v>
      </c>
      <c r="N764" s="418" t="n">
        <f aca="false">DEGREES(Beta)</f>
        <v>-81.7884396803375</v>
      </c>
      <c r="O764" s="402"/>
      <c r="P764" s="421" t="n">
        <f aca="false">MATCH(t-pas/2-T_ini,CdP_t)</f>
        <v>23</v>
      </c>
      <c r="Q764" s="418" t="n">
        <f aca="false">(INDEX(CdP,2,i_P+1)-INDEX(CdP,2,i_P+0))/(INDEX(CdP,1,i_P+1)-INDEX(CdP,1,i_P+0))*(t-pas/2-T_ini-INDEX(CdP,1,i_P+0))+INDEX(CdP,2,i_P+0)</f>
        <v>0</v>
      </c>
      <c r="R764" s="419" t="n">
        <f aca="false">Poussee/(g*ISP)</f>
        <v>0</v>
      </c>
      <c r="S764" s="420" t="n">
        <f aca="false">S763-Débit*pas</f>
        <v>1.4843</v>
      </c>
      <c r="T764" s="418" t="n">
        <f aca="false">m*g</f>
        <v>14.560983</v>
      </c>
      <c r="U764" s="422" t="n">
        <f aca="false">IF(pos_xz&lt;L_rampe,Poids*COS(Beta),0)</f>
        <v>0</v>
      </c>
      <c r="V764" s="419" t="n">
        <f aca="false">Rho_moyen*(20000-Alt_rampe-pos_z)/(20000+Alt_rampe+pos_z)</f>
        <v>1.22590433461496</v>
      </c>
      <c r="W764" s="418" t="n">
        <f aca="false">1/2*Rho*Sref*Cx*vit_xz^2</f>
        <v>5.5816102025603</v>
      </c>
      <c r="X764" s="402"/>
      <c r="Y764" s="423" t="str">
        <f aca="false">IF(AND(pos_z&lt;=0,K763&gt;0),"Impact balistique","") &amp; IF(AND(H765&lt;0,vit_z&gt;=0),"Apogée","") &amp; IF(AND(Poussee=0,Q763&gt;0),"Fin de propulsion","") &amp; IF(AND(L765&gt;L_rampe,pos_xz&lt;=L_rampe),"Sortie de rampe","")</f>
        <v/>
      </c>
      <c r="Z764" s="424" t="str">
        <f aca="false">IF(ABS(t-T_para)&lt;pas/2,"Para","")</f>
        <v/>
      </c>
      <c r="AA764" s="425" t="str">
        <f aca="false">IF(ABS(t-T_satellite)&lt;pas/2,"Satellite","")</f>
        <v/>
      </c>
      <c r="AB764" s="413"/>
      <c r="AC764" s="421" t="e">
        <f aca="false">IF(ABS(t-ROUND(t,0))&lt;0.001,t,NA())</f>
        <v>#N/A</v>
      </c>
      <c r="AD764" s="426" t="e">
        <f aca="false">IF(ABS(t-ROUND(t,0))&lt;0.001,pos_x,NA())</f>
        <v>#N/A</v>
      </c>
      <c r="AE764" s="427" t="e">
        <f aca="false">IF(t&lt;T_para, pos_z, NA())</f>
        <v>#N/A</v>
      </c>
      <c r="AF764" s="413"/>
      <c r="AG764" s="419" t="n">
        <f aca="false">IF(AND(L763&lt;L_rampe,Poussee&lt;Poids*SIN(M763)),0,(-W763+Poussee)/m-Poids*SIN(M763)/m)</f>
        <v>5.94905185330605</v>
      </c>
      <c r="AH764" s="418" t="n">
        <f aca="false">IF(AND(L763&lt;L_rampe,Poussee&lt;Poids*SIN(M763)), g*SIN(M763), (-W763+Poussee)/m)</f>
        <v>-3.76036773411444</v>
      </c>
    </row>
    <row r="765" customFormat="false" ht="12" hidden="false" customHeight="false" outlineLevel="0" collapsed="false">
      <c r="A765" s="417" t="n">
        <f aca="false">IF(B764+0.01&lt;=T_ini+ROUNDUP(Temps_fin_propu,0), 0.01, IF(K764&gt;0, 0.1, 0.0001))</f>
        <v>0.0001</v>
      </c>
      <c r="B765" s="418" t="n">
        <f aca="false">B764+pas</f>
        <v>16.5415999999999</v>
      </c>
      <c r="C765" s="402"/>
      <c r="D765" s="419" t="n">
        <f aca="false">IF(AND(L764&lt;L_rampe,Poussee&lt;Poids*SIN(M764)),0,(-W764+Poussee)/m*COS(M764)-U764/m*SIN(M764))</f>
        <v>-0.537097459221499</v>
      </c>
      <c r="E765" s="420" t="n">
        <f aca="false">IF(AND(L764&lt;L_rampe,Poussee&lt;Poids*SIN(M764)),0,(-W764+Poussee)/m*SIN(M764)+U764/m*COS(M764)-Poids/m)</f>
        <v>-6.08812142370814</v>
      </c>
      <c r="F765" s="418" t="n">
        <f aca="false">SQRT(acc_x^2+acc_z^2)</f>
        <v>6.1117670235797</v>
      </c>
      <c r="G765" s="419" t="n">
        <f aca="false">G764+acc_x*pas</f>
        <v>10.2649088663643</v>
      </c>
      <c r="H765" s="420" t="n">
        <f aca="false">H764+acc_z*pas</f>
        <v>-71.1328468119995</v>
      </c>
      <c r="I765" s="418" t="n">
        <f aca="false">SQRT(vit_x^2+vit_z^2)</f>
        <v>71.8696754522667</v>
      </c>
      <c r="J765" s="419" t="n">
        <f aca="false">J764+0.5*(vit_x+G764)*pas*(K764&gt;=0)</f>
        <v>211.791153319536</v>
      </c>
      <c r="K765" s="420" t="n">
        <f aca="false">K764+0.5*(vit_z+H764)*pas</f>
        <v>-7.38671271220277</v>
      </c>
      <c r="L765" s="418" t="n">
        <f aca="false">SQRT(pos_x^2+pos_z^2)</f>
        <v>211.91992862662</v>
      </c>
      <c r="M765" s="419" t="n">
        <f aca="false">IF(AND(L764&gt;L_rampe,G765&gt;0),ATAN2(G765,H765),$M$4)</f>
        <v>-1.42747951205964</v>
      </c>
      <c r="N765" s="418" t="n">
        <f aca="false">DEGREES(Beta)</f>
        <v>-81.7885513824117</v>
      </c>
      <c r="O765" s="402"/>
      <c r="P765" s="421" t="n">
        <f aca="false">MATCH(t-pas/2-T_ini,CdP_t)</f>
        <v>23</v>
      </c>
      <c r="Q765" s="418" t="n">
        <f aca="false">(INDEX(CdP,2,i_P+1)-INDEX(CdP,2,i_P+0))/(INDEX(CdP,1,i_P+1)-INDEX(CdP,1,i_P+0))*(t-pas/2-T_ini-INDEX(CdP,1,i_P+0))+INDEX(CdP,2,i_P+0)</f>
        <v>0</v>
      </c>
      <c r="R765" s="419" t="n">
        <f aca="false">Poussee/(g*ISP)</f>
        <v>0</v>
      </c>
      <c r="S765" s="420" t="n">
        <f aca="false">S764-Débit*pas</f>
        <v>1.4843</v>
      </c>
      <c r="T765" s="418" t="n">
        <f aca="false">m*g</f>
        <v>14.560983</v>
      </c>
      <c r="U765" s="422" t="n">
        <f aca="false">IF(pos_xz&lt;L_rampe,Poids*COS(Beta),0)</f>
        <v>0</v>
      </c>
      <c r="V765" s="419" t="n">
        <f aca="false">Rho_moyen*(20000-Alt_rampe-pos_z)/(20000+Alt_rampe+pos_z)</f>
        <v>1.22590520663231</v>
      </c>
      <c r="W765" s="418" t="n">
        <f aca="false">1/2*Rho*Sref*Cx*vit_xz^2</f>
        <v>5.5817065773416</v>
      </c>
      <c r="X765" s="402"/>
      <c r="Y765" s="423" t="str">
        <f aca="false">IF(AND(pos_z&lt;=0,K764&gt;0),"Impact balistique","") &amp; IF(AND(H766&lt;0,vit_z&gt;=0),"Apogée","") &amp; IF(AND(Poussee=0,Q764&gt;0),"Fin de propulsion","") &amp; IF(AND(L766&gt;L_rampe,pos_xz&lt;=L_rampe),"Sortie de rampe","")</f>
        <v/>
      </c>
      <c r="Z765" s="424" t="str">
        <f aca="false">IF(ABS(t-T_para)&lt;pas/2,"Para","")</f>
        <v/>
      </c>
      <c r="AA765" s="425" t="str">
        <f aca="false">IF(ABS(t-T_satellite)&lt;pas/2,"Satellite","")</f>
        <v/>
      </c>
      <c r="AB765" s="413"/>
      <c r="AC765" s="421" t="e">
        <f aca="false">IF(ABS(t-ROUND(t,0))&lt;0.001,t,NA())</f>
        <v>#N/A</v>
      </c>
      <c r="AD765" s="426" t="e">
        <f aca="false">IF(ABS(t-ROUND(t,0))&lt;0.001,pos_x,NA())</f>
        <v>#N/A</v>
      </c>
      <c r="AE765" s="427" t="e">
        <f aca="false">IF(t&lt;T_para, pos_z, NA())</f>
        <v>#N/A</v>
      </c>
      <c r="AF765" s="413"/>
      <c r="AG765" s="419" t="n">
        <f aca="false">IF(AND(L764&lt;L_rampe,Poussee&lt;Poids*SIN(M764)),0,(-W764+Poussee)/m-Poids*SIN(M764)/m)</f>
        <v>5.94898965554914</v>
      </c>
      <c r="AH765" s="418" t="n">
        <f aca="false">IF(AND(L764&lt;L_rampe,Poussee&lt;Poids*SIN(M764)), g*SIN(M764), (-W764+Poussee)/m)</f>
        <v>-3.76043266358574</v>
      </c>
    </row>
    <row r="766" customFormat="false" ht="12" hidden="false" customHeight="false" outlineLevel="0" collapsed="false">
      <c r="A766" s="417" t="n">
        <f aca="false">IF(B765+0.01&lt;=T_ini+ROUNDUP(Temps_fin_propu,0), 0.01, IF(K765&gt;0, 0.1, 0.0001))</f>
        <v>0.0001</v>
      </c>
      <c r="B766" s="418" t="n">
        <f aca="false">B765+pas</f>
        <v>16.5416999999999</v>
      </c>
      <c r="C766" s="402"/>
      <c r="D766" s="419" t="n">
        <f aca="false">IF(AND(L765&lt;L_rampe,Poussee&lt;Poids*SIN(M765)),0,(-W765+Poussee)/m*COS(M765)-U765/m*SIN(M765))</f>
        <v>-0.537099476820684</v>
      </c>
      <c r="E766" s="420" t="n">
        <f aca="false">IF(AND(L765&lt;L_rampe,Poussee&lt;Poids*SIN(M765)),0,(-W765+Poussee)/m*SIN(M765)+U765/m*COS(M765)-Poids/m)</f>
        <v>-6.08805611283301</v>
      </c>
      <c r="F766" s="418" t="n">
        <f aca="false">SQRT(acc_x^2+acc_z^2)</f>
        <v>6.11170214269351</v>
      </c>
      <c r="G766" s="419" t="n">
        <f aca="false">G765+acc_x*pas</f>
        <v>10.2648551564166</v>
      </c>
      <c r="H766" s="420" t="n">
        <f aca="false">H765+acc_z*pas</f>
        <v>-71.1334556176108</v>
      </c>
      <c r="I766" s="418" t="n">
        <f aca="false">SQRT(vit_x^2+vit_z^2)</f>
        <v>71.8702703451491</v>
      </c>
      <c r="J766" s="419" t="n">
        <f aca="false">J765+0.5*(vit_x+G765)*pas*(K765&gt;=0)</f>
        <v>211.791153319536</v>
      </c>
      <c r="K766" s="420" t="n">
        <f aca="false">K765+0.5*(vit_z+H765)*pas</f>
        <v>-7.39382602732425</v>
      </c>
      <c r="L766" s="418" t="n">
        <f aca="false">SQRT(pos_x^2+pos_z^2)</f>
        <v>211.920176688633</v>
      </c>
      <c r="M766" s="419" t="n">
        <f aca="false">IF(AND(L765&gt;L_rampe,G766&gt;0),ATAN2(G766,H766),$M$4)</f>
        <v>-1.42748146158614</v>
      </c>
      <c r="N766" s="418" t="n">
        <f aca="false">DEGREES(Beta)</f>
        <v>-81.7886630820522</v>
      </c>
      <c r="O766" s="402"/>
      <c r="P766" s="421" t="n">
        <f aca="false">MATCH(t-pas/2-T_ini,CdP_t)</f>
        <v>23</v>
      </c>
      <c r="Q766" s="418" t="n">
        <f aca="false">(INDEX(CdP,2,i_P+1)-INDEX(CdP,2,i_P+0))/(INDEX(CdP,1,i_P+1)-INDEX(CdP,1,i_P+0))*(t-pas/2-T_ini-INDEX(CdP,1,i_P+0))+INDEX(CdP,2,i_P+0)</f>
        <v>0</v>
      </c>
      <c r="R766" s="419" t="n">
        <f aca="false">Poussee/(g*ISP)</f>
        <v>0</v>
      </c>
      <c r="S766" s="420" t="n">
        <f aca="false">S765-Débit*pas</f>
        <v>1.4843</v>
      </c>
      <c r="T766" s="418" t="n">
        <f aca="false">m*g</f>
        <v>14.560983</v>
      </c>
      <c r="U766" s="422" t="n">
        <f aca="false">IF(pos_xz&lt;L_rampe,Poids*COS(Beta),0)</f>
        <v>0</v>
      </c>
      <c r="V766" s="419" t="n">
        <f aca="false">Rho_moyen*(20000-Alt_rampe-pos_z)/(20000+Alt_rampe+pos_z)</f>
        <v>1.22590607865775</v>
      </c>
      <c r="W766" s="418" t="n">
        <f aca="false">1/2*Rho*Sref*Cx*vit_xz^2</f>
        <v>5.58180295208993</v>
      </c>
      <c r="X766" s="402"/>
      <c r="Y766" s="423" t="str">
        <f aca="false">IF(AND(pos_z&lt;=0,K765&gt;0),"Impact balistique","") &amp; IF(AND(H767&lt;0,vit_z&gt;=0),"Apogée","") &amp; IF(AND(Poussee=0,Q765&gt;0),"Fin de propulsion","") &amp; IF(AND(L767&gt;L_rampe,pos_xz&lt;=L_rampe),"Sortie de rampe","")</f>
        <v/>
      </c>
      <c r="Z766" s="424" t="str">
        <f aca="false">IF(ABS(t-T_para)&lt;pas/2,"Para","")</f>
        <v/>
      </c>
      <c r="AA766" s="425" t="str">
        <f aca="false">IF(ABS(t-T_satellite)&lt;pas/2,"Satellite","")</f>
        <v/>
      </c>
      <c r="AB766" s="413"/>
      <c r="AC766" s="421" t="e">
        <f aca="false">IF(ABS(t-ROUND(t,0))&lt;0.001,t,NA())</f>
        <v>#N/A</v>
      </c>
      <c r="AD766" s="426" t="e">
        <f aca="false">IF(ABS(t-ROUND(t,0))&lt;0.001,pos_x,NA())</f>
        <v>#N/A</v>
      </c>
      <c r="AE766" s="427" t="e">
        <f aca="false">IF(t&lt;T_para, pos_z, NA())</f>
        <v>#N/A</v>
      </c>
      <c r="AF766" s="413"/>
      <c r="AG766" s="419" t="n">
        <f aca="false">IF(AND(L765&lt;L_rampe,Poussee&lt;Poids*SIN(M765)),0,(-W765+Poussee)/m-Poids*SIN(M765)/m)</f>
        <v>5.94892745771801</v>
      </c>
      <c r="AH766" s="418" t="n">
        <f aca="false">IF(AND(L765&lt;L_rampe,Poussee&lt;Poids*SIN(M765)), g*SIN(M765), (-W765+Poussee)/m)</f>
        <v>-3.76049759303484</v>
      </c>
    </row>
    <row r="767" customFormat="false" ht="12" hidden="false" customHeight="false" outlineLevel="0" collapsed="false">
      <c r="A767" s="417" t="n">
        <f aca="false">IF(B766+0.01&lt;=T_ini+ROUNDUP(Temps_fin_propu,0), 0.01, IF(K766&gt;0, 0.1, 0.0001))</f>
        <v>0.0001</v>
      </c>
      <c r="B767" s="418" t="n">
        <f aca="false">B766+pas</f>
        <v>16.5417999999999</v>
      </c>
      <c r="C767" s="402"/>
      <c r="D767" s="419" t="n">
        <f aca="false">IF(AND(L766&lt;L_rampe,Poussee&lt;Poids*SIN(M766)),0,(-W766+Poussee)/m*COS(M766)-U766/m*SIN(M766))</f>
        <v>-0.537101494322174</v>
      </c>
      <c r="E767" s="420" t="n">
        <f aca="false">IF(AND(L766&lt;L_rampe,Poussee&lt;Poids*SIN(M766)),0,(-W766+Poussee)/m*SIN(M766)+U766/m*COS(M766)-Poids/m)</f>
        <v>-6.08799080198066</v>
      </c>
      <c r="F767" s="418" t="n">
        <f aca="false">SQRT(acc_x^2+acc_z^2)</f>
        <v>6.11163726183126</v>
      </c>
      <c r="G767" s="419" t="n">
        <f aca="false">G766+acc_x*pas</f>
        <v>10.2648014462671</v>
      </c>
      <c r="H767" s="420" t="n">
        <f aca="false">H766+acc_z*pas</f>
        <v>-71.134064416691</v>
      </c>
      <c r="I767" s="418" t="n">
        <f aca="false">SQRT(vit_x^2+vit_z^2)</f>
        <v>71.8708652318116</v>
      </c>
      <c r="J767" s="419" t="n">
        <f aca="false">J766+0.5*(vit_x+G766)*pas*(K766&gt;=0)</f>
        <v>211.791153319536</v>
      </c>
      <c r="K767" s="420" t="n">
        <f aca="false">K766+0.5*(vit_z+H766)*pas</f>
        <v>-7.40093940332597</v>
      </c>
      <c r="L767" s="418" t="n">
        <f aca="false">SQRT(pos_x^2+pos_z^2)</f>
        <v>211.920424991248</v>
      </c>
      <c r="M767" s="419" t="n">
        <f aca="false">IF(AND(L766&gt;L_rampe,G767&gt;0),ATAN2(G767,H767),$M$4)</f>
        <v>-1.42748341107017</v>
      </c>
      <c r="N767" s="418" t="n">
        <f aca="false">DEGREES(Beta)</f>
        <v>-81.7887747792592</v>
      </c>
      <c r="O767" s="402"/>
      <c r="P767" s="421" t="n">
        <f aca="false">MATCH(t-pas/2-T_ini,CdP_t)</f>
        <v>23</v>
      </c>
      <c r="Q767" s="418" t="n">
        <f aca="false">(INDEX(CdP,2,i_P+1)-INDEX(CdP,2,i_P+0))/(INDEX(CdP,1,i_P+1)-INDEX(CdP,1,i_P+0))*(t-pas/2-T_ini-INDEX(CdP,1,i_P+0))+INDEX(CdP,2,i_P+0)</f>
        <v>0</v>
      </c>
      <c r="R767" s="419" t="n">
        <f aca="false">Poussee/(g*ISP)</f>
        <v>0</v>
      </c>
      <c r="S767" s="420" t="n">
        <f aca="false">S766-Débit*pas</f>
        <v>1.4843</v>
      </c>
      <c r="T767" s="418" t="n">
        <f aca="false">m*g</f>
        <v>14.560983</v>
      </c>
      <c r="U767" s="422" t="n">
        <f aca="false">IF(pos_xz&lt;L_rampe,Poids*COS(Beta),0)</f>
        <v>0</v>
      </c>
      <c r="V767" s="419" t="n">
        <f aca="false">Rho_moyen*(20000-Alt_rampe-pos_z)/(20000+Alt_rampe+pos_z)</f>
        <v>1.22590695069126</v>
      </c>
      <c r="W767" s="418" t="n">
        <f aca="false">1/2*Rho*Sref*Cx*vit_xz^2</f>
        <v>5.58189932680526</v>
      </c>
      <c r="X767" s="402"/>
      <c r="Y767" s="423" t="str">
        <f aca="false">IF(AND(pos_z&lt;=0,K766&gt;0),"Impact balistique","") &amp; IF(AND(H768&lt;0,vit_z&gt;=0),"Apogée","") &amp; IF(AND(Poussee=0,Q766&gt;0),"Fin de propulsion","") &amp; IF(AND(L768&gt;L_rampe,pos_xz&lt;=L_rampe),"Sortie de rampe","")</f>
        <v/>
      </c>
      <c r="Z767" s="424" t="str">
        <f aca="false">IF(ABS(t-T_para)&lt;pas/2,"Para","")</f>
        <v/>
      </c>
      <c r="AA767" s="425" t="str">
        <f aca="false">IF(ABS(t-T_satellite)&lt;pas/2,"Satellite","")</f>
        <v/>
      </c>
      <c r="AB767" s="413"/>
      <c r="AC767" s="421" t="e">
        <f aca="false">IF(ABS(t-ROUND(t,0))&lt;0.001,t,NA())</f>
        <v>#N/A</v>
      </c>
      <c r="AD767" s="426" t="e">
        <f aca="false">IF(ABS(t-ROUND(t,0))&lt;0.001,pos_x,NA())</f>
        <v>#N/A</v>
      </c>
      <c r="AE767" s="427" t="e">
        <f aca="false">IF(t&lt;T_para, pos_z, NA())</f>
        <v>#N/A</v>
      </c>
      <c r="AF767" s="413"/>
      <c r="AG767" s="419" t="n">
        <f aca="false">IF(AND(L766&lt;L_rampe,Poussee&lt;Poids*SIN(M766)),0,(-W766+Poussee)/m-Poids*SIN(M766)/m)</f>
        <v>5.94886525981267</v>
      </c>
      <c r="AH767" s="418" t="n">
        <f aca="false">IF(AND(L766&lt;L_rampe,Poussee&lt;Poids*SIN(M766)), g*SIN(M766), (-W766+Poussee)/m)</f>
        <v>-3.76056252246172</v>
      </c>
    </row>
    <row r="768" customFormat="false" ht="12" hidden="false" customHeight="false" outlineLevel="0" collapsed="false">
      <c r="A768" s="417" t="n">
        <f aca="false">IF(B767+0.01&lt;=T_ini+ROUNDUP(Temps_fin_propu,0), 0.01, IF(K767&gt;0, 0.1, 0.0001))</f>
        <v>0.0001</v>
      </c>
      <c r="B768" s="418" t="n">
        <f aca="false">B767+pas</f>
        <v>16.5418999999999</v>
      </c>
      <c r="C768" s="402"/>
      <c r="D768" s="419" t="n">
        <f aca="false">IF(AND(L767&lt;L_rampe,Poussee&lt;Poids*SIN(M767)),0,(-W767+Poussee)/m*COS(M767)-U767/m*SIN(M767))</f>
        <v>-0.53710351172597</v>
      </c>
      <c r="E768" s="420" t="n">
        <f aca="false">IF(AND(L767&lt;L_rampe,Poussee&lt;Poids*SIN(M767)),0,(-W767+Poussee)/m*SIN(M767)+U767/m*COS(M767)-Poids/m)</f>
        <v>-6.08792549115112</v>
      </c>
      <c r="F768" s="418" t="n">
        <f aca="false">SQRT(acc_x^2+acc_z^2)</f>
        <v>6.11157238099296</v>
      </c>
      <c r="G768" s="419" t="n">
        <f aca="false">G767+acc_x*pas</f>
        <v>10.264747735916</v>
      </c>
      <c r="H768" s="420" t="n">
        <f aca="false">H767+acc_z*pas</f>
        <v>-71.1346732092401</v>
      </c>
      <c r="I768" s="418" t="n">
        <f aca="false">SQRT(vit_x^2+vit_z^2)</f>
        <v>71.8714601122544</v>
      </c>
      <c r="J768" s="419" t="n">
        <f aca="false">J767+0.5*(vit_x+G767)*pas*(K767&gt;=0)</f>
        <v>211.791153319536</v>
      </c>
      <c r="K768" s="420" t="n">
        <f aca="false">K767+0.5*(vit_z+H767)*pas</f>
        <v>-7.40805284020727</v>
      </c>
      <c r="L768" s="418" t="n">
        <f aca="false">SQRT(pos_x^2+pos_z^2)</f>
        <v>211.920673534468</v>
      </c>
      <c r="M768" s="419" t="n">
        <f aca="false">IF(AND(L767&gt;L_rampe,G768&gt;0),ATAN2(G768,H768),$M$4)</f>
        <v>-1.42748536051173</v>
      </c>
      <c r="N768" s="418" t="n">
        <f aca="false">DEGREES(Beta)</f>
        <v>-81.7888864740327</v>
      </c>
      <c r="O768" s="402"/>
      <c r="P768" s="421" t="n">
        <f aca="false">MATCH(t-pas/2-T_ini,CdP_t)</f>
        <v>23</v>
      </c>
      <c r="Q768" s="418" t="n">
        <f aca="false">(INDEX(CdP,2,i_P+1)-INDEX(CdP,2,i_P+0))/(INDEX(CdP,1,i_P+1)-INDEX(CdP,1,i_P+0))*(t-pas/2-T_ini-INDEX(CdP,1,i_P+0))+INDEX(CdP,2,i_P+0)</f>
        <v>0</v>
      </c>
      <c r="R768" s="419" t="n">
        <f aca="false">Poussee/(g*ISP)</f>
        <v>0</v>
      </c>
      <c r="S768" s="420" t="n">
        <f aca="false">S767-Débit*pas</f>
        <v>1.4843</v>
      </c>
      <c r="T768" s="418" t="n">
        <f aca="false">m*g</f>
        <v>14.560983</v>
      </c>
      <c r="U768" s="422" t="n">
        <f aca="false">IF(pos_xz&lt;L_rampe,Poids*COS(Beta),0)</f>
        <v>0</v>
      </c>
      <c r="V768" s="419" t="n">
        <f aca="false">Rho_moyen*(20000-Alt_rampe-pos_z)/(20000+Alt_rampe+pos_z)</f>
        <v>1.22590782273286</v>
      </c>
      <c r="W768" s="418" t="n">
        <f aca="false">1/2*Rho*Sref*Cx*vit_xz^2</f>
        <v>5.58199570148756</v>
      </c>
      <c r="X768" s="402"/>
      <c r="Y768" s="423" t="str">
        <f aca="false">IF(AND(pos_z&lt;=0,K767&gt;0),"Impact balistique","") &amp; IF(AND(H769&lt;0,vit_z&gt;=0),"Apogée","") &amp; IF(AND(Poussee=0,Q767&gt;0),"Fin de propulsion","") &amp; IF(AND(L769&gt;L_rampe,pos_xz&lt;=L_rampe),"Sortie de rampe","")</f>
        <v/>
      </c>
      <c r="Z768" s="424" t="str">
        <f aca="false">IF(ABS(t-T_para)&lt;pas/2,"Para","")</f>
        <v/>
      </c>
      <c r="AA768" s="425" t="str">
        <f aca="false">IF(ABS(t-T_satellite)&lt;pas/2,"Satellite","")</f>
        <v/>
      </c>
      <c r="AB768" s="413"/>
      <c r="AC768" s="421" t="e">
        <f aca="false">IF(ABS(t-ROUND(t,0))&lt;0.001,t,NA())</f>
        <v>#N/A</v>
      </c>
      <c r="AD768" s="426" t="e">
        <f aca="false">IF(ABS(t-ROUND(t,0))&lt;0.001,pos_x,NA())</f>
        <v>#N/A</v>
      </c>
      <c r="AE768" s="427" t="e">
        <f aca="false">IF(t&lt;T_para, pos_z, NA())</f>
        <v>#N/A</v>
      </c>
      <c r="AF768" s="413"/>
      <c r="AG768" s="419" t="n">
        <f aca="false">IF(AND(L767&lt;L_rampe,Poussee&lt;Poids*SIN(M767)),0,(-W767+Poussee)/m-Poids*SIN(M767)/m)</f>
        <v>5.94880306183315</v>
      </c>
      <c r="AH768" s="418" t="n">
        <f aca="false">IF(AND(L767&lt;L_rampe,Poussee&lt;Poids*SIN(M767)), g*SIN(M767), (-W767+Poussee)/m)</f>
        <v>-3.76062745186638</v>
      </c>
    </row>
    <row r="769" customFormat="false" ht="12" hidden="false" customHeight="false" outlineLevel="0" collapsed="false">
      <c r="A769" s="417" t="n">
        <f aca="false">IF(B768+0.01&lt;=T_ini+ROUNDUP(Temps_fin_propu,0), 0.01, IF(K768&gt;0, 0.1, 0.0001))</f>
        <v>0.0001</v>
      </c>
      <c r="B769" s="418" t="n">
        <f aca="false">B768+pas</f>
        <v>16.5419999999999</v>
      </c>
      <c r="C769" s="402"/>
      <c r="D769" s="419" t="n">
        <f aca="false">IF(AND(L768&lt;L_rampe,Poussee&lt;Poids*SIN(M768)),0,(-W768+Poussee)/m*COS(M768)-U768/m*SIN(M768))</f>
        <v>-0.537105529032073</v>
      </c>
      <c r="E769" s="420" t="n">
        <f aca="false">IF(AND(L768&lt;L_rampe,Poussee&lt;Poids*SIN(M768)),0,(-W768+Poussee)/m*SIN(M768)+U768/m*COS(M768)-Poids/m)</f>
        <v>-6.0878601803444</v>
      </c>
      <c r="F769" s="418" t="n">
        <f aca="false">SQRT(acc_x^2+acc_z^2)</f>
        <v>6.11150750017864</v>
      </c>
      <c r="G769" s="419" t="n">
        <f aca="false">G768+acc_x*pas</f>
        <v>10.2646940253631</v>
      </c>
      <c r="H769" s="420" t="n">
        <f aca="false">H768+acc_z*pas</f>
        <v>-71.1352819952581</v>
      </c>
      <c r="I769" s="418" t="n">
        <f aca="false">SQRT(vit_x^2+vit_z^2)</f>
        <v>71.8720549864773</v>
      </c>
      <c r="J769" s="419" t="n">
        <f aca="false">J768+0.5*(vit_x+G768)*pas*(K768&gt;=0)</f>
        <v>211.791153319536</v>
      </c>
      <c r="K769" s="420" t="n">
        <f aca="false">K768+0.5*(vit_z+H768)*pas</f>
        <v>-7.41516633796749</v>
      </c>
      <c r="L769" s="418" t="n">
        <f aca="false">SQRT(pos_x^2+pos_z^2)</f>
        <v>211.9209223183</v>
      </c>
      <c r="M769" s="419" t="n">
        <f aca="false">IF(AND(L768&gt;L_rampe,G769&gt;0),ATAN2(G769,H769),$M$4)</f>
        <v>-1.42748730991081</v>
      </c>
      <c r="N769" s="418" t="n">
        <f aca="false">DEGREES(Beta)</f>
        <v>-81.7889981663728</v>
      </c>
      <c r="O769" s="402"/>
      <c r="P769" s="421" t="n">
        <f aca="false">MATCH(t-pas/2-T_ini,CdP_t)</f>
        <v>23</v>
      </c>
      <c r="Q769" s="418" t="n">
        <f aca="false">(INDEX(CdP,2,i_P+1)-INDEX(CdP,2,i_P+0))/(INDEX(CdP,1,i_P+1)-INDEX(CdP,1,i_P+0))*(t-pas/2-T_ini-INDEX(CdP,1,i_P+0))+INDEX(CdP,2,i_P+0)</f>
        <v>0</v>
      </c>
      <c r="R769" s="419" t="n">
        <f aca="false">Poussee/(g*ISP)</f>
        <v>0</v>
      </c>
      <c r="S769" s="420" t="n">
        <f aca="false">S768-Débit*pas</f>
        <v>1.4843</v>
      </c>
      <c r="T769" s="418" t="n">
        <f aca="false">m*g</f>
        <v>14.560983</v>
      </c>
      <c r="U769" s="422" t="n">
        <f aca="false">IF(pos_xz&lt;L_rampe,Poids*COS(Beta),0)</f>
        <v>0</v>
      </c>
      <c r="V769" s="419" t="n">
        <f aca="false">Rho_moyen*(20000-Alt_rampe-pos_z)/(20000+Alt_rampe+pos_z)</f>
        <v>1.22590869478255</v>
      </c>
      <c r="W769" s="418" t="n">
        <f aca="false">1/2*Rho*Sref*Cx*vit_xz^2</f>
        <v>5.58209207613682</v>
      </c>
      <c r="X769" s="402"/>
      <c r="Y769" s="423" t="str">
        <f aca="false">IF(AND(pos_z&lt;=0,K768&gt;0),"Impact balistique","") &amp; IF(AND(H770&lt;0,vit_z&gt;=0),"Apogée","") &amp; IF(AND(Poussee=0,Q768&gt;0),"Fin de propulsion","") &amp; IF(AND(L770&gt;L_rampe,pos_xz&lt;=L_rampe),"Sortie de rampe","")</f>
        <v/>
      </c>
      <c r="Z769" s="424" t="str">
        <f aca="false">IF(ABS(t-T_para)&lt;pas/2,"Para","")</f>
        <v/>
      </c>
      <c r="AA769" s="425" t="str">
        <f aca="false">IF(ABS(t-T_satellite)&lt;pas/2,"Satellite","")</f>
        <v/>
      </c>
      <c r="AB769" s="413"/>
      <c r="AC769" s="421" t="e">
        <f aca="false">IF(ABS(t-ROUND(t,0))&lt;0.001,t,NA())</f>
        <v>#N/A</v>
      </c>
      <c r="AD769" s="426" t="e">
        <f aca="false">IF(ABS(t-ROUND(t,0))&lt;0.001,pos_x,NA())</f>
        <v>#N/A</v>
      </c>
      <c r="AE769" s="427" t="e">
        <f aca="false">IF(t&lt;T_para, pos_z, NA())</f>
        <v>#N/A</v>
      </c>
      <c r="AF769" s="413"/>
      <c r="AG769" s="419" t="n">
        <f aca="false">IF(AND(L768&lt;L_rampe,Poussee&lt;Poids*SIN(M768)),0,(-W768+Poussee)/m-Poids*SIN(M768)/m)</f>
        <v>5.94874086377948</v>
      </c>
      <c r="AH769" s="418" t="n">
        <f aca="false">IF(AND(L768&lt;L_rampe,Poussee&lt;Poids*SIN(M768)), g*SIN(M768), (-W768+Poussee)/m)</f>
        <v>-3.76069238124878</v>
      </c>
    </row>
    <row r="770" customFormat="false" ht="12" hidden="false" customHeight="false" outlineLevel="0" collapsed="false">
      <c r="A770" s="417" t="n">
        <f aca="false">IF(B769+0.01&lt;=T_ini+ROUNDUP(Temps_fin_propu,0), 0.01, IF(K769&gt;0, 0.1, 0.0001))</f>
        <v>0.0001</v>
      </c>
      <c r="B770" s="418" t="n">
        <f aca="false">B769+pas</f>
        <v>16.5420999999999</v>
      </c>
      <c r="C770" s="402"/>
      <c r="D770" s="419" t="n">
        <f aca="false">IF(AND(L769&lt;L_rampe,Poussee&lt;Poids*SIN(M769)),0,(-W769+Poussee)/m*COS(M769)-U769/m*SIN(M769))</f>
        <v>-0.537107546240483</v>
      </c>
      <c r="E770" s="420" t="n">
        <f aca="false">IF(AND(L769&lt;L_rampe,Poussee&lt;Poids*SIN(M769)),0,(-W769+Poussee)/m*SIN(M769)+U769/m*COS(M769)-Poids/m)</f>
        <v>-6.08779486956052</v>
      </c>
      <c r="F770" s="418" t="n">
        <f aca="false">SQRT(acc_x^2+acc_z^2)</f>
        <v>6.11144261938831</v>
      </c>
      <c r="G770" s="419" t="n">
        <f aca="false">G769+acc_x*pas</f>
        <v>10.2646403146084</v>
      </c>
      <c r="H770" s="420" t="n">
        <f aca="false">H769+acc_z*pas</f>
        <v>-71.1358907747451</v>
      </c>
      <c r="I770" s="418" t="n">
        <f aca="false">SQRT(vit_x^2+vit_z^2)</f>
        <v>71.8726498544804</v>
      </c>
      <c r="J770" s="419" t="n">
        <f aca="false">J769+0.5*(vit_x+G769)*pas*(K769&gt;=0)</f>
        <v>211.791153319536</v>
      </c>
      <c r="K770" s="420" t="n">
        <f aca="false">K769+0.5*(vit_z+H769)*pas</f>
        <v>-7.42227989660599</v>
      </c>
      <c r="L770" s="418" t="n">
        <f aca="false">SQRT(pos_x^2+pos_z^2)</f>
        <v>211.921171342749</v>
      </c>
      <c r="M770" s="419" t="n">
        <f aca="false">IF(AND(L769&gt;L_rampe,G770&gt;0),ATAN2(G770,H770),$M$4)</f>
        <v>-1.42748925926743</v>
      </c>
      <c r="N770" s="418" t="n">
        <f aca="false">DEGREES(Beta)</f>
        <v>-81.7891098562796</v>
      </c>
      <c r="O770" s="402"/>
      <c r="P770" s="421" t="n">
        <f aca="false">MATCH(t-pas/2-T_ini,CdP_t)</f>
        <v>23</v>
      </c>
      <c r="Q770" s="418" t="n">
        <f aca="false">(INDEX(CdP,2,i_P+1)-INDEX(CdP,2,i_P+0))/(INDEX(CdP,1,i_P+1)-INDEX(CdP,1,i_P+0))*(t-pas/2-T_ini-INDEX(CdP,1,i_P+0))+INDEX(CdP,2,i_P+0)</f>
        <v>0</v>
      </c>
      <c r="R770" s="419" t="n">
        <f aca="false">Poussee/(g*ISP)</f>
        <v>0</v>
      </c>
      <c r="S770" s="420" t="n">
        <f aca="false">S769-Débit*pas</f>
        <v>1.4843</v>
      </c>
      <c r="T770" s="418" t="n">
        <f aca="false">m*g</f>
        <v>14.560983</v>
      </c>
      <c r="U770" s="422" t="n">
        <f aca="false">IF(pos_xz&lt;L_rampe,Poids*COS(Beta),0)</f>
        <v>0</v>
      </c>
      <c r="V770" s="419" t="n">
        <f aca="false">Rho_moyen*(20000-Alt_rampe-pos_z)/(20000+Alt_rampe+pos_z)</f>
        <v>1.22590956684032</v>
      </c>
      <c r="W770" s="418" t="n">
        <f aca="false">1/2*Rho*Sref*Cx*vit_xz^2</f>
        <v>5.58218845075301</v>
      </c>
      <c r="X770" s="402"/>
      <c r="Y770" s="423" t="str">
        <f aca="false">IF(AND(pos_z&lt;=0,K769&gt;0),"Impact balistique","") &amp; IF(AND(H771&lt;0,vit_z&gt;=0),"Apogée","") &amp; IF(AND(Poussee=0,Q769&gt;0),"Fin de propulsion","") &amp; IF(AND(L771&gt;L_rampe,pos_xz&lt;=L_rampe),"Sortie de rampe","")</f>
        <v/>
      </c>
      <c r="Z770" s="424" t="str">
        <f aca="false">IF(ABS(t-T_para)&lt;pas/2,"Para","")</f>
        <v/>
      </c>
      <c r="AA770" s="425" t="str">
        <f aca="false">IF(ABS(t-T_satellite)&lt;pas/2,"Satellite","")</f>
        <v/>
      </c>
      <c r="AB770" s="413"/>
      <c r="AC770" s="421" t="e">
        <f aca="false">IF(ABS(t-ROUND(t,0))&lt;0.001,t,NA())</f>
        <v>#N/A</v>
      </c>
      <c r="AD770" s="426" t="e">
        <f aca="false">IF(ABS(t-ROUND(t,0))&lt;0.001,pos_x,NA())</f>
        <v>#N/A</v>
      </c>
      <c r="AE770" s="427" t="e">
        <f aca="false">IF(t&lt;T_para, pos_z, NA())</f>
        <v>#N/A</v>
      </c>
      <c r="AF770" s="413"/>
      <c r="AG770" s="419" t="n">
        <f aca="false">IF(AND(L769&lt;L_rampe,Poussee&lt;Poids*SIN(M769)),0,(-W769+Poussee)/m-Poids*SIN(M769)/m)</f>
        <v>5.94867866565167</v>
      </c>
      <c r="AH770" s="418" t="n">
        <f aca="false">IF(AND(L769&lt;L_rampe,Poussee&lt;Poids*SIN(M769)), g*SIN(M769), (-W769+Poussee)/m)</f>
        <v>-3.76075731060892</v>
      </c>
    </row>
    <row r="771" customFormat="false" ht="12" hidden="false" customHeight="false" outlineLevel="0" collapsed="false">
      <c r="A771" s="417" t="n">
        <f aca="false">IF(B770+0.01&lt;=T_ini+ROUNDUP(Temps_fin_propu,0), 0.01, IF(K770&gt;0, 0.1, 0.0001))</f>
        <v>0.0001</v>
      </c>
      <c r="B771" s="418" t="n">
        <f aca="false">B770+pas</f>
        <v>16.5421999999999</v>
      </c>
      <c r="C771" s="402"/>
      <c r="D771" s="419" t="n">
        <f aca="false">IF(AND(L770&lt;L_rampe,Poussee&lt;Poids*SIN(M770)),0,(-W770+Poussee)/m*COS(M770)-U770/m*SIN(M770))</f>
        <v>-0.537109563351203</v>
      </c>
      <c r="E771" s="420" t="n">
        <f aca="false">IF(AND(L770&lt;L_rampe,Poussee&lt;Poids*SIN(M770)),0,(-W770+Poussee)/m*SIN(M770)+U770/m*COS(M770)-Poids/m)</f>
        <v>-6.08772955879949</v>
      </c>
      <c r="F771" s="418" t="n">
        <f aca="false">SQRT(acc_x^2+acc_z^2)</f>
        <v>6.11137773862198</v>
      </c>
      <c r="G771" s="419" t="n">
        <f aca="false">G770+acc_x*pas</f>
        <v>10.2645866036521</v>
      </c>
      <c r="H771" s="420" t="n">
        <f aca="false">H770+acc_z*pas</f>
        <v>-71.1364995477009</v>
      </c>
      <c r="I771" s="418" t="n">
        <f aca="false">SQRT(vit_x^2+vit_z^2)</f>
        <v>71.8732447162637</v>
      </c>
      <c r="J771" s="419" t="n">
        <f aca="false">J770+0.5*(vit_x+G770)*pas*(K770&gt;=0)</f>
        <v>211.791153319536</v>
      </c>
      <c r="K771" s="420" t="n">
        <f aca="false">K770+0.5*(vit_z+H770)*pas</f>
        <v>-7.42939351612211</v>
      </c>
      <c r="L771" s="418" t="n">
        <f aca="false">SQRT(pos_x^2+pos_z^2)</f>
        <v>211.92142060782</v>
      </c>
      <c r="M771" s="419" t="n">
        <f aca="false">IF(AND(L770&gt;L_rampe,G771&gt;0),ATAN2(G771,H771),$M$4)</f>
        <v>-1.42749120858157</v>
      </c>
      <c r="N771" s="418" t="n">
        <f aca="false">DEGREES(Beta)</f>
        <v>-81.7892215437532</v>
      </c>
      <c r="O771" s="402"/>
      <c r="P771" s="421" t="n">
        <f aca="false">MATCH(t-pas/2-T_ini,CdP_t)</f>
        <v>23</v>
      </c>
      <c r="Q771" s="418" t="n">
        <f aca="false">(INDEX(CdP,2,i_P+1)-INDEX(CdP,2,i_P+0))/(INDEX(CdP,1,i_P+1)-INDEX(CdP,1,i_P+0))*(t-pas/2-T_ini-INDEX(CdP,1,i_P+0))+INDEX(CdP,2,i_P+0)</f>
        <v>0</v>
      </c>
      <c r="R771" s="419" t="n">
        <f aca="false">Poussee/(g*ISP)</f>
        <v>0</v>
      </c>
      <c r="S771" s="420" t="n">
        <f aca="false">S770-Débit*pas</f>
        <v>1.4843</v>
      </c>
      <c r="T771" s="418" t="n">
        <f aca="false">m*g</f>
        <v>14.560983</v>
      </c>
      <c r="U771" s="422" t="n">
        <f aca="false">IF(pos_xz&lt;L_rampe,Poids*COS(Beta),0)</f>
        <v>0</v>
      </c>
      <c r="V771" s="419" t="n">
        <f aca="false">Rho_moyen*(20000-Alt_rampe-pos_z)/(20000+Alt_rampe+pos_z)</f>
        <v>1.22591043890617</v>
      </c>
      <c r="W771" s="418" t="n">
        <f aca="false">1/2*Rho*Sref*Cx*vit_xz^2</f>
        <v>5.58228482533611</v>
      </c>
      <c r="X771" s="402"/>
      <c r="Y771" s="423" t="str">
        <f aca="false">IF(AND(pos_z&lt;=0,K770&gt;0),"Impact balistique","") &amp; IF(AND(H772&lt;0,vit_z&gt;=0),"Apogée","") &amp; IF(AND(Poussee=0,Q770&gt;0),"Fin de propulsion","") &amp; IF(AND(L772&gt;L_rampe,pos_xz&lt;=L_rampe),"Sortie de rampe","")</f>
        <v/>
      </c>
      <c r="Z771" s="424" t="str">
        <f aca="false">IF(ABS(t-T_para)&lt;pas/2,"Para","")</f>
        <v/>
      </c>
      <c r="AA771" s="425" t="str">
        <f aca="false">IF(ABS(t-T_satellite)&lt;pas/2,"Satellite","")</f>
        <v/>
      </c>
      <c r="AB771" s="413"/>
      <c r="AC771" s="421" t="e">
        <f aca="false">IF(ABS(t-ROUND(t,0))&lt;0.001,t,NA())</f>
        <v>#N/A</v>
      </c>
      <c r="AD771" s="426" t="e">
        <f aca="false">IF(ABS(t-ROUND(t,0))&lt;0.001,pos_x,NA())</f>
        <v>#N/A</v>
      </c>
      <c r="AE771" s="427" t="e">
        <f aca="false">IF(t&lt;T_para, pos_z, NA())</f>
        <v>#N/A</v>
      </c>
      <c r="AF771" s="413"/>
      <c r="AG771" s="419" t="n">
        <f aca="false">IF(AND(L770&lt;L_rampe,Poussee&lt;Poids*SIN(M770)),0,(-W770+Poussee)/m-Poids*SIN(M770)/m)</f>
        <v>5.94861646744973</v>
      </c>
      <c r="AH771" s="418" t="n">
        <f aca="false">IF(AND(L770&lt;L_rampe,Poussee&lt;Poids*SIN(M770)), g*SIN(M770), (-W770+Poussee)/m)</f>
        <v>-3.76082223994679</v>
      </c>
    </row>
    <row r="772" customFormat="false" ht="12" hidden="false" customHeight="false" outlineLevel="0" collapsed="false">
      <c r="A772" s="417" t="n">
        <f aca="false">IF(B771+0.01&lt;=T_ini+ROUNDUP(Temps_fin_propu,0), 0.01, IF(K771&gt;0, 0.1, 0.0001))</f>
        <v>0.0001</v>
      </c>
      <c r="B772" s="418" t="n">
        <f aca="false">B771+pas</f>
        <v>16.5422999999999</v>
      </c>
      <c r="C772" s="402"/>
      <c r="D772" s="419" t="n">
        <f aca="false">IF(AND(L771&lt;L_rampe,Poussee&lt;Poids*SIN(M771)),0,(-W771+Poussee)/m*COS(M771)-U771/m*SIN(M771))</f>
        <v>-0.537111580364231</v>
      </c>
      <c r="E772" s="420" t="n">
        <f aca="false">IF(AND(L771&lt;L_rampe,Poussee&lt;Poids*SIN(M771)),0,(-W771+Poussee)/m*SIN(M771)+U771/m*COS(M771)-Poids/m)</f>
        <v>-6.08766424806133</v>
      </c>
      <c r="F772" s="418" t="n">
        <f aca="false">SQRT(acc_x^2+acc_z^2)</f>
        <v>6.11131285787968</v>
      </c>
      <c r="G772" s="419" t="n">
        <f aca="false">G771+acc_x*pas</f>
        <v>10.2645328924941</v>
      </c>
      <c r="H772" s="420" t="n">
        <f aca="false">H771+acc_z*pas</f>
        <v>-71.1371083141257</v>
      </c>
      <c r="I772" s="418" t="n">
        <f aca="false">SQRT(vit_x^2+vit_z^2)</f>
        <v>71.8738395718272</v>
      </c>
      <c r="J772" s="419" t="n">
        <f aca="false">J771+0.5*(vit_x+G771)*pas*(K771&gt;=0)</f>
        <v>211.791153319536</v>
      </c>
      <c r="K772" s="420" t="n">
        <f aca="false">K771+0.5*(vit_z+H771)*pas</f>
        <v>-7.43650719651521</v>
      </c>
      <c r="L772" s="418" t="n">
        <f aca="false">SQRT(pos_x^2+pos_z^2)</f>
        <v>211.921670113519</v>
      </c>
      <c r="M772" s="419" t="n">
        <f aca="false">IF(AND(L771&gt;L_rampe,G772&gt;0),ATAN2(G772,H772),$M$4)</f>
        <v>-1.42749315785325</v>
      </c>
      <c r="N772" s="418" t="n">
        <f aca="false">DEGREES(Beta)</f>
        <v>-81.7893332287936</v>
      </c>
      <c r="O772" s="402"/>
      <c r="P772" s="421" t="n">
        <f aca="false">MATCH(t-pas/2-T_ini,CdP_t)</f>
        <v>23</v>
      </c>
      <c r="Q772" s="418" t="n">
        <f aca="false">(INDEX(CdP,2,i_P+1)-INDEX(CdP,2,i_P+0))/(INDEX(CdP,1,i_P+1)-INDEX(CdP,1,i_P+0))*(t-pas/2-T_ini-INDEX(CdP,1,i_P+0))+INDEX(CdP,2,i_P+0)</f>
        <v>0</v>
      </c>
      <c r="R772" s="419" t="n">
        <f aca="false">Poussee/(g*ISP)</f>
        <v>0</v>
      </c>
      <c r="S772" s="420" t="n">
        <f aca="false">S771-Débit*pas</f>
        <v>1.4843</v>
      </c>
      <c r="T772" s="418" t="n">
        <f aca="false">m*g</f>
        <v>14.560983</v>
      </c>
      <c r="U772" s="422" t="n">
        <f aca="false">IF(pos_xz&lt;L_rampe,Poids*COS(Beta),0)</f>
        <v>0</v>
      </c>
      <c r="V772" s="419" t="n">
        <f aca="false">Rho_moyen*(20000-Alt_rampe-pos_z)/(20000+Alt_rampe+pos_z)</f>
        <v>1.22591131098011</v>
      </c>
      <c r="W772" s="418" t="n">
        <f aca="false">1/2*Rho*Sref*Cx*vit_xz^2</f>
        <v>5.58238119988609</v>
      </c>
      <c r="X772" s="402"/>
      <c r="Y772" s="423" t="str">
        <f aca="false">IF(AND(pos_z&lt;=0,K771&gt;0),"Impact balistique","") &amp; IF(AND(H773&lt;0,vit_z&gt;=0),"Apogée","") &amp; IF(AND(Poussee=0,Q771&gt;0),"Fin de propulsion","") &amp; IF(AND(L773&gt;L_rampe,pos_xz&lt;=L_rampe),"Sortie de rampe","")</f>
        <v/>
      </c>
      <c r="Z772" s="424" t="str">
        <f aca="false">IF(ABS(t-T_para)&lt;pas/2,"Para","")</f>
        <v/>
      </c>
      <c r="AA772" s="425" t="str">
        <f aca="false">IF(ABS(t-T_satellite)&lt;pas/2,"Satellite","")</f>
        <v/>
      </c>
      <c r="AB772" s="413"/>
      <c r="AC772" s="421" t="e">
        <f aca="false">IF(ABS(t-ROUND(t,0))&lt;0.001,t,NA())</f>
        <v>#N/A</v>
      </c>
      <c r="AD772" s="426" t="e">
        <f aca="false">IF(ABS(t-ROUND(t,0))&lt;0.001,pos_x,NA())</f>
        <v>#N/A</v>
      </c>
      <c r="AE772" s="427" t="e">
        <f aca="false">IF(t&lt;T_para, pos_z, NA())</f>
        <v>#N/A</v>
      </c>
      <c r="AF772" s="413"/>
      <c r="AG772" s="419" t="n">
        <f aca="false">IF(AND(L771&lt;L_rampe,Poussee&lt;Poids*SIN(M771)),0,(-W771+Poussee)/m-Poids*SIN(M771)/m)</f>
        <v>5.9485542691737</v>
      </c>
      <c r="AH772" s="418" t="n">
        <f aca="false">IF(AND(L771&lt;L_rampe,Poussee&lt;Poids*SIN(M771)), g*SIN(M771), (-W771+Poussee)/m)</f>
        <v>-3.76088716926236</v>
      </c>
    </row>
    <row r="773" customFormat="false" ht="12" hidden="false" customHeight="false" outlineLevel="0" collapsed="false">
      <c r="A773" s="417" t="n">
        <f aca="false">IF(B772+0.01&lt;=T_ini+ROUNDUP(Temps_fin_propu,0), 0.01, IF(K772&gt;0, 0.1, 0.0001))</f>
        <v>0.0001</v>
      </c>
      <c r="B773" s="418" t="n">
        <f aca="false">B772+pas</f>
        <v>16.5423999999999</v>
      </c>
      <c r="C773" s="402"/>
      <c r="D773" s="419" t="n">
        <f aca="false">IF(AND(L772&lt;L_rampe,Poussee&lt;Poids*SIN(M772)),0,(-W772+Poussee)/m*COS(M772)-U772/m*SIN(M772))</f>
        <v>-0.537113597279569</v>
      </c>
      <c r="E773" s="420" t="n">
        <f aca="false">IF(AND(L772&lt;L_rampe,Poussee&lt;Poids*SIN(M772)),0,(-W772+Poussee)/m*SIN(M772)+U772/m*COS(M772)-Poids/m)</f>
        <v>-6.08759893734605</v>
      </c>
      <c r="F773" s="418" t="n">
        <f aca="false">SQRT(acc_x^2+acc_z^2)</f>
        <v>6.1112479771614</v>
      </c>
      <c r="G773" s="419" t="n">
        <f aca="false">G772+acc_x*pas</f>
        <v>10.2644791811343</v>
      </c>
      <c r="H773" s="420" t="n">
        <f aca="false">H772+acc_z*pas</f>
        <v>-71.1377170740195</v>
      </c>
      <c r="I773" s="418" t="n">
        <f aca="false">SQRT(vit_x^2+vit_z^2)</f>
        <v>71.8744344211708</v>
      </c>
      <c r="J773" s="419" t="n">
        <f aca="false">J772+0.5*(vit_x+G772)*pas*(K772&gt;=0)</f>
        <v>211.791153319536</v>
      </c>
      <c r="K773" s="420" t="n">
        <f aca="false">K772+0.5*(vit_z+H772)*pas</f>
        <v>-7.44362093778461</v>
      </c>
      <c r="L773" s="418" t="n">
        <f aca="false">SQRT(pos_x^2+pos_z^2)</f>
        <v>211.92191985985</v>
      </c>
      <c r="M773" s="419" t="n">
        <f aca="false">IF(AND(L772&gt;L_rampe,G773&gt;0),ATAN2(G773,H773),$M$4)</f>
        <v>-1.42749510708247</v>
      </c>
      <c r="N773" s="418" t="n">
        <f aca="false">DEGREES(Beta)</f>
        <v>-81.7894449114009</v>
      </c>
      <c r="O773" s="402"/>
      <c r="P773" s="421" t="n">
        <f aca="false">MATCH(t-pas/2-T_ini,CdP_t)</f>
        <v>23</v>
      </c>
      <c r="Q773" s="418" t="n">
        <f aca="false">(INDEX(CdP,2,i_P+1)-INDEX(CdP,2,i_P+0))/(INDEX(CdP,1,i_P+1)-INDEX(CdP,1,i_P+0))*(t-pas/2-T_ini-INDEX(CdP,1,i_P+0))+INDEX(CdP,2,i_P+0)</f>
        <v>0</v>
      </c>
      <c r="R773" s="419" t="n">
        <f aca="false">Poussee/(g*ISP)</f>
        <v>0</v>
      </c>
      <c r="S773" s="420" t="n">
        <f aca="false">S772-Débit*pas</f>
        <v>1.4843</v>
      </c>
      <c r="T773" s="418" t="n">
        <f aca="false">m*g</f>
        <v>14.560983</v>
      </c>
      <c r="U773" s="422" t="n">
        <f aca="false">IF(pos_xz&lt;L_rampe,Poids*COS(Beta),0)</f>
        <v>0</v>
      </c>
      <c r="V773" s="419" t="n">
        <f aca="false">Rho_moyen*(20000-Alt_rampe-pos_z)/(20000+Alt_rampe+pos_z)</f>
        <v>1.22591218306213</v>
      </c>
      <c r="W773" s="418" t="n">
        <f aca="false">1/2*Rho*Sref*Cx*vit_xz^2</f>
        <v>5.58247757440293</v>
      </c>
      <c r="X773" s="402"/>
      <c r="Y773" s="423" t="str">
        <f aca="false">IF(AND(pos_z&lt;=0,K772&gt;0),"Impact balistique","") &amp; IF(AND(H774&lt;0,vit_z&gt;=0),"Apogée","") &amp; IF(AND(Poussee=0,Q772&gt;0),"Fin de propulsion","") &amp; IF(AND(L774&gt;L_rampe,pos_xz&lt;=L_rampe),"Sortie de rampe","")</f>
        <v/>
      </c>
      <c r="Z773" s="424" t="str">
        <f aca="false">IF(ABS(t-T_para)&lt;pas/2,"Para","")</f>
        <v/>
      </c>
      <c r="AA773" s="425" t="str">
        <f aca="false">IF(ABS(t-T_satellite)&lt;pas/2,"Satellite","")</f>
        <v/>
      </c>
      <c r="AB773" s="413"/>
      <c r="AC773" s="421" t="e">
        <f aca="false">IF(ABS(t-ROUND(t,0))&lt;0.001,t,NA())</f>
        <v>#N/A</v>
      </c>
      <c r="AD773" s="426" t="e">
        <f aca="false">IF(ABS(t-ROUND(t,0))&lt;0.001,pos_x,NA())</f>
        <v>#N/A</v>
      </c>
      <c r="AE773" s="427" t="e">
        <f aca="false">IF(t&lt;T_para, pos_z, NA())</f>
        <v>#N/A</v>
      </c>
      <c r="AF773" s="413"/>
      <c r="AG773" s="419" t="n">
        <f aca="false">IF(AND(L772&lt;L_rampe,Poussee&lt;Poids*SIN(M772)),0,(-W772+Poussee)/m-Poids*SIN(M772)/m)</f>
        <v>5.94849207082359</v>
      </c>
      <c r="AH773" s="418" t="n">
        <f aca="false">IF(AND(L772&lt;L_rampe,Poussee&lt;Poids*SIN(M772)), g*SIN(M772), (-W772+Poussee)/m)</f>
        <v>-3.76095209855561</v>
      </c>
    </row>
    <row r="774" customFormat="false" ht="12" hidden="false" customHeight="false" outlineLevel="0" collapsed="false">
      <c r="A774" s="417" t="n">
        <f aca="false">IF(B773+0.01&lt;=T_ini+ROUNDUP(Temps_fin_propu,0), 0.01, IF(K773&gt;0, 0.1, 0.0001))</f>
        <v>0.0001</v>
      </c>
      <c r="B774" s="418" t="n">
        <f aca="false">B773+pas</f>
        <v>16.5424999999999</v>
      </c>
      <c r="C774" s="402"/>
      <c r="D774" s="419" t="n">
        <f aca="false">IF(AND(L773&lt;L_rampe,Poussee&lt;Poids*SIN(M773)),0,(-W773+Poussee)/m*COS(M773)-U773/m*SIN(M773))</f>
        <v>-0.537115614097217</v>
      </c>
      <c r="E774" s="420" t="n">
        <f aca="false">IF(AND(L773&lt;L_rampe,Poussee&lt;Poids*SIN(M773)),0,(-W773+Poussee)/m*SIN(M773)+U773/m*COS(M773)-Poids/m)</f>
        <v>-6.08753362665368</v>
      </c>
      <c r="F774" s="418" t="n">
        <f aca="false">SQRT(acc_x^2+acc_z^2)</f>
        <v>6.11118309646719</v>
      </c>
      <c r="G774" s="419" t="n">
        <f aca="false">G773+acc_x*pas</f>
        <v>10.2644254695729</v>
      </c>
      <c r="H774" s="420" t="n">
        <f aca="false">H773+acc_z*pas</f>
        <v>-71.1383258273822</v>
      </c>
      <c r="I774" s="418" t="n">
        <f aca="false">SQRT(vit_x^2+vit_z^2)</f>
        <v>71.8750292642946</v>
      </c>
      <c r="J774" s="419" t="n">
        <f aca="false">J773+0.5*(vit_x+G773)*pas*(K773&gt;=0)</f>
        <v>211.791153319536</v>
      </c>
      <c r="K774" s="420" t="n">
        <f aca="false">K773+0.5*(vit_z+H773)*pas</f>
        <v>-7.45073473992968</v>
      </c>
      <c r="L774" s="418" t="n">
        <f aca="false">SQRT(pos_x^2+pos_z^2)</f>
        <v>211.922169846819</v>
      </c>
      <c r="M774" s="419" t="n">
        <f aca="false">IF(AND(L773&gt;L_rampe,G774&gt;0),ATAN2(G774,H774),$M$4)</f>
        <v>-1.42749705626922</v>
      </c>
      <c r="N774" s="418" t="n">
        <f aca="false">DEGREES(Beta)</f>
        <v>-81.7895565915752</v>
      </c>
      <c r="O774" s="402"/>
      <c r="P774" s="421" t="n">
        <f aca="false">MATCH(t-pas/2-T_ini,CdP_t)</f>
        <v>23</v>
      </c>
      <c r="Q774" s="418" t="n">
        <f aca="false">(INDEX(CdP,2,i_P+1)-INDEX(CdP,2,i_P+0))/(INDEX(CdP,1,i_P+1)-INDEX(CdP,1,i_P+0))*(t-pas/2-T_ini-INDEX(CdP,1,i_P+0))+INDEX(CdP,2,i_P+0)</f>
        <v>0</v>
      </c>
      <c r="R774" s="419" t="n">
        <f aca="false">Poussee/(g*ISP)</f>
        <v>0</v>
      </c>
      <c r="S774" s="420" t="n">
        <f aca="false">S773-Débit*pas</f>
        <v>1.4843</v>
      </c>
      <c r="T774" s="418" t="n">
        <f aca="false">m*g</f>
        <v>14.560983</v>
      </c>
      <c r="U774" s="422" t="n">
        <f aca="false">IF(pos_xz&lt;L_rampe,Poids*COS(Beta),0)</f>
        <v>0</v>
      </c>
      <c r="V774" s="419" t="n">
        <f aca="false">Rho_moyen*(20000-Alt_rampe-pos_z)/(20000+Alt_rampe+pos_z)</f>
        <v>1.22591305515223</v>
      </c>
      <c r="W774" s="418" t="n">
        <f aca="false">1/2*Rho*Sref*Cx*vit_xz^2</f>
        <v>5.5825739488866</v>
      </c>
      <c r="X774" s="402"/>
      <c r="Y774" s="423" t="str">
        <f aca="false">IF(AND(pos_z&lt;=0,K773&gt;0),"Impact balistique","") &amp; IF(AND(H775&lt;0,vit_z&gt;=0),"Apogée","") &amp; IF(AND(Poussee=0,Q773&gt;0),"Fin de propulsion","") &amp; IF(AND(L775&gt;L_rampe,pos_xz&lt;=L_rampe),"Sortie de rampe","")</f>
        <v/>
      </c>
      <c r="Z774" s="424" t="str">
        <f aca="false">IF(ABS(t-T_para)&lt;pas/2,"Para","")</f>
        <v/>
      </c>
      <c r="AA774" s="425" t="str">
        <f aca="false">IF(ABS(t-T_satellite)&lt;pas/2,"Satellite","")</f>
        <v/>
      </c>
      <c r="AB774" s="413"/>
      <c r="AC774" s="421" t="e">
        <f aca="false">IF(ABS(t-ROUND(t,0))&lt;0.001,t,NA())</f>
        <v>#N/A</v>
      </c>
      <c r="AD774" s="426" t="e">
        <f aca="false">IF(ABS(t-ROUND(t,0))&lt;0.001,pos_x,NA())</f>
        <v>#N/A</v>
      </c>
      <c r="AE774" s="427" t="e">
        <f aca="false">IF(t&lt;T_para, pos_z, NA())</f>
        <v>#N/A</v>
      </c>
      <c r="AF774" s="413"/>
      <c r="AG774" s="419" t="n">
        <f aca="false">IF(AND(L773&lt;L_rampe,Poussee&lt;Poids*SIN(M773)),0,(-W773+Poussee)/m-Poids*SIN(M773)/m)</f>
        <v>5.94842987239942</v>
      </c>
      <c r="AH774" s="418" t="n">
        <f aca="false">IF(AND(L773&lt;L_rampe,Poussee&lt;Poids*SIN(M773)), g*SIN(M773), (-W773+Poussee)/m)</f>
        <v>-3.76101702782654</v>
      </c>
    </row>
    <row r="775" customFormat="false" ht="12" hidden="false" customHeight="false" outlineLevel="0" collapsed="false">
      <c r="A775" s="417" t="n">
        <f aca="false">IF(B774+0.01&lt;=T_ini+ROUNDUP(Temps_fin_propu,0), 0.01, IF(K774&gt;0, 0.1, 0.0001))</f>
        <v>0.0001</v>
      </c>
      <c r="B775" s="418" t="n">
        <f aca="false">B774+pas</f>
        <v>16.5425999999999</v>
      </c>
      <c r="C775" s="402"/>
      <c r="D775" s="419" t="n">
        <f aca="false">IF(AND(L774&lt;L_rampe,Poussee&lt;Poids*SIN(M774)),0,(-W774+Poussee)/m*COS(M774)-U774/m*SIN(M774))</f>
        <v>-0.537117630817177</v>
      </c>
      <c r="E775" s="420" t="n">
        <f aca="false">IF(AND(L774&lt;L_rampe,Poussee&lt;Poids*SIN(M774)),0,(-W774+Poussee)/m*SIN(M774)+U774/m*COS(M774)-Poids/m)</f>
        <v>-6.08746831598422</v>
      </c>
      <c r="F775" s="418" t="n">
        <f aca="false">SQRT(acc_x^2+acc_z^2)</f>
        <v>6.11111821579704</v>
      </c>
      <c r="G775" s="419" t="n">
        <f aca="false">G774+acc_x*pas</f>
        <v>10.2643717578099</v>
      </c>
      <c r="H775" s="420" t="n">
        <f aca="false">H774+acc_z*pas</f>
        <v>-71.1389345742138</v>
      </c>
      <c r="I775" s="418" t="n">
        <f aca="false">SQRT(vit_x^2+vit_z^2)</f>
        <v>71.8756241011985</v>
      </c>
      <c r="J775" s="419" t="n">
        <f aca="false">J774+0.5*(vit_x+G774)*pas*(K774&gt;=0)</f>
        <v>211.791153319536</v>
      </c>
      <c r="K775" s="420" t="n">
        <f aca="false">K774+0.5*(vit_z+H774)*pas</f>
        <v>-7.45784860294976</v>
      </c>
      <c r="L775" s="418" t="n">
        <f aca="false">SQRT(pos_x^2+pos_z^2)</f>
        <v>211.922420074431</v>
      </c>
      <c r="M775" s="419" t="n">
        <f aca="false">IF(AND(L774&gt;L_rampe,G775&gt;0),ATAN2(G775,H775),$M$4)</f>
        <v>-1.42749900541351</v>
      </c>
      <c r="N775" s="418" t="n">
        <f aca="false">DEGREES(Beta)</f>
        <v>-81.7896682693167</v>
      </c>
      <c r="O775" s="402"/>
      <c r="P775" s="421" t="n">
        <f aca="false">MATCH(t-pas/2-T_ini,CdP_t)</f>
        <v>23</v>
      </c>
      <c r="Q775" s="418" t="n">
        <f aca="false">(INDEX(CdP,2,i_P+1)-INDEX(CdP,2,i_P+0))/(INDEX(CdP,1,i_P+1)-INDEX(CdP,1,i_P+0))*(t-pas/2-T_ini-INDEX(CdP,1,i_P+0))+INDEX(CdP,2,i_P+0)</f>
        <v>0</v>
      </c>
      <c r="R775" s="419" t="n">
        <f aca="false">Poussee/(g*ISP)</f>
        <v>0</v>
      </c>
      <c r="S775" s="420" t="n">
        <f aca="false">S774-Débit*pas</f>
        <v>1.4843</v>
      </c>
      <c r="T775" s="418" t="n">
        <f aca="false">m*g</f>
        <v>14.560983</v>
      </c>
      <c r="U775" s="422" t="n">
        <f aca="false">IF(pos_xz&lt;L_rampe,Poids*COS(Beta),0)</f>
        <v>0</v>
      </c>
      <c r="V775" s="419" t="n">
        <f aca="false">Rho_moyen*(20000-Alt_rampe-pos_z)/(20000+Alt_rampe+pos_z)</f>
        <v>1.22591392725041</v>
      </c>
      <c r="W775" s="418" t="n">
        <f aca="false">1/2*Rho*Sref*Cx*vit_xz^2</f>
        <v>5.58267032333708</v>
      </c>
      <c r="X775" s="402"/>
      <c r="Y775" s="423" t="str">
        <f aca="false">IF(AND(pos_z&lt;=0,K774&gt;0),"Impact balistique","") &amp; IF(AND(H776&lt;0,vit_z&gt;=0),"Apogée","") &amp; IF(AND(Poussee=0,Q774&gt;0),"Fin de propulsion","") &amp; IF(AND(L776&gt;L_rampe,pos_xz&lt;=L_rampe),"Sortie de rampe","")</f>
        <v/>
      </c>
      <c r="Z775" s="424" t="str">
        <f aca="false">IF(ABS(t-T_para)&lt;pas/2,"Para","")</f>
        <v/>
      </c>
      <c r="AA775" s="425" t="str">
        <f aca="false">IF(ABS(t-T_satellite)&lt;pas/2,"Satellite","")</f>
        <v/>
      </c>
      <c r="AB775" s="413"/>
      <c r="AC775" s="421" t="e">
        <f aca="false">IF(ABS(t-ROUND(t,0))&lt;0.001,t,NA())</f>
        <v>#N/A</v>
      </c>
      <c r="AD775" s="426" t="e">
        <f aca="false">IF(ABS(t-ROUND(t,0))&lt;0.001,pos_x,NA())</f>
        <v>#N/A</v>
      </c>
      <c r="AE775" s="427" t="e">
        <f aca="false">IF(t&lt;T_para, pos_z, NA())</f>
        <v>#N/A</v>
      </c>
      <c r="AF775" s="413"/>
      <c r="AG775" s="419" t="n">
        <f aca="false">IF(AND(L774&lt;L_rampe,Poussee&lt;Poids*SIN(M774)),0,(-W774+Poussee)/m-Poids*SIN(M774)/m)</f>
        <v>5.94836767390122</v>
      </c>
      <c r="AH775" s="418" t="n">
        <f aca="false">IF(AND(L774&lt;L_rampe,Poussee&lt;Poids*SIN(M774)), g*SIN(M774), (-W774+Poussee)/m)</f>
        <v>-3.76108195707512</v>
      </c>
    </row>
    <row r="776" customFormat="false" ht="12" hidden="false" customHeight="false" outlineLevel="0" collapsed="false">
      <c r="A776" s="417" t="n">
        <f aca="false">IF(B775+0.01&lt;=T_ini+ROUNDUP(Temps_fin_propu,0), 0.01, IF(K775&gt;0, 0.1, 0.0001))</f>
        <v>0.0001</v>
      </c>
      <c r="B776" s="418" t="n">
        <f aca="false">B775+pas</f>
        <v>16.5426999999999</v>
      </c>
      <c r="C776" s="402"/>
      <c r="D776" s="419" t="n">
        <f aca="false">IF(AND(L775&lt;L_rampe,Poussee&lt;Poids*SIN(M775)),0,(-W775+Poussee)/m*COS(M775)-U775/m*SIN(M775))</f>
        <v>-0.537119647439448</v>
      </c>
      <c r="E776" s="420" t="n">
        <f aca="false">IF(AND(L775&lt;L_rampe,Poussee&lt;Poids*SIN(M775)),0,(-W775+Poussee)/m*SIN(M775)+U775/m*COS(M775)-Poids/m)</f>
        <v>-6.0874030053377</v>
      </c>
      <c r="F776" s="418" t="n">
        <f aca="false">SQRT(acc_x^2+acc_z^2)</f>
        <v>6.11105333515098</v>
      </c>
      <c r="G776" s="419" t="n">
        <f aca="false">G775+acc_x*pas</f>
        <v>10.2643180458451</v>
      </c>
      <c r="H776" s="420" t="n">
        <f aca="false">H775+acc_z*pas</f>
        <v>-71.1395433145143</v>
      </c>
      <c r="I776" s="418" t="n">
        <f aca="false">SQRT(vit_x^2+vit_z^2)</f>
        <v>71.8762189318826</v>
      </c>
      <c r="J776" s="419" t="n">
        <f aca="false">J775+0.5*(vit_x+G775)*pas*(K775&gt;=0)</f>
        <v>211.791153319536</v>
      </c>
      <c r="K776" s="420" t="n">
        <f aca="false">K775+0.5*(vit_z+H775)*pas</f>
        <v>-7.4649625268442</v>
      </c>
      <c r="L776" s="418" t="n">
        <f aca="false">SQRT(pos_x^2+pos_z^2)</f>
        <v>211.922670542692</v>
      </c>
      <c r="M776" s="419" t="n">
        <f aca="false">IF(AND(L775&gt;L_rampe,G776&gt;0),ATAN2(G776,H776),$M$4)</f>
        <v>-1.42750095451534</v>
      </c>
      <c r="N776" s="418" t="n">
        <f aca="false">DEGREES(Beta)</f>
        <v>-81.7897799446252</v>
      </c>
      <c r="O776" s="402"/>
      <c r="P776" s="421" t="n">
        <f aca="false">MATCH(t-pas/2-T_ini,CdP_t)</f>
        <v>23</v>
      </c>
      <c r="Q776" s="418" t="n">
        <f aca="false">(INDEX(CdP,2,i_P+1)-INDEX(CdP,2,i_P+0))/(INDEX(CdP,1,i_P+1)-INDEX(CdP,1,i_P+0))*(t-pas/2-T_ini-INDEX(CdP,1,i_P+0))+INDEX(CdP,2,i_P+0)</f>
        <v>0</v>
      </c>
      <c r="R776" s="419" t="n">
        <f aca="false">Poussee/(g*ISP)</f>
        <v>0</v>
      </c>
      <c r="S776" s="420" t="n">
        <f aca="false">S775-Débit*pas</f>
        <v>1.4843</v>
      </c>
      <c r="T776" s="418" t="n">
        <f aca="false">m*g</f>
        <v>14.560983</v>
      </c>
      <c r="U776" s="422" t="n">
        <f aca="false">IF(pos_xz&lt;L_rampe,Poids*COS(Beta),0)</f>
        <v>0</v>
      </c>
      <c r="V776" s="419" t="n">
        <f aca="false">Rho_moyen*(20000-Alt_rampe-pos_z)/(20000+Alt_rampe+pos_z)</f>
        <v>1.22591479935668</v>
      </c>
      <c r="W776" s="418" t="n">
        <f aca="false">1/2*Rho*Sref*Cx*vit_xz^2</f>
        <v>5.58276669775435</v>
      </c>
      <c r="X776" s="402"/>
      <c r="Y776" s="423" t="str">
        <f aca="false">IF(AND(pos_z&lt;=0,K775&gt;0),"Impact balistique","") &amp; IF(AND(H777&lt;0,vit_z&gt;=0),"Apogée","") &amp; IF(AND(Poussee=0,Q775&gt;0),"Fin de propulsion","") &amp; IF(AND(L777&gt;L_rampe,pos_xz&lt;=L_rampe),"Sortie de rampe","")</f>
        <v/>
      </c>
      <c r="Z776" s="424" t="str">
        <f aca="false">IF(ABS(t-T_para)&lt;pas/2,"Para","")</f>
        <v/>
      </c>
      <c r="AA776" s="425" t="str">
        <f aca="false">IF(ABS(t-T_satellite)&lt;pas/2,"Satellite","")</f>
        <v/>
      </c>
      <c r="AB776" s="413"/>
      <c r="AC776" s="421" t="e">
        <f aca="false">IF(ABS(t-ROUND(t,0))&lt;0.001,t,NA())</f>
        <v>#N/A</v>
      </c>
      <c r="AD776" s="426" t="e">
        <f aca="false">IF(ABS(t-ROUND(t,0))&lt;0.001,pos_x,NA())</f>
        <v>#N/A</v>
      </c>
      <c r="AE776" s="427" t="e">
        <f aca="false">IF(t&lt;T_para, pos_z, NA())</f>
        <v>#N/A</v>
      </c>
      <c r="AF776" s="413"/>
      <c r="AG776" s="419" t="n">
        <f aca="false">IF(AND(L775&lt;L_rampe,Poussee&lt;Poids*SIN(M775)),0,(-W775+Poussee)/m-Poids*SIN(M775)/m)</f>
        <v>5.948305475329</v>
      </c>
      <c r="AH776" s="418" t="n">
        <f aca="false">IF(AND(L775&lt;L_rampe,Poussee&lt;Poids*SIN(M775)), g*SIN(M775), (-W775+Poussee)/m)</f>
        <v>-3.76114688630135</v>
      </c>
    </row>
    <row r="777" customFormat="false" ht="12" hidden="false" customHeight="false" outlineLevel="0" collapsed="false">
      <c r="A777" s="417" t="n">
        <f aca="false">IF(B776+0.01&lt;=T_ini+ROUNDUP(Temps_fin_propu,0), 0.01, IF(K776&gt;0, 0.1, 0.0001))</f>
        <v>0.0001</v>
      </c>
      <c r="B777" s="418" t="n">
        <f aca="false">B776+pas</f>
        <v>16.5427999999999</v>
      </c>
      <c r="C777" s="402"/>
      <c r="D777" s="419" t="n">
        <f aca="false">IF(AND(L776&lt;L_rampe,Poussee&lt;Poids*SIN(M776)),0,(-W776+Poussee)/m*COS(M776)-U776/m*SIN(M776))</f>
        <v>-0.537121663964032</v>
      </c>
      <c r="E777" s="420" t="n">
        <f aca="false">IF(AND(L776&lt;L_rampe,Poussee&lt;Poids*SIN(M776)),0,(-W776+Poussee)/m*SIN(M776)+U776/m*COS(M776)-Poids/m)</f>
        <v>-6.08733769471412</v>
      </c>
      <c r="F777" s="418" t="n">
        <f aca="false">SQRT(acc_x^2+acc_z^2)</f>
        <v>6.11098845452902</v>
      </c>
      <c r="G777" s="419" t="n">
        <f aca="false">G776+acc_x*pas</f>
        <v>10.2642643336787</v>
      </c>
      <c r="H777" s="420" t="n">
        <f aca="false">H776+acc_z*pas</f>
        <v>-71.1401520482838</v>
      </c>
      <c r="I777" s="418" t="n">
        <f aca="false">SQRT(vit_x^2+vit_z^2)</f>
        <v>71.8768137563468</v>
      </c>
      <c r="J777" s="419" t="n">
        <f aca="false">J776+0.5*(vit_x+G776)*pas*(K776&gt;=0)</f>
        <v>211.791153319536</v>
      </c>
      <c r="K777" s="420" t="n">
        <f aca="false">K776+0.5*(vit_z+H776)*pas</f>
        <v>-7.47207651161234</v>
      </c>
      <c r="L777" s="418" t="n">
        <f aca="false">SQRT(pos_x^2+pos_z^2)</f>
        <v>211.922921251607</v>
      </c>
      <c r="M777" s="419" t="n">
        <f aca="false">IF(AND(L776&gt;L_rampe,G777&gt;0),ATAN2(G777,H777),$M$4)</f>
        <v>-1.4275029035747</v>
      </c>
      <c r="N777" s="418" t="n">
        <f aca="false">DEGREES(Beta)</f>
        <v>-81.7898916175011</v>
      </c>
      <c r="O777" s="402"/>
      <c r="P777" s="421" t="n">
        <f aca="false">MATCH(t-pas/2-T_ini,CdP_t)</f>
        <v>23</v>
      </c>
      <c r="Q777" s="418" t="n">
        <f aca="false">(INDEX(CdP,2,i_P+1)-INDEX(CdP,2,i_P+0))/(INDEX(CdP,1,i_P+1)-INDEX(CdP,1,i_P+0))*(t-pas/2-T_ini-INDEX(CdP,1,i_P+0))+INDEX(CdP,2,i_P+0)</f>
        <v>0</v>
      </c>
      <c r="R777" s="419" t="n">
        <f aca="false">Poussee/(g*ISP)</f>
        <v>0</v>
      </c>
      <c r="S777" s="420" t="n">
        <f aca="false">S776-Débit*pas</f>
        <v>1.4843</v>
      </c>
      <c r="T777" s="418" t="n">
        <f aca="false">m*g</f>
        <v>14.560983</v>
      </c>
      <c r="U777" s="422" t="n">
        <f aca="false">IF(pos_xz&lt;L_rampe,Poids*COS(Beta),0)</f>
        <v>0</v>
      </c>
      <c r="V777" s="419" t="n">
        <f aca="false">Rho_moyen*(20000-Alt_rampe-pos_z)/(20000+Alt_rampe+pos_z)</f>
        <v>1.22591567147104</v>
      </c>
      <c r="W777" s="418" t="n">
        <f aca="false">1/2*Rho*Sref*Cx*vit_xz^2</f>
        <v>5.58286307213838</v>
      </c>
      <c r="X777" s="402"/>
      <c r="Y777" s="423" t="str">
        <f aca="false">IF(AND(pos_z&lt;=0,K776&gt;0),"Impact balistique","") &amp; IF(AND(H778&lt;0,vit_z&gt;=0),"Apogée","") &amp; IF(AND(Poussee=0,Q776&gt;0),"Fin de propulsion","") &amp; IF(AND(L778&gt;L_rampe,pos_xz&lt;=L_rampe),"Sortie de rampe","")</f>
        <v/>
      </c>
      <c r="Z777" s="424" t="str">
        <f aca="false">IF(ABS(t-T_para)&lt;pas/2,"Para","")</f>
        <v/>
      </c>
      <c r="AA777" s="425" t="str">
        <f aca="false">IF(ABS(t-T_satellite)&lt;pas/2,"Satellite","")</f>
        <v/>
      </c>
      <c r="AB777" s="413"/>
      <c r="AC777" s="421" t="e">
        <f aca="false">IF(ABS(t-ROUND(t,0))&lt;0.001,t,NA())</f>
        <v>#N/A</v>
      </c>
      <c r="AD777" s="426" t="e">
        <f aca="false">IF(ABS(t-ROUND(t,0))&lt;0.001,pos_x,NA())</f>
        <v>#N/A</v>
      </c>
      <c r="AE777" s="427" t="e">
        <f aca="false">IF(t&lt;T_para, pos_z, NA())</f>
        <v>#N/A</v>
      </c>
      <c r="AF777" s="413"/>
      <c r="AG777" s="419" t="n">
        <f aca="false">IF(AND(L776&lt;L_rampe,Poussee&lt;Poids*SIN(M776)),0,(-W776+Poussee)/m-Poids*SIN(M776)/m)</f>
        <v>5.94824327668279</v>
      </c>
      <c r="AH777" s="418" t="n">
        <f aca="false">IF(AND(L776&lt;L_rampe,Poussee&lt;Poids*SIN(M776)), g*SIN(M776), (-W776+Poussee)/m)</f>
        <v>-3.76121181550519</v>
      </c>
    </row>
    <row r="778" customFormat="false" ht="12" hidden="false" customHeight="false" outlineLevel="0" collapsed="false">
      <c r="A778" s="417" t="n">
        <f aca="false">IF(B777+0.01&lt;=T_ini+ROUNDUP(Temps_fin_propu,0), 0.01, IF(K777&gt;0, 0.1, 0.0001))</f>
        <v>0.0001</v>
      </c>
      <c r="B778" s="418" t="n">
        <f aca="false">B777+pas</f>
        <v>16.5428999999999</v>
      </c>
      <c r="C778" s="402"/>
      <c r="D778" s="419" t="n">
        <f aca="false">IF(AND(L777&lt;L_rampe,Poussee&lt;Poids*SIN(M777)),0,(-W777+Poussee)/m*COS(M777)-U777/m*SIN(M777))</f>
        <v>-0.537123680390928</v>
      </c>
      <c r="E778" s="420" t="n">
        <f aca="false">IF(AND(L777&lt;L_rampe,Poussee&lt;Poids*SIN(M777)),0,(-W777+Poussee)/m*SIN(M777)+U777/m*COS(M777)-Poids/m)</f>
        <v>-6.08727238411352</v>
      </c>
      <c r="F778" s="418" t="n">
        <f aca="false">SQRT(acc_x^2+acc_z^2)</f>
        <v>6.11092357393118</v>
      </c>
      <c r="G778" s="419" t="n">
        <f aca="false">G777+acc_x*pas</f>
        <v>10.2642106213107</v>
      </c>
      <c r="H778" s="420" t="n">
        <f aca="false">H777+acc_z*pas</f>
        <v>-71.1407607755222</v>
      </c>
      <c r="I778" s="418" t="n">
        <f aca="false">SQRT(vit_x^2+vit_z^2)</f>
        <v>71.8774085745911</v>
      </c>
      <c r="J778" s="419" t="n">
        <f aca="false">J777+0.5*(vit_x+G777)*pas*(K777&gt;=0)</f>
        <v>211.791153319536</v>
      </c>
      <c r="K778" s="420" t="n">
        <f aca="false">K777+0.5*(vit_z+H777)*pas</f>
        <v>-7.47919055725353</v>
      </c>
      <c r="L778" s="418" t="n">
        <f aca="false">SQRT(pos_x^2+pos_z^2)</f>
        <v>211.92317220118</v>
      </c>
      <c r="M778" s="419" t="n">
        <f aca="false">IF(AND(L777&gt;L_rampe,G778&gt;0),ATAN2(G778,H778),$M$4)</f>
        <v>-1.42750485259162</v>
      </c>
      <c r="N778" s="418" t="n">
        <f aca="false">DEGREES(Beta)</f>
        <v>-81.7900032879443</v>
      </c>
      <c r="O778" s="402"/>
      <c r="P778" s="421" t="n">
        <f aca="false">MATCH(t-pas/2-T_ini,CdP_t)</f>
        <v>23</v>
      </c>
      <c r="Q778" s="418" t="n">
        <f aca="false">(INDEX(CdP,2,i_P+1)-INDEX(CdP,2,i_P+0))/(INDEX(CdP,1,i_P+1)-INDEX(CdP,1,i_P+0))*(t-pas/2-T_ini-INDEX(CdP,1,i_P+0))+INDEX(CdP,2,i_P+0)</f>
        <v>0</v>
      </c>
      <c r="R778" s="419" t="n">
        <f aca="false">Poussee/(g*ISP)</f>
        <v>0</v>
      </c>
      <c r="S778" s="420" t="n">
        <f aca="false">S777-Débit*pas</f>
        <v>1.4843</v>
      </c>
      <c r="T778" s="418" t="n">
        <f aca="false">m*g</f>
        <v>14.560983</v>
      </c>
      <c r="U778" s="422" t="n">
        <f aca="false">IF(pos_xz&lt;L_rampe,Poids*COS(Beta),0)</f>
        <v>0</v>
      </c>
      <c r="V778" s="419" t="n">
        <f aca="false">Rho_moyen*(20000-Alt_rampe-pos_z)/(20000+Alt_rampe+pos_z)</f>
        <v>1.22591654359347</v>
      </c>
      <c r="W778" s="418" t="n">
        <f aca="false">1/2*Rho*Sref*Cx*vit_xz^2</f>
        <v>5.58295944648915</v>
      </c>
      <c r="X778" s="402"/>
      <c r="Y778" s="423" t="str">
        <f aca="false">IF(AND(pos_z&lt;=0,K777&gt;0),"Impact balistique","") &amp; IF(AND(H779&lt;0,vit_z&gt;=0),"Apogée","") &amp; IF(AND(Poussee=0,Q777&gt;0),"Fin de propulsion","") &amp; IF(AND(L779&gt;L_rampe,pos_xz&lt;=L_rampe),"Sortie de rampe","")</f>
        <v/>
      </c>
      <c r="Z778" s="424" t="str">
        <f aca="false">IF(ABS(t-T_para)&lt;pas/2,"Para","")</f>
        <v/>
      </c>
      <c r="AA778" s="425" t="str">
        <f aca="false">IF(ABS(t-T_satellite)&lt;pas/2,"Satellite","")</f>
        <v/>
      </c>
      <c r="AB778" s="413"/>
      <c r="AC778" s="421" t="e">
        <f aca="false">IF(ABS(t-ROUND(t,0))&lt;0.001,t,NA())</f>
        <v>#N/A</v>
      </c>
      <c r="AD778" s="426" t="e">
        <f aca="false">IF(ABS(t-ROUND(t,0))&lt;0.001,pos_x,NA())</f>
        <v>#N/A</v>
      </c>
      <c r="AE778" s="427" t="e">
        <f aca="false">IF(t&lt;T_para, pos_z, NA())</f>
        <v>#N/A</v>
      </c>
      <c r="AF778" s="413"/>
      <c r="AG778" s="419" t="n">
        <f aca="false">IF(AND(L777&lt;L_rampe,Poussee&lt;Poids*SIN(M777)),0,(-W777+Poussee)/m-Poids*SIN(M777)/m)</f>
        <v>5.9481810779626</v>
      </c>
      <c r="AH778" s="418" t="n">
        <f aca="false">IF(AND(L777&lt;L_rampe,Poussee&lt;Poids*SIN(M777)), g*SIN(M777), (-W777+Poussee)/m)</f>
        <v>-3.76127674468664</v>
      </c>
    </row>
    <row r="779" customFormat="false" ht="12" hidden="false" customHeight="false" outlineLevel="0" collapsed="false">
      <c r="A779" s="417" t="n">
        <f aca="false">IF(B778+0.01&lt;=T_ini+ROUNDUP(Temps_fin_propu,0), 0.01, IF(K778&gt;0, 0.1, 0.0001))</f>
        <v>0.0001</v>
      </c>
      <c r="B779" s="418" t="n">
        <f aca="false">B778+pas</f>
        <v>16.5429999999999</v>
      </c>
      <c r="C779" s="402"/>
      <c r="D779" s="419" t="n">
        <f aca="false">IF(AND(L778&lt;L_rampe,Poussee&lt;Poids*SIN(M778)),0,(-W778+Poussee)/m*COS(M778)-U778/m*SIN(M778))</f>
        <v>-0.53712569672014</v>
      </c>
      <c r="E779" s="420" t="n">
        <f aca="false">IF(AND(L778&lt;L_rampe,Poussee&lt;Poids*SIN(M778)),0,(-W778+Poussee)/m*SIN(M778)+U778/m*COS(M778)-Poids/m)</f>
        <v>-6.0872070735359</v>
      </c>
      <c r="F779" s="418" t="n">
        <f aca="false">SQRT(acc_x^2+acc_z^2)</f>
        <v>6.11085869335747</v>
      </c>
      <c r="G779" s="419" t="n">
        <f aca="false">G778+acc_x*pas</f>
        <v>10.264156908741</v>
      </c>
      <c r="H779" s="420" t="n">
        <f aca="false">H778+acc_z*pas</f>
        <v>-71.1413694962295</v>
      </c>
      <c r="I779" s="418" t="n">
        <f aca="false">SQRT(vit_x^2+vit_z^2)</f>
        <v>71.8780033866155</v>
      </c>
      <c r="J779" s="419" t="n">
        <f aca="false">J778+0.5*(vit_x+G778)*pas*(K778&gt;=0)</f>
        <v>211.791153319536</v>
      </c>
      <c r="K779" s="420" t="n">
        <f aca="false">K778+0.5*(vit_z+H778)*pas</f>
        <v>-7.48630466376712</v>
      </c>
      <c r="L779" s="418" t="n">
        <f aca="false">SQRT(pos_x^2+pos_z^2)</f>
        <v>211.923423391418</v>
      </c>
      <c r="M779" s="419" t="n">
        <f aca="false">IF(AND(L778&gt;L_rampe,G779&gt;0),ATAN2(G779,H779),$M$4)</f>
        <v>-1.42750680156607</v>
      </c>
      <c r="N779" s="418" t="n">
        <f aca="false">DEGREES(Beta)</f>
        <v>-81.7901149559549</v>
      </c>
      <c r="O779" s="402"/>
      <c r="P779" s="421" t="n">
        <f aca="false">MATCH(t-pas/2-T_ini,CdP_t)</f>
        <v>23</v>
      </c>
      <c r="Q779" s="418" t="n">
        <f aca="false">(INDEX(CdP,2,i_P+1)-INDEX(CdP,2,i_P+0))/(INDEX(CdP,1,i_P+1)-INDEX(CdP,1,i_P+0))*(t-pas/2-T_ini-INDEX(CdP,1,i_P+0))+INDEX(CdP,2,i_P+0)</f>
        <v>0</v>
      </c>
      <c r="R779" s="419" t="n">
        <f aca="false">Poussee/(g*ISP)</f>
        <v>0</v>
      </c>
      <c r="S779" s="420" t="n">
        <f aca="false">S778-Débit*pas</f>
        <v>1.4843</v>
      </c>
      <c r="T779" s="418" t="n">
        <f aca="false">m*g</f>
        <v>14.560983</v>
      </c>
      <c r="U779" s="422" t="n">
        <f aca="false">IF(pos_xz&lt;L_rampe,Poids*COS(Beta),0)</f>
        <v>0</v>
      </c>
      <c r="V779" s="419" t="n">
        <f aca="false">Rho_moyen*(20000-Alt_rampe-pos_z)/(20000+Alt_rampe+pos_z)</f>
        <v>1.22591741572399</v>
      </c>
      <c r="W779" s="418" t="n">
        <f aca="false">1/2*Rho*Sref*Cx*vit_xz^2</f>
        <v>5.58305582080663</v>
      </c>
      <c r="X779" s="402"/>
      <c r="Y779" s="423" t="str">
        <f aca="false">IF(AND(pos_z&lt;=0,K778&gt;0),"Impact balistique","") &amp; IF(AND(H780&lt;0,vit_z&gt;=0),"Apogée","") &amp; IF(AND(Poussee=0,Q778&gt;0),"Fin de propulsion","") &amp; IF(AND(L780&gt;L_rampe,pos_xz&lt;=L_rampe),"Sortie de rampe","")</f>
        <v/>
      </c>
      <c r="Z779" s="424" t="str">
        <f aca="false">IF(ABS(t-T_para)&lt;pas/2,"Para","")</f>
        <v/>
      </c>
      <c r="AA779" s="425" t="str">
        <f aca="false">IF(ABS(t-T_satellite)&lt;pas/2,"Satellite","")</f>
        <v/>
      </c>
      <c r="AB779" s="413"/>
      <c r="AC779" s="421" t="e">
        <f aca="false">IF(ABS(t-ROUND(t,0))&lt;0.001,t,NA())</f>
        <v>#N/A</v>
      </c>
      <c r="AD779" s="426" t="e">
        <f aca="false">IF(ABS(t-ROUND(t,0))&lt;0.001,pos_x,NA())</f>
        <v>#N/A</v>
      </c>
      <c r="AE779" s="427" t="e">
        <f aca="false">IF(t&lt;T_para, pos_z, NA())</f>
        <v>#N/A</v>
      </c>
      <c r="AF779" s="413"/>
      <c r="AG779" s="419" t="n">
        <f aca="false">IF(AND(L778&lt;L_rampe,Poussee&lt;Poids*SIN(M778)),0,(-W778+Poussee)/m-Poids*SIN(M778)/m)</f>
        <v>5.94811887916845</v>
      </c>
      <c r="AH779" s="418" t="n">
        <f aca="false">IF(AND(L778&lt;L_rampe,Poussee&lt;Poids*SIN(M778)), g*SIN(M778), (-W778+Poussee)/m)</f>
        <v>-3.76134167384569</v>
      </c>
    </row>
    <row r="780" customFormat="false" ht="12" hidden="false" customHeight="false" outlineLevel="0" collapsed="false">
      <c r="A780" s="417" t="n">
        <f aca="false">IF(B779+0.01&lt;=T_ini+ROUNDUP(Temps_fin_propu,0), 0.01, IF(K779&gt;0, 0.1, 0.0001))</f>
        <v>0.0001</v>
      </c>
      <c r="B780" s="418" t="n">
        <f aca="false">B779+pas</f>
        <v>16.5430999999999</v>
      </c>
      <c r="C780" s="402"/>
      <c r="D780" s="419" t="n">
        <f aca="false">IF(AND(L779&lt;L_rampe,Poussee&lt;Poids*SIN(M779)),0,(-W779+Poussee)/m*COS(M779)-U779/m*SIN(M779))</f>
        <v>-0.537127712951665</v>
      </c>
      <c r="E780" s="420" t="n">
        <f aca="false">IF(AND(L779&lt;L_rampe,Poussee&lt;Poids*SIN(M779)),0,(-W779+Poussee)/m*SIN(M779)+U779/m*COS(M779)-Poids/m)</f>
        <v>-6.08714176298127</v>
      </c>
      <c r="F780" s="418" t="n">
        <f aca="false">SQRT(acc_x^2+acc_z^2)</f>
        <v>6.11079381280791</v>
      </c>
      <c r="G780" s="419" t="n">
        <f aca="false">G779+acc_x*pas</f>
        <v>10.2641031959697</v>
      </c>
      <c r="H780" s="420" t="n">
        <f aca="false">H779+acc_z*pas</f>
        <v>-71.1419782104058</v>
      </c>
      <c r="I780" s="418" t="n">
        <f aca="false">SQRT(vit_x^2+vit_z^2)</f>
        <v>71.8785981924201</v>
      </c>
      <c r="J780" s="419" t="n">
        <f aca="false">J779+0.5*(vit_x+G779)*pas*(K779&gt;=0)</f>
        <v>211.791153319536</v>
      </c>
      <c r="K780" s="420" t="n">
        <f aca="false">K779+0.5*(vit_z+H779)*pas</f>
        <v>-7.49341883115245</v>
      </c>
      <c r="L780" s="418" t="n">
        <f aca="false">SQRT(pos_x^2+pos_z^2)</f>
        <v>211.923674822324</v>
      </c>
      <c r="M780" s="419" t="n">
        <f aca="false">IF(AND(L779&gt;L_rampe,G780&gt;0),ATAN2(G780,H780),$M$4)</f>
        <v>-1.42750875049807</v>
      </c>
      <c r="N780" s="418" t="n">
        <f aca="false">DEGREES(Beta)</f>
        <v>-81.790226621533</v>
      </c>
      <c r="O780" s="402"/>
      <c r="P780" s="421" t="n">
        <f aca="false">MATCH(t-pas/2-T_ini,CdP_t)</f>
        <v>23</v>
      </c>
      <c r="Q780" s="418" t="n">
        <f aca="false">(INDEX(CdP,2,i_P+1)-INDEX(CdP,2,i_P+0))/(INDEX(CdP,1,i_P+1)-INDEX(CdP,1,i_P+0))*(t-pas/2-T_ini-INDEX(CdP,1,i_P+0))+INDEX(CdP,2,i_P+0)</f>
        <v>0</v>
      </c>
      <c r="R780" s="419" t="n">
        <f aca="false">Poussee/(g*ISP)</f>
        <v>0</v>
      </c>
      <c r="S780" s="420" t="n">
        <f aca="false">S779-Débit*pas</f>
        <v>1.4843</v>
      </c>
      <c r="T780" s="418" t="n">
        <f aca="false">m*g</f>
        <v>14.560983</v>
      </c>
      <c r="U780" s="422" t="n">
        <f aca="false">IF(pos_xz&lt;L_rampe,Poids*COS(Beta),0)</f>
        <v>0</v>
      </c>
      <c r="V780" s="419" t="n">
        <f aca="false">Rho_moyen*(20000-Alt_rampe-pos_z)/(20000+Alt_rampe+pos_z)</f>
        <v>1.22591828786259</v>
      </c>
      <c r="W780" s="418" t="n">
        <f aca="false">1/2*Rho*Sref*Cx*vit_xz^2</f>
        <v>5.5831521950908</v>
      </c>
      <c r="X780" s="402"/>
      <c r="Y780" s="423" t="str">
        <f aca="false">IF(AND(pos_z&lt;=0,K779&gt;0),"Impact balistique","") &amp; IF(AND(H781&lt;0,vit_z&gt;=0),"Apogée","") &amp; IF(AND(Poussee=0,Q779&gt;0),"Fin de propulsion","") &amp; IF(AND(L781&gt;L_rampe,pos_xz&lt;=L_rampe),"Sortie de rampe","")</f>
        <v/>
      </c>
      <c r="Z780" s="424" t="str">
        <f aca="false">IF(ABS(t-T_para)&lt;pas/2,"Para","")</f>
        <v/>
      </c>
      <c r="AA780" s="425" t="str">
        <f aca="false">IF(ABS(t-T_satellite)&lt;pas/2,"Satellite","")</f>
        <v/>
      </c>
      <c r="AB780" s="413"/>
      <c r="AC780" s="421" t="e">
        <f aca="false">IF(ABS(t-ROUND(t,0))&lt;0.001,t,NA())</f>
        <v>#N/A</v>
      </c>
      <c r="AD780" s="426" t="e">
        <f aca="false">IF(ABS(t-ROUND(t,0))&lt;0.001,pos_x,NA())</f>
        <v>#N/A</v>
      </c>
      <c r="AE780" s="427" t="e">
        <f aca="false">IF(t&lt;T_para, pos_z, NA())</f>
        <v>#N/A</v>
      </c>
      <c r="AF780" s="413"/>
      <c r="AG780" s="419" t="n">
        <f aca="false">IF(AND(L779&lt;L_rampe,Poussee&lt;Poids*SIN(M779)),0,(-W779+Poussee)/m-Poids*SIN(M779)/m)</f>
        <v>5.94805668030038</v>
      </c>
      <c r="AH780" s="418" t="n">
        <f aca="false">IF(AND(L779&lt;L_rampe,Poussee&lt;Poids*SIN(M779)), g*SIN(M779), (-W779+Poussee)/m)</f>
        <v>-3.7614066029823</v>
      </c>
    </row>
    <row r="781" customFormat="false" ht="12" hidden="false" customHeight="false" outlineLevel="0" collapsed="false">
      <c r="A781" s="417" t="n">
        <f aca="false">IF(B780+0.01&lt;=T_ini+ROUNDUP(Temps_fin_propu,0), 0.01, IF(K780&gt;0, 0.1, 0.0001))</f>
        <v>0.0001</v>
      </c>
      <c r="B781" s="418" t="n">
        <f aca="false">B780+pas</f>
        <v>16.5431999999999</v>
      </c>
      <c r="C781" s="402"/>
      <c r="D781" s="419" t="n">
        <f aca="false">IF(AND(L780&lt;L_rampe,Poussee&lt;Poids*SIN(M780)),0,(-W780+Poussee)/m*COS(M780)-U780/m*SIN(M780))</f>
        <v>-0.537129729085507</v>
      </c>
      <c r="E781" s="420" t="n">
        <f aca="false">IF(AND(L780&lt;L_rampe,Poussee&lt;Poids*SIN(M780)),0,(-W780+Poussee)/m*SIN(M780)+U780/m*COS(M780)-Poids/m)</f>
        <v>-6.08707645244966</v>
      </c>
      <c r="F781" s="418" t="n">
        <f aca="false">SQRT(acc_x^2+acc_z^2)</f>
        <v>6.11072893228252</v>
      </c>
      <c r="G781" s="419" t="n">
        <f aca="false">G780+acc_x*pas</f>
        <v>10.2640494829968</v>
      </c>
      <c r="H781" s="420" t="n">
        <f aca="false">H780+acc_z*pas</f>
        <v>-71.1425869180511</v>
      </c>
      <c r="I781" s="418" t="n">
        <f aca="false">SQRT(vit_x^2+vit_z^2)</f>
        <v>71.8791929920047</v>
      </c>
      <c r="J781" s="419" t="n">
        <f aca="false">J780+0.5*(vit_x+G780)*pas*(K780&gt;=0)</f>
        <v>211.791153319536</v>
      </c>
      <c r="K781" s="420" t="n">
        <f aca="false">K780+0.5*(vit_z+H780)*pas</f>
        <v>-7.50053305940887</v>
      </c>
      <c r="L781" s="418" t="n">
        <f aca="false">SQRT(pos_x^2+pos_z^2)</f>
        <v>211.923926493906</v>
      </c>
      <c r="M781" s="419" t="n">
        <f aca="false">IF(AND(L780&gt;L_rampe,G781&gt;0),ATAN2(G781,H781),$M$4)</f>
        <v>-1.42751069938762</v>
      </c>
      <c r="N781" s="418" t="n">
        <f aca="false">DEGREES(Beta)</f>
        <v>-81.7903382846787</v>
      </c>
      <c r="O781" s="402"/>
      <c r="P781" s="421" t="n">
        <f aca="false">MATCH(t-pas/2-T_ini,CdP_t)</f>
        <v>23</v>
      </c>
      <c r="Q781" s="418" t="n">
        <f aca="false">(INDEX(CdP,2,i_P+1)-INDEX(CdP,2,i_P+0))/(INDEX(CdP,1,i_P+1)-INDEX(CdP,1,i_P+0))*(t-pas/2-T_ini-INDEX(CdP,1,i_P+0))+INDEX(CdP,2,i_P+0)</f>
        <v>0</v>
      </c>
      <c r="R781" s="419" t="n">
        <f aca="false">Poussee/(g*ISP)</f>
        <v>0</v>
      </c>
      <c r="S781" s="420" t="n">
        <f aca="false">S780-Débit*pas</f>
        <v>1.4843</v>
      </c>
      <c r="T781" s="418" t="n">
        <f aca="false">m*g</f>
        <v>14.560983</v>
      </c>
      <c r="U781" s="422" t="n">
        <f aca="false">IF(pos_xz&lt;L_rampe,Poids*COS(Beta),0)</f>
        <v>0</v>
      </c>
      <c r="V781" s="419" t="n">
        <f aca="false">Rho_moyen*(20000-Alt_rampe-pos_z)/(20000+Alt_rampe+pos_z)</f>
        <v>1.22591916000928</v>
      </c>
      <c r="W781" s="418" t="n">
        <f aca="false">1/2*Rho*Sref*Cx*vit_xz^2</f>
        <v>5.58324856934164</v>
      </c>
      <c r="X781" s="402"/>
      <c r="Y781" s="423" t="str">
        <f aca="false">IF(AND(pos_z&lt;=0,K780&gt;0),"Impact balistique","") &amp; IF(AND(H782&lt;0,vit_z&gt;=0),"Apogée","") &amp; IF(AND(Poussee=0,Q780&gt;0),"Fin de propulsion","") &amp; IF(AND(L782&gt;L_rampe,pos_xz&lt;=L_rampe),"Sortie de rampe","")</f>
        <v/>
      </c>
      <c r="Z781" s="424" t="str">
        <f aca="false">IF(ABS(t-T_para)&lt;pas/2,"Para","")</f>
        <v/>
      </c>
      <c r="AA781" s="425" t="str">
        <f aca="false">IF(ABS(t-T_satellite)&lt;pas/2,"Satellite","")</f>
        <v/>
      </c>
      <c r="AB781" s="413"/>
      <c r="AC781" s="421" t="e">
        <f aca="false">IF(ABS(t-ROUND(t,0))&lt;0.001,t,NA())</f>
        <v>#N/A</v>
      </c>
      <c r="AD781" s="426" t="e">
        <f aca="false">IF(ABS(t-ROUND(t,0))&lt;0.001,pos_x,NA())</f>
        <v>#N/A</v>
      </c>
      <c r="AE781" s="427" t="e">
        <f aca="false">IF(t&lt;T_para, pos_z, NA())</f>
        <v>#N/A</v>
      </c>
      <c r="AF781" s="413"/>
      <c r="AG781" s="419" t="n">
        <f aca="false">IF(AND(L780&lt;L_rampe,Poussee&lt;Poids*SIN(M780)),0,(-W780+Poussee)/m-Poids*SIN(M780)/m)</f>
        <v>5.94799448135839</v>
      </c>
      <c r="AH781" s="418" t="n">
        <f aca="false">IF(AND(L780&lt;L_rampe,Poussee&lt;Poids*SIN(M780)), g*SIN(M780), (-W780+Poussee)/m)</f>
        <v>-3.76147153209648</v>
      </c>
    </row>
    <row r="782" customFormat="false" ht="12" hidden="false" customHeight="false" outlineLevel="0" collapsed="false">
      <c r="A782" s="417" t="n">
        <f aca="false">IF(B781+0.01&lt;=T_ini+ROUNDUP(Temps_fin_propu,0), 0.01, IF(K781&gt;0, 0.1, 0.0001))</f>
        <v>0.0001</v>
      </c>
      <c r="B782" s="418" t="n">
        <f aca="false">B781+pas</f>
        <v>16.5432999999999</v>
      </c>
      <c r="C782" s="402"/>
      <c r="D782" s="419" t="n">
        <f aca="false">IF(AND(L781&lt;L_rampe,Poussee&lt;Poids*SIN(M781)),0,(-W781+Poussee)/m*COS(M781)-U781/m*SIN(M781))</f>
        <v>-0.537131745121664</v>
      </c>
      <c r="E782" s="420" t="n">
        <f aca="false">IF(AND(L781&lt;L_rampe,Poussee&lt;Poids*SIN(M781)),0,(-W781+Poussee)/m*SIN(M781)+U781/m*COS(M781)-Poids/m)</f>
        <v>-6.08701114194109</v>
      </c>
      <c r="F782" s="418" t="n">
        <f aca="false">SQRT(acc_x^2+acc_z^2)</f>
        <v>6.11066405178131</v>
      </c>
      <c r="G782" s="419" t="n">
        <f aca="false">G781+acc_x*pas</f>
        <v>10.2639957698223</v>
      </c>
      <c r="H782" s="420" t="n">
        <f aca="false">H781+acc_z*pas</f>
        <v>-71.1431956191652</v>
      </c>
      <c r="I782" s="418" t="n">
        <f aca="false">SQRT(vit_x^2+vit_z^2)</f>
        <v>71.8797877853694</v>
      </c>
      <c r="J782" s="419" t="n">
        <f aca="false">J781+0.5*(vit_x+G781)*pas*(K781&gt;=0)</f>
        <v>211.791153319536</v>
      </c>
      <c r="K782" s="420" t="n">
        <f aca="false">K781+0.5*(vit_z+H781)*pas</f>
        <v>-7.50764734853573</v>
      </c>
      <c r="L782" s="418" t="n">
        <f aca="false">SQRT(pos_x^2+pos_z^2)</f>
        <v>211.924178406168</v>
      </c>
      <c r="M782" s="419" t="n">
        <f aca="false">IF(AND(L781&gt;L_rampe,G782&gt;0),ATAN2(G782,H782),$M$4)</f>
        <v>-1.42751264823471</v>
      </c>
      <c r="N782" s="418" t="n">
        <f aca="false">DEGREES(Beta)</f>
        <v>-81.7904499453921</v>
      </c>
      <c r="O782" s="402"/>
      <c r="P782" s="421" t="n">
        <f aca="false">MATCH(t-pas/2-T_ini,CdP_t)</f>
        <v>23</v>
      </c>
      <c r="Q782" s="418" t="n">
        <f aca="false">(INDEX(CdP,2,i_P+1)-INDEX(CdP,2,i_P+0))/(INDEX(CdP,1,i_P+1)-INDEX(CdP,1,i_P+0))*(t-pas/2-T_ini-INDEX(CdP,1,i_P+0))+INDEX(CdP,2,i_P+0)</f>
        <v>0</v>
      </c>
      <c r="R782" s="419" t="n">
        <f aca="false">Poussee/(g*ISP)</f>
        <v>0</v>
      </c>
      <c r="S782" s="420" t="n">
        <f aca="false">S781-Débit*pas</f>
        <v>1.4843</v>
      </c>
      <c r="T782" s="418" t="n">
        <f aca="false">m*g</f>
        <v>14.560983</v>
      </c>
      <c r="U782" s="422" t="n">
        <f aca="false">IF(pos_xz&lt;L_rampe,Poids*COS(Beta),0)</f>
        <v>0</v>
      </c>
      <c r="V782" s="419" t="n">
        <f aca="false">Rho_moyen*(20000-Alt_rampe-pos_z)/(20000+Alt_rampe+pos_z)</f>
        <v>1.22592003216405</v>
      </c>
      <c r="W782" s="418" t="n">
        <f aca="false">1/2*Rho*Sref*Cx*vit_xz^2</f>
        <v>5.58334494355912</v>
      </c>
      <c r="X782" s="402"/>
      <c r="Y782" s="423" t="str">
        <f aca="false">IF(AND(pos_z&lt;=0,K781&gt;0),"Impact balistique","") &amp; IF(AND(H783&lt;0,vit_z&gt;=0),"Apogée","") &amp; IF(AND(Poussee=0,Q781&gt;0),"Fin de propulsion","") &amp; IF(AND(L783&gt;L_rampe,pos_xz&lt;=L_rampe),"Sortie de rampe","")</f>
        <v/>
      </c>
      <c r="Z782" s="424" t="str">
        <f aca="false">IF(ABS(t-T_para)&lt;pas/2,"Para","")</f>
        <v/>
      </c>
      <c r="AA782" s="425" t="str">
        <f aca="false">IF(ABS(t-T_satellite)&lt;pas/2,"Satellite","")</f>
        <v/>
      </c>
      <c r="AB782" s="413"/>
      <c r="AC782" s="421" t="e">
        <f aca="false">IF(ABS(t-ROUND(t,0))&lt;0.001,t,NA())</f>
        <v>#N/A</v>
      </c>
      <c r="AD782" s="426" t="e">
        <f aca="false">IF(ABS(t-ROUND(t,0))&lt;0.001,pos_x,NA())</f>
        <v>#N/A</v>
      </c>
      <c r="AE782" s="427" t="e">
        <f aca="false">IF(t&lt;T_para, pos_z, NA())</f>
        <v>#N/A</v>
      </c>
      <c r="AF782" s="413"/>
      <c r="AG782" s="419" t="n">
        <f aca="false">IF(AND(L781&lt;L_rampe,Poussee&lt;Poids*SIN(M781)),0,(-W781+Poussee)/m-Poids*SIN(M781)/m)</f>
        <v>5.94793228234251</v>
      </c>
      <c r="AH782" s="418" t="n">
        <f aca="false">IF(AND(L781&lt;L_rampe,Poussee&lt;Poids*SIN(M781)), g*SIN(M781), (-W781+Poussee)/m)</f>
        <v>-3.7615364611882</v>
      </c>
    </row>
    <row r="783" customFormat="false" ht="12" hidden="false" customHeight="false" outlineLevel="0" collapsed="false">
      <c r="A783" s="417" t="n">
        <f aca="false">IF(B782+0.01&lt;=T_ini+ROUNDUP(Temps_fin_propu,0), 0.01, IF(K782&gt;0, 0.1, 0.0001))</f>
        <v>0.0001</v>
      </c>
      <c r="B783" s="418" t="n">
        <f aca="false">B782+pas</f>
        <v>16.5433999999999</v>
      </c>
      <c r="C783" s="402"/>
      <c r="D783" s="419" t="n">
        <f aca="false">IF(AND(L782&lt;L_rampe,Poussee&lt;Poids*SIN(M782)),0,(-W782+Poussee)/m*COS(M782)-U782/m*SIN(M782))</f>
        <v>-0.537133761060138</v>
      </c>
      <c r="E783" s="420" t="n">
        <f aca="false">IF(AND(L782&lt;L_rampe,Poussee&lt;Poids*SIN(M782)),0,(-W782+Poussee)/m*SIN(M782)+U782/m*COS(M782)-Poids/m)</f>
        <v>-6.08694583145556</v>
      </c>
      <c r="F783" s="418" t="n">
        <f aca="false">SQRT(acc_x^2+acc_z^2)</f>
        <v>6.11059917130431</v>
      </c>
      <c r="G783" s="419" t="n">
        <f aca="false">G782+acc_x*pas</f>
        <v>10.2639420564462</v>
      </c>
      <c r="H783" s="420" t="n">
        <f aca="false">H782+acc_z*pas</f>
        <v>-71.1438043137484</v>
      </c>
      <c r="I783" s="418" t="n">
        <f aca="false">SQRT(vit_x^2+vit_z^2)</f>
        <v>71.8803825725142</v>
      </c>
      <c r="J783" s="419" t="n">
        <f aca="false">J782+0.5*(vit_x+G782)*pas*(K782&gt;=0)</f>
        <v>211.791153319536</v>
      </c>
      <c r="K783" s="420" t="n">
        <f aca="false">K782+0.5*(vit_z+H782)*pas</f>
        <v>-7.51476169853238</v>
      </c>
      <c r="L783" s="418" t="n">
        <f aca="false">SQRT(pos_x^2+pos_z^2)</f>
        <v>211.924430559115</v>
      </c>
      <c r="M783" s="419" t="n">
        <f aca="false">IF(AND(L782&gt;L_rampe,G783&gt;0),ATAN2(G783,H783),$M$4)</f>
        <v>-1.42751459703935</v>
      </c>
      <c r="N783" s="418" t="n">
        <f aca="false">DEGREES(Beta)</f>
        <v>-81.7905616036732</v>
      </c>
      <c r="O783" s="402"/>
      <c r="P783" s="421" t="n">
        <f aca="false">MATCH(t-pas/2-T_ini,CdP_t)</f>
        <v>23</v>
      </c>
      <c r="Q783" s="418" t="n">
        <f aca="false">(INDEX(CdP,2,i_P+1)-INDEX(CdP,2,i_P+0))/(INDEX(CdP,1,i_P+1)-INDEX(CdP,1,i_P+0))*(t-pas/2-T_ini-INDEX(CdP,1,i_P+0))+INDEX(CdP,2,i_P+0)</f>
        <v>0</v>
      </c>
      <c r="R783" s="419" t="n">
        <f aca="false">Poussee/(g*ISP)</f>
        <v>0</v>
      </c>
      <c r="S783" s="420" t="n">
        <f aca="false">S782-Débit*pas</f>
        <v>1.4843</v>
      </c>
      <c r="T783" s="418" t="n">
        <f aca="false">m*g</f>
        <v>14.560983</v>
      </c>
      <c r="U783" s="422" t="n">
        <f aca="false">IF(pos_xz&lt;L_rampe,Poids*COS(Beta),0)</f>
        <v>0</v>
      </c>
      <c r="V783" s="419" t="n">
        <f aca="false">Rho_moyen*(20000-Alt_rampe-pos_z)/(20000+Alt_rampe+pos_z)</f>
        <v>1.2259209043269</v>
      </c>
      <c r="W783" s="418" t="n">
        <f aca="false">1/2*Rho*Sref*Cx*vit_xz^2</f>
        <v>5.58344131774321</v>
      </c>
      <c r="X783" s="402"/>
      <c r="Y783" s="423" t="str">
        <f aca="false">IF(AND(pos_z&lt;=0,K782&gt;0),"Impact balistique","") &amp; IF(AND(H784&lt;0,vit_z&gt;=0),"Apogée","") &amp; IF(AND(Poussee=0,Q782&gt;0),"Fin de propulsion","") &amp; IF(AND(L784&gt;L_rampe,pos_xz&lt;=L_rampe),"Sortie de rampe","")</f>
        <v/>
      </c>
      <c r="Z783" s="424" t="str">
        <f aca="false">IF(ABS(t-T_para)&lt;pas/2,"Para","")</f>
        <v/>
      </c>
      <c r="AA783" s="425" t="str">
        <f aca="false">IF(ABS(t-T_satellite)&lt;pas/2,"Satellite","")</f>
        <v/>
      </c>
      <c r="AB783" s="413"/>
      <c r="AC783" s="421" t="e">
        <f aca="false">IF(ABS(t-ROUND(t,0))&lt;0.001,t,NA())</f>
        <v>#N/A</v>
      </c>
      <c r="AD783" s="426" t="e">
        <f aca="false">IF(ABS(t-ROUND(t,0))&lt;0.001,pos_x,NA())</f>
        <v>#N/A</v>
      </c>
      <c r="AE783" s="427" t="e">
        <f aca="false">IF(t&lt;T_para, pos_z, NA())</f>
        <v>#N/A</v>
      </c>
      <c r="AF783" s="413"/>
      <c r="AG783" s="419" t="n">
        <f aca="false">IF(AND(L782&lt;L_rampe,Poussee&lt;Poids*SIN(M782)),0,(-W782+Poussee)/m-Poids*SIN(M782)/m)</f>
        <v>5.94787008325275</v>
      </c>
      <c r="AH783" s="418" t="n">
        <f aca="false">IF(AND(L782&lt;L_rampe,Poussee&lt;Poids*SIN(M782)), g*SIN(M782), (-W782+Poussee)/m)</f>
        <v>-3.76160139025744</v>
      </c>
    </row>
    <row r="784" customFormat="false" ht="12" hidden="false" customHeight="false" outlineLevel="0" collapsed="false">
      <c r="A784" s="417" t="n">
        <f aca="false">IF(B783+0.01&lt;=T_ini+ROUNDUP(Temps_fin_propu,0), 0.01, IF(K783&gt;0, 0.1, 0.0001))</f>
        <v>0.0001</v>
      </c>
      <c r="B784" s="418" t="n">
        <f aca="false">B783+pas</f>
        <v>16.5434999999999</v>
      </c>
      <c r="C784" s="402"/>
      <c r="D784" s="419" t="n">
        <f aca="false">IF(AND(L783&lt;L_rampe,Poussee&lt;Poids*SIN(M783)),0,(-W783+Poussee)/m*COS(M783)-U783/m*SIN(M783))</f>
        <v>-0.537135776900929</v>
      </c>
      <c r="E784" s="420" t="n">
        <f aca="false">IF(AND(L783&lt;L_rampe,Poussee&lt;Poids*SIN(M783)),0,(-W783+Poussee)/m*SIN(M783)+U783/m*COS(M783)-Poids/m)</f>
        <v>-6.0868805209931</v>
      </c>
      <c r="F784" s="418" t="n">
        <f aca="false">SQRT(acc_x^2+acc_z^2)</f>
        <v>6.11053429085151</v>
      </c>
      <c r="G784" s="419" t="n">
        <f aca="false">G783+acc_x*pas</f>
        <v>10.2638883428685</v>
      </c>
      <c r="H784" s="420" t="n">
        <f aca="false">H783+acc_z*pas</f>
        <v>-71.1444130018005</v>
      </c>
      <c r="I784" s="418" t="n">
        <f aca="false">SQRT(vit_x^2+vit_z^2)</f>
        <v>71.8809773534391</v>
      </c>
      <c r="J784" s="419" t="n">
        <f aca="false">J783+0.5*(vit_x+G783)*pas*(K783&gt;=0)</f>
        <v>211.791153319536</v>
      </c>
      <c r="K784" s="420" t="n">
        <f aca="false">K783+0.5*(vit_z+H783)*pas</f>
        <v>-7.52187610939815</v>
      </c>
      <c r="L784" s="418" t="n">
        <f aca="false">SQRT(pos_x^2+pos_z^2)</f>
        <v>211.924682952752</v>
      </c>
      <c r="M784" s="419" t="n">
        <f aca="false">IF(AND(L783&gt;L_rampe,G784&gt;0),ATAN2(G784,H784),$M$4)</f>
        <v>-1.42751654580154</v>
      </c>
      <c r="N784" s="418" t="n">
        <f aca="false">DEGREES(Beta)</f>
        <v>-81.7906732595222</v>
      </c>
      <c r="O784" s="402"/>
      <c r="P784" s="421" t="n">
        <f aca="false">MATCH(t-pas/2-T_ini,CdP_t)</f>
        <v>23</v>
      </c>
      <c r="Q784" s="418" t="n">
        <f aca="false">(INDEX(CdP,2,i_P+1)-INDEX(CdP,2,i_P+0))/(INDEX(CdP,1,i_P+1)-INDEX(CdP,1,i_P+0))*(t-pas/2-T_ini-INDEX(CdP,1,i_P+0))+INDEX(CdP,2,i_P+0)</f>
        <v>0</v>
      </c>
      <c r="R784" s="419" t="n">
        <f aca="false">Poussee/(g*ISP)</f>
        <v>0</v>
      </c>
      <c r="S784" s="420" t="n">
        <f aca="false">S783-Débit*pas</f>
        <v>1.4843</v>
      </c>
      <c r="T784" s="418" t="n">
        <f aca="false">m*g</f>
        <v>14.560983</v>
      </c>
      <c r="U784" s="422" t="n">
        <f aca="false">IF(pos_xz&lt;L_rampe,Poids*COS(Beta),0)</f>
        <v>0</v>
      </c>
      <c r="V784" s="419" t="n">
        <f aca="false">Rho_moyen*(20000-Alt_rampe-pos_z)/(20000+Alt_rampe+pos_z)</f>
        <v>1.22592177649783</v>
      </c>
      <c r="W784" s="418" t="n">
        <f aca="false">1/2*Rho*Sref*Cx*vit_xz^2</f>
        <v>5.58353769189391</v>
      </c>
      <c r="X784" s="402"/>
      <c r="Y784" s="423" t="str">
        <f aca="false">IF(AND(pos_z&lt;=0,K783&gt;0),"Impact balistique","") &amp; IF(AND(H785&lt;0,vit_z&gt;=0),"Apogée","") &amp; IF(AND(Poussee=0,Q783&gt;0),"Fin de propulsion","") &amp; IF(AND(L785&gt;L_rampe,pos_xz&lt;=L_rampe),"Sortie de rampe","")</f>
        <v/>
      </c>
      <c r="Z784" s="424" t="str">
        <f aca="false">IF(ABS(t-T_para)&lt;pas/2,"Para","")</f>
        <v/>
      </c>
      <c r="AA784" s="425" t="str">
        <f aca="false">IF(ABS(t-T_satellite)&lt;pas/2,"Satellite","")</f>
        <v/>
      </c>
      <c r="AB784" s="413"/>
      <c r="AC784" s="421" t="e">
        <f aca="false">IF(ABS(t-ROUND(t,0))&lt;0.001,t,NA())</f>
        <v>#N/A</v>
      </c>
      <c r="AD784" s="426" t="e">
        <f aca="false">IF(ABS(t-ROUND(t,0))&lt;0.001,pos_x,NA())</f>
        <v>#N/A</v>
      </c>
      <c r="AE784" s="427" t="e">
        <f aca="false">IF(t&lt;T_para, pos_z, NA())</f>
        <v>#N/A</v>
      </c>
      <c r="AF784" s="413"/>
      <c r="AG784" s="419" t="n">
        <f aca="false">IF(AND(L783&lt;L_rampe,Poussee&lt;Poids*SIN(M783)),0,(-W783+Poussee)/m-Poids*SIN(M783)/m)</f>
        <v>5.94780788408915</v>
      </c>
      <c r="AH784" s="418" t="n">
        <f aca="false">IF(AND(L783&lt;L_rampe,Poussee&lt;Poids*SIN(M783)), g*SIN(M783), (-W783+Poussee)/m)</f>
        <v>-3.7616663193042</v>
      </c>
    </row>
    <row r="785" customFormat="false" ht="12" hidden="false" customHeight="false" outlineLevel="0" collapsed="false">
      <c r="A785" s="417" t="n">
        <f aca="false">IF(B784+0.01&lt;=T_ini+ROUNDUP(Temps_fin_propu,0), 0.01, IF(K784&gt;0, 0.1, 0.0001))</f>
        <v>0.0001</v>
      </c>
      <c r="B785" s="418" t="n">
        <f aca="false">B784+pas</f>
        <v>16.5435999999999</v>
      </c>
      <c r="C785" s="402"/>
      <c r="D785" s="419" t="n">
        <f aca="false">IF(AND(L784&lt;L_rampe,Poussee&lt;Poids*SIN(M784)),0,(-W784+Poussee)/m*COS(M784)-U784/m*SIN(M784))</f>
        <v>-0.537137792644039</v>
      </c>
      <c r="E785" s="420" t="n">
        <f aca="false">IF(AND(L784&lt;L_rampe,Poussee&lt;Poids*SIN(M784)),0,(-W784+Poussee)/m*SIN(M784)+U784/m*COS(M784)-Poids/m)</f>
        <v>-6.08681521055372</v>
      </c>
      <c r="F785" s="418" t="n">
        <f aca="false">SQRT(acc_x^2+acc_z^2)</f>
        <v>6.11046941042295</v>
      </c>
      <c r="G785" s="419" t="n">
        <f aca="false">G784+acc_x*pas</f>
        <v>10.2638346290892</v>
      </c>
      <c r="H785" s="420" t="n">
        <f aca="false">H784+acc_z*pas</f>
        <v>-71.1450216833215</v>
      </c>
      <c r="I785" s="418" t="n">
        <f aca="false">SQRT(vit_x^2+vit_z^2)</f>
        <v>71.8815721281441</v>
      </c>
      <c r="J785" s="419" t="n">
        <f aca="false">J784+0.5*(vit_x+G784)*pas*(K784&gt;=0)</f>
        <v>211.791153319536</v>
      </c>
      <c r="K785" s="420" t="n">
        <f aca="false">K784+0.5*(vit_z+H784)*pas</f>
        <v>-7.52899058113241</v>
      </c>
      <c r="L785" s="418" t="n">
        <f aca="false">SQRT(pos_x^2+pos_z^2)</f>
        <v>211.924935587085</v>
      </c>
      <c r="M785" s="419" t="n">
        <f aca="false">IF(AND(L784&gt;L_rampe,G785&gt;0),ATAN2(G785,H785),$M$4)</f>
        <v>-1.42751849452129</v>
      </c>
      <c r="N785" s="418" t="n">
        <f aca="false">DEGREES(Beta)</f>
        <v>-81.7907849129391</v>
      </c>
      <c r="O785" s="402"/>
      <c r="P785" s="421" t="n">
        <f aca="false">MATCH(t-pas/2-T_ini,CdP_t)</f>
        <v>23</v>
      </c>
      <c r="Q785" s="418" t="n">
        <f aca="false">(INDEX(CdP,2,i_P+1)-INDEX(CdP,2,i_P+0))/(INDEX(CdP,1,i_P+1)-INDEX(CdP,1,i_P+0))*(t-pas/2-T_ini-INDEX(CdP,1,i_P+0))+INDEX(CdP,2,i_P+0)</f>
        <v>0</v>
      </c>
      <c r="R785" s="419" t="n">
        <f aca="false">Poussee/(g*ISP)</f>
        <v>0</v>
      </c>
      <c r="S785" s="420" t="n">
        <f aca="false">S784-Débit*pas</f>
        <v>1.4843</v>
      </c>
      <c r="T785" s="418" t="n">
        <f aca="false">m*g</f>
        <v>14.560983</v>
      </c>
      <c r="U785" s="422" t="n">
        <f aca="false">IF(pos_xz&lt;L_rampe,Poids*COS(Beta),0)</f>
        <v>0</v>
      </c>
      <c r="V785" s="419" t="n">
        <f aca="false">Rho_moyen*(20000-Alt_rampe-pos_z)/(20000+Alt_rampe+pos_z)</f>
        <v>1.22592264867685</v>
      </c>
      <c r="W785" s="418" t="n">
        <f aca="false">1/2*Rho*Sref*Cx*vit_xz^2</f>
        <v>5.58363406601117</v>
      </c>
      <c r="X785" s="402"/>
      <c r="Y785" s="423" t="str">
        <f aca="false">IF(AND(pos_z&lt;=0,K784&gt;0),"Impact balistique","") &amp; IF(AND(H786&lt;0,vit_z&gt;=0),"Apogée","") &amp; IF(AND(Poussee=0,Q784&gt;0),"Fin de propulsion","") &amp; IF(AND(L786&gt;L_rampe,pos_xz&lt;=L_rampe),"Sortie de rampe","")</f>
        <v/>
      </c>
      <c r="Z785" s="424" t="str">
        <f aca="false">IF(ABS(t-T_para)&lt;pas/2,"Para","")</f>
        <v/>
      </c>
      <c r="AA785" s="425" t="str">
        <f aca="false">IF(ABS(t-T_satellite)&lt;pas/2,"Satellite","")</f>
        <v/>
      </c>
      <c r="AB785" s="413"/>
      <c r="AC785" s="421" t="e">
        <f aca="false">IF(ABS(t-ROUND(t,0))&lt;0.001,t,NA())</f>
        <v>#N/A</v>
      </c>
      <c r="AD785" s="426" t="e">
        <f aca="false">IF(ABS(t-ROUND(t,0))&lt;0.001,pos_x,NA())</f>
        <v>#N/A</v>
      </c>
      <c r="AE785" s="427" t="e">
        <f aca="false">IF(t&lt;T_para, pos_z, NA())</f>
        <v>#N/A</v>
      </c>
      <c r="AF785" s="413"/>
      <c r="AG785" s="419" t="n">
        <f aca="false">IF(AND(L784&lt;L_rampe,Poussee&lt;Poids*SIN(M784)),0,(-W784+Poussee)/m-Poids*SIN(M784)/m)</f>
        <v>5.94774568485171</v>
      </c>
      <c r="AH785" s="418" t="n">
        <f aca="false">IF(AND(L784&lt;L_rampe,Poussee&lt;Poids*SIN(M784)), g*SIN(M784), (-W784+Poussee)/m)</f>
        <v>-3.76173124832845</v>
      </c>
    </row>
    <row r="786" customFormat="false" ht="12" hidden="false" customHeight="false" outlineLevel="0" collapsed="false">
      <c r="A786" s="417" t="n">
        <f aca="false">IF(B785+0.01&lt;=T_ini+ROUNDUP(Temps_fin_propu,0), 0.01, IF(K785&gt;0, 0.1, 0.0001))</f>
        <v>0.0001</v>
      </c>
      <c r="B786" s="418" t="n">
        <f aca="false">B785+pas</f>
        <v>16.5436999999999</v>
      </c>
      <c r="C786" s="402"/>
      <c r="D786" s="419" t="n">
        <f aca="false">IF(AND(L785&lt;L_rampe,Poussee&lt;Poids*SIN(M785)),0,(-W785+Poussee)/m*COS(M785)-U785/m*SIN(M785))</f>
        <v>-0.537139808289468</v>
      </c>
      <c r="E786" s="420" t="n">
        <f aca="false">IF(AND(L785&lt;L_rampe,Poussee&lt;Poids*SIN(M785)),0,(-W785+Poussee)/m*SIN(M785)+U785/m*COS(M785)-Poids/m)</f>
        <v>-6.08674990013743</v>
      </c>
      <c r="F786" s="418" t="n">
        <f aca="false">SQRT(acc_x^2+acc_z^2)</f>
        <v>6.11040453001863</v>
      </c>
      <c r="G786" s="419" t="n">
        <f aca="false">G785+acc_x*pas</f>
        <v>10.2637809151084</v>
      </c>
      <c r="H786" s="420" t="n">
        <f aca="false">H785+acc_z*pas</f>
        <v>-71.1456303583116</v>
      </c>
      <c r="I786" s="418" t="n">
        <f aca="false">SQRT(vit_x^2+vit_z^2)</f>
        <v>71.8821668966291</v>
      </c>
      <c r="J786" s="419" t="n">
        <f aca="false">J785+0.5*(vit_x+G785)*pas*(K785&gt;=0)</f>
        <v>211.791153319536</v>
      </c>
      <c r="K786" s="420" t="n">
        <f aca="false">K785+0.5*(vit_z+H785)*pas</f>
        <v>-7.53610511373449</v>
      </c>
      <c r="L786" s="418" t="n">
        <f aca="false">SQRT(pos_x^2+pos_z^2)</f>
        <v>211.925188462119</v>
      </c>
      <c r="M786" s="419" t="n">
        <f aca="false">IF(AND(L785&gt;L_rampe,G786&gt;0),ATAN2(G786,H786),$M$4)</f>
        <v>-1.42752044319859</v>
      </c>
      <c r="N786" s="418" t="n">
        <f aca="false">DEGREES(Beta)</f>
        <v>-81.7908965639239</v>
      </c>
      <c r="O786" s="402"/>
      <c r="P786" s="421" t="n">
        <f aca="false">MATCH(t-pas/2-T_ini,CdP_t)</f>
        <v>23</v>
      </c>
      <c r="Q786" s="418" t="n">
        <f aca="false">(INDEX(CdP,2,i_P+1)-INDEX(CdP,2,i_P+0))/(INDEX(CdP,1,i_P+1)-INDEX(CdP,1,i_P+0))*(t-pas/2-T_ini-INDEX(CdP,1,i_P+0))+INDEX(CdP,2,i_P+0)</f>
        <v>0</v>
      </c>
      <c r="R786" s="419" t="n">
        <f aca="false">Poussee/(g*ISP)</f>
        <v>0</v>
      </c>
      <c r="S786" s="420" t="n">
        <f aca="false">S785-Débit*pas</f>
        <v>1.4843</v>
      </c>
      <c r="T786" s="418" t="n">
        <f aca="false">m*g</f>
        <v>14.560983</v>
      </c>
      <c r="U786" s="422" t="n">
        <f aca="false">IF(pos_xz&lt;L_rampe,Poids*COS(Beta),0)</f>
        <v>0</v>
      </c>
      <c r="V786" s="419" t="n">
        <f aca="false">Rho_moyen*(20000-Alt_rampe-pos_z)/(20000+Alt_rampe+pos_z)</f>
        <v>1.22592352086395</v>
      </c>
      <c r="W786" s="418" t="n">
        <f aca="false">1/2*Rho*Sref*Cx*vit_xz^2</f>
        <v>5.58373044009497</v>
      </c>
      <c r="X786" s="402"/>
      <c r="Y786" s="423" t="str">
        <f aca="false">IF(AND(pos_z&lt;=0,K785&gt;0),"Impact balistique","") &amp; IF(AND(H787&lt;0,vit_z&gt;=0),"Apogée","") &amp; IF(AND(Poussee=0,Q785&gt;0),"Fin de propulsion","") &amp; IF(AND(L787&gt;L_rampe,pos_xz&lt;=L_rampe),"Sortie de rampe","")</f>
        <v/>
      </c>
      <c r="Z786" s="424" t="str">
        <f aca="false">IF(ABS(t-T_para)&lt;pas/2,"Para","")</f>
        <v/>
      </c>
      <c r="AA786" s="425" t="str">
        <f aca="false">IF(ABS(t-T_satellite)&lt;pas/2,"Satellite","")</f>
        <v/>
      </c>
      <c r="AB786" s="413"/>
      <c r="AC786" s="421" t="e">
        <f aca="false">IF(ABS(t-ROUND(t,0))&lt;0.001,t,NA())</f>
        <v>#N/A</v>
      </c>
      <c r="AD786" s="426" t="e">
        <f aca="false">IF(ABS(t-ROUND(t,0))&lt;0.001,pos_x,NA())</f>
        <v>#N/A</v>
      </c>
      <c r="AE786" s="427" t="e">
        <f aca="false">IF(t&lt;T_para, pos_z, NA())</f>
        <v>#N/A</v>
      </c>
      <c r="AF786" s="413"/>
      <c r="AG786" s="419" t="n">
        <f aca="false">IF(AND(L785&lt;L_rampe,Poussee&lt;Poids*SIN(M785)),0,(-W785+Poussee)/m-Poids*SIN(M785)/m)</f>
        <v>5.94768348554047</v>
      </c>
      <c r="AH786" s="418" t="n">
        <f aca="false">IF(AND(L785&lt;L_rampe,Poussee&lt;Poids*SIN(M785)), g*SIN(M785), (-W785+Poussee)/m)</f>
        <v>-3.76179617733017</v>
      </c>
    </row>
    <row r="787" customFormat="false" ht="12" hidden="false" customHeight="false" outlineLevel="0" collapsed="false">
      <c r="A787" s="417" t="n">
        <f aca="false">IF(B786+0.01&lt;=T_ini+ROUNDUP(Temps_fin_propu,0), 0.01, IF(K786&gt;0, 0.1, 0.0001))</f>
        <v>0.0001</v>
      </c>
      <c r="B787" s="418" t="n">
        <f aca="false">B786+pas</f>
        <v>16.5437999999999</v>
      </c>
      <c r="C787" s="402"/>
      <c r="D787" s="419" t="n">
        <f aca="false">IF(AND(L786&lt;L_rampe,Poussee&lt;Poids*SIN(M786)),0,(-W786+Poussee)/m*COS(M786)-U786/m*SIN(M786))</f>
        <v>-0.537141823837216</v>
      </c>
      <c r="E787" s="420" t="n">
        <f aca="false">IF(AND(L786&lt;L_rampe,Poussee&lt;Poids*SIN(M786)),0,(-W786+Poussee)/m*SIN(M786)+U786/m*COS(M786)-Poids/m)</f>
        <v>-6.08668458974426</v>
      </c>
      <c r="F787" s="418" t="n">
        <f aca="false">SQRT(acc_x^2+acc_z^2)</f>
        <v>6.11033964963859</v>
      </c>
      <c r="G787" s="419" t="n">
        <f aca="false">G786+acc_x*pas</f>
        <v>10.263727200926</v>
      </c>
      <c r="H787" s="420" t="n">
        <f aca="false">H786+acc_z*pas</f>
        <v>-71.1462390267705</v>
      </c>
      <c r="I787" s="418" t="n">
        <f aca="false">SQRT(vit_x^2+vit_z^2)</f>
        <v>71.8827616588942</v>
      </c>
      <c r="J787" s="419" t="n">
        <f aca="false">J786+0.5*(vit_x+G786)*pas*(K786&gt;=0)</f>
        <v>211.791153319536</v>
      </c>
      <c r="K787" s="420" t="n">
        <f aca="false">K786+0.5*(vit_z+H786)*pas</f>
        <v>-7.54321970720375</v>
      </c>
      <c r="L787" s="418" t="n">
        <f aca="false">SQRT(pos_x^2+pos_z^2)</f>
        <v>211.925441577859</v>
      </c>
      <c r="M787" s="419" t="n">
        <f aca="false">IF(AND(L786&gt;L_rampe,G787&gt;0),ATAN2(G787,H787),$M$4)</f>
        <v>-1.42752239183344</v>
      </c>
      <c r="N787" s="418" t="n">
        <f aca="false">DEGREES(Beta)</f>
        <v>-81.7910082124769</v>
      </c>
      <c r="O787" s="402"/>
      <c r="P787" s="421" t="n">
        <f aca="false">MATCH(t-pas/2-T_ini,CdP_t)</f>
        <v>23</v>
      </c>
      <c r="Q787" s="418" t="n">
        <f aca="false">(INDEX(CdP,2,i_P+1)-INDEX(CdP,2,i_P+0))/(INDEX(CdP,1,i_P+1)-INDEX(CdP,1,i_P+0))*(t-pas/2-T_ini-INDEX(CdP,1,i_P+0))+INDEX(CdP,2,i_P+0)</f>
        <v>0</v>
      </c>
      <c r="R787" s="419" t="n">
        <f aca="false">Poussee/(g*ISP)</f>
        <v>0</v>
      </c>
      <c r="S787" s="420" t="n">
        <f aca="false">S786-Débit*pas</f>
        <v>1.4843</v>
      </c>
      <c r="T787" s="418" t="n">
        <f aca="false">m*g</f>
        <v>14.560983</v>
      </c>
      <c r="U787" s="422" t="n">
        <f aca="false">IF(pos_xz&lt;L_rampe,Poids*COS(Beta),0)</f>
        <v>0</v>
      </c>
      <c r="V787" s="419" t="n">
        <f aca="false">Rho_moyen*(20000-Alt_rampe-pos_z)/(20000+Alt_rampe+pos_z)</f>
        <v>1.22592439305913</v>
      </c>
      <c r="W787" s="418" t="n">
        <f aca="false">1/2*Rho*Sref*Cx*vit_xz^2</f>
        <v>5.5838268141453</v>
      </c>
      <c r="X787" s="402"/>
      <c r="Y787" s="423" t="str">
        <f aca="false">IF(AND(pos_z&lt;=0,K786&gt;0),"Impact balistique","") &amp; IF(AND(H788&lt;0,vit_z&gt;=0),"Apogée","") &amp; IF(AND(Poussee=0,Q786&gt;0),"Fin de propulsion","") &amp; IF(AND(L788&gt;L_rampe,pos_xz&lt;=L_rampe),"Sortie de rampe","")</f>
        <v/>
      </c>
      <c r="Z787" s="424" t="str">
        <f aca="false">IF(ABS(t-T_para)&lt;pas/2,"Para","")</f>
        <v/>
      </c>
      <c r="AA787" s="425" t="str">
        <f aca="false">IF(ABS(t-T_satellite)&lt;pas/2,"Satellite","")</f>
        <v/>
      </c>
      <c r="AB787" s="413"/>
      <c r="AC787" s="421" t="e">
        <f aca="false">IF(ABS(t-ROUND(t,0))&lt;0.001,t,NA())</f>
        <v>#N/A</v>
      </c>
      <c r="AD787" s="426" t="e">
        <f aca="false">IF(ABS(t-ROUND(t,0))&lt;0.001,pos_x,NA())</f>
        <v>#N/A</v>
      </c>
      <c r="AE787" s="427" t="e">
        <f aca="false">IF(t&lt;T_para, pos_z, NA())</f>
        <v>#N/A</v>
      </c>
      <c r="AF787" s="413"/>
      <c r="AG787" s="419" t="n">
        <f aca="false">IF(AND(L786&lt;L_rampe,Poussee&lt;Poids*SIN(M786)),0,(-W786+Poussee)/m-Poids*SIN(M786)/m)</f>
        <v>5.94762128615544</v>
      </c>
      <c r="AH787" s="418" t="n">
        <f aca="false">IF(AND(L786&lt;L_rampe,Poussee&lt;Poids*SIN(M786)), g*SIN(M786), (-W786+Poussee)/m)</f>
        <v>-3.76186110630936</v>
      </c>
    </row>
    <row r="788" customFormat="false" ht="12" hidden="false" customHeight="false" outlineLevel="0" collapsed="false">
      <c r="A788" s="417" t="n">
        <f aca="false">IF(B787+0.01&lt;=T_ini+ROUNDUP(Temps_fin_propu,0), 0.01, IF(K787&gt;0, 0.1, 0.0001))</f>
        <v>0.0001</v>
      </c>
      <c r="B788" s="418" t="n">
        <f aca="false">B787+pas</f>
        <v>16.5438999999999</v>
      </c>
      <c r="C788" s="402"/>
      <c r="D788" s="419" t="n">
        <f aca="false">IF(AND(L787&lt;L_rampe,Poussee&lt;Poids*SIN(M787)),0,(-W787+Poussee)/m*COS(M787)-U787/m*SIN(M787))</f>
        <v>-0.537143839287285</v>
      </c>
      <c r="E788" s="420" t="n">
        <f aca="false">IF(AND(L787&lt;L_rampe,Poussee&lt;Poids*SIN(M787)),0,(-W787+Poussee)/m*SIN(M787)+U787/m*COS(M787)-Poids/m)</f>
        <v>-6.08661927937421</v>
      </c>
      <c r="F788" s="418" t="n">
        <f aca="false">SQRT(acc_x^2+acc_z^2)</f>
        <v>6.11027476928281</v>
      </c>
      <c r="G788" s="419" t="n">
        <f aca="false">G787+acc_x*pas</f>
        <v>10.2636734865421</v>
      </c>
      <c r="H788" s="420" t="n">
        <f aca="false">H787+acc_z*pas</f>
        <v>-71.1468476886985</v>
      </c>
      <c r="I788" s="418" t="n">
        <f aca="false">SQRT(vit_x^2+vit_z^2)</f>
        <v>71.8833564149394</v>
      </c>
      <c r="J788" s="419" t="n">
        <f aca="false">J787+0.5*(vit_x+G787)*pas*(K787&gt;=0)</f>
        <v>211.791153319536</v>
      </c>
      <c r="K788" s="420" t="n">
        <f aca="false">K787+0.5*(vit_z+H787)*pas</f>
        <v>-7.55033436153952</v>
      </c>
      <c r="L788" s="418" t="n">
        <f aca="false">SQRT(pos_x^2+pos_z^2)</f>
        <v>211.92569493431</v>
      </c>
      <c r="M788" s="419" t="n">
        <f aca="false">IF(AND(L787&gt;L_rampe,G788&gt;0),ATAN2(G788,H788),$M$4)</f>
        <v>-1.42752434042585</v>
      </c>
      <c r="N788" s="418" t="n">
        <f aca="false">DEGREES(Beta)</f>
        <v>-81.791119858598</v>
      </c>
      <c r="O788" s="402"/>
      <c r="P788" s="421" t="n">
        <f aca="false">MATCH(t-pas/2-T_ini,CdP_t)</f>
        <v>23</v>
      </c>
      <c r="Q788" s="418" t="n">
        <f aca="false">(INDEX(CdP,2,i_P+1)-INDEX(CdP,2,i_P+0))/(INDEX(CdP,1,i_P+1)-INDEX(CdP,1,i_P+0))*(t-pas/2-T_ini-INDEX(CdP,1,i_P+0))+INDEX(CdP,2,i_P+0)</f>
        <v>0</v>
      </c>
      <c r="R788" s="419" t="n">
        <f aca="false">Poussee/(g*ISP)</f>
        <v>0</v>
      </c>
      <c r="S788" s="420" t="n">
        <f aca="false">S787-Débit*pas</f>
        <v>1.4843</v>
      </c>
      <c r="T788" s="418" t="n">
        <f aca="false">m*g</f>
        <v>14.560983</v>
      </c>
      <c r="U788" s="422" t="n">
        <f aca="false">IF(pos_xz&lt;L_rampe,Poids*COS(Beta),0)</f>
        <v>0</v>
      </c>
      <c r="V788" s="419" t="n">
        <f aca="false">Rho_moyen*(20000-Alt_rampe-pos_z)/(20000+Alt_rampe+pos_z)</f>
        <v>1.22592526526239</v>
      </c>
      <c r="W788" s="418" t="n">
        <f aca="false">1/2*Rho*Sref*Cx*vit_xz^2</f>
        <v>5.58392318816213</v>
      </c>
      <c r="X788" s="402"/>
      <c r="Y788" s="423" t="str">
        <f aca="false">IF(AND(pos_z&lt;=0,K787&gt;0),"Impact balistique","") &amp; IF(AND(H789&lt;0,vit_z&gt;=0),"Apogée","") &amp; IF(AND(Poussee=0,Q787&gt;0),"Fin de propulsion","") &amp; IF(AND(L789&gt;L_rampe,pos_xz&lt;=L_rampe),"Sortie de rampe","")</f>
        <v/>
      </c>
      <c r="Z788" s="424" t="str">
        <f aca="false">IF(ABS(t-T_para)&lt;pas/2,"Para","")</f>
        <v/>
      </c>
      <c r="AA788" s="425" t="str">
        <f aca="false">IF(ABS(t-T_satellite)&lt;pas/2,"Satellite","")</f>
        <v/>
      </c>
      <c r="AB788" s="413"/>
      <c r="AC788" s="421" t="e">
        <f aca="false">IF(ABS(t-ROUND(t,0))&lt;0.001,t,NA())</f>
        <v>#N/A</v>
      </c>
      <c r="AD788" s="426" t="e">
        <f aca="false">IF(ABS(t-ROUND(t,0))&lt;0.001,pos_x,NA())</f>
        <v>#N/A</v>
      </c>
      <c r="AE788" s="427" t="e">
        <f aca="false">IF(t&lt;T_para, pos_z, NA())</f>
        <v>#N/A</v>
      </c>
      <c r="AF788" s="413"/>
      <c r="AG788" s="419" t="n">
        <f aca="false">IF(AND(L787&lt;L_rampe,Poussee&lt;Poids*SIN(M787)),0,(-W787+Poussee)/m-Poids*SIN(M787)/m)</f>
        <v>5.94755908669663</v>
      </c>
      <c r="AH788" s="418" t="n">
        <f aca="false">IF(AND(L787&lt;L_rampe,Poussee&lt;Poids*SIN(M787)), g*SIN(M787), (-W787+Poussee)/m)</f>
        <v>-3.76192603526599</v>
      </c>
    </row>
    <row r="789" customFormat="false" ht="12" hidden="false" customHeight="false" outlineLevel="0" collapsed="false">
      <c r="A789" s="417" t="n">
        <f aca="false">IF(B788+0.01&lt;=T_ini+ROUNDUP(Temps_fin_propu,0), 0.01, IF(K788&gt;0, 0.1, 0.0001))</f>
        <v>0.0001</v>
      </c>
      <c r="B789" s="418" t="n">
        <f aca="false">B788+pas</f>
        <v>16.5439999999999</v>
      </c>
      <c r="C789" s="402"/>
      <c r="D789" s="419" t="n">
        <f aca="false">IF(AND(L788&lt;L_rampe,Poussee&lt;Poids*SIN(M788)),0,(-W788+Poussee)/m*COS(M788)-U788/m*SIN(M788))</f>
        <v>-0.537145854639675</v>
      </c>
      <c r="E789" s="420" t="n">
        <f aca="false">IF(AND(L788&lt;L_rampe,Poussee&lt;Poids*SIN(M788)),0,(-W788+Poussee)/m*SIN(M788)+U788/m*COS(M788)-Poids/m)</f>
        <v>-6.08655396902731</v>
      </c>
      <c r="F789" s="418" t="n">
        <f aca="false">SQRT(acc_x^2+acc_z^2)</f>
        <v>6.11020988895134</v>
      </c>
      <c r="G789" s="419" t="n">
        <f aca="false">G788+acc_x*pas</f>
        <v>10.2636197719566</v>
      </c>
      <c r="H789" s="420" t="n">
        <f aca="false">H788+acc_z*pas</f>
        <v>-71.1474563440954</v>
      </c>
      <c r="I789" s="418" t="n">
        <f aca="false">SQRT(vit_x^2+vit_z^2)</f>
        <v>71.8839511647646</v>
      </c>
      <c r="J789" s="419" t="n">
        <f aca="false">J788+0.5*(vit_x+G788)*pas*(K788&gt;=0)</f>
        <v>211.791153319536</v>
      </c>
      <c r="K789" s="420" t="n">
        <f aca="false">K788+0.5*(vit_z+H788)*pas</f>
        <v>-7.55744907674116</v>
      </c>
      <c r="L789" s="418" t="n">
        <f aca="false">SQRT(pos_x^2+pos_z^2)</f>
        <v>211.925948531478</v>
      </c>
      <c r="M789" s="419" t="n">
        <f aca="false">IF(AND(L788&gt;L_rampe,G789&gt;0),ATAN2(G789,H789),$M$4)</f>
        <v>-1.42752628897582</v>
      </c>
      <c r="N789" s="418" t="n">
        <f aca="false">DEGREES(Beta)</f>
        <v>-81.7912315022874</v>
      </c>
      <c r="O789" s="402"/>
      <c r="P789" s="421" t="n">
        <f aca="false">MATCH(t-pas/2-T_ini,CdP_t)</f>
        <v>23</v>
      </c>
      <c r="Q789" s="418" t="n">
        <f aca="false">(INDEX(CdP,2,i_P+1)-INDEX(CdP,2,i_P+0))/(INDEX(CdP,1,i_P+1)-INDEX(CdP,1,i_P+0))*(t-pas/2-T_ini-INDEX(CdP,1,i_P+0))+INDEX(CdP,2,i_P+0)</f>
        <v>0</v>
      </c>
      <c r="R789" s="419" t="n">
        <f aca="false">Poussee/(g*ISP)</f>
        <v>0</v>
      </c>
      <c r="S789" s="420" t="n">
        <f aca="false">S788-Débit*pas</f>
        <v>1.4843</v>
      </c>
      <c r="T789" s="418" t="n">
        <f aca="false">m*g</f>
        <v>14.560983</v>
      </c>
      <c r="U789" s="422" t="n">
        <f aca="false">IF(pos_xz&lt;L_rampe,Poids*COS(Beta),0)</f>
        <v>0</v>
      </c>
      <c r="V789" s="419" t="n">
        <f aca="false">Rho_moyen*(20000-Alt_rampe-pos_z)/(20000+Alt_rampe+pos_z)</f>
        <v>1.22592613747374</v>
      </c>
      <c r="W789" s="418" t="n">
        <f aca="false">1/2*Rho*Sref*Cx*vit_xz^2</f>
        <v>5.58401956214543</v>
      </c>
      <c r="X789" s="402"/>
      <c r="Y789" s="423" t="str">
        <f aca="false">IF(AND(pos_z&lt;=0,K788&gt;0),"Impact balistique","") &amp; IF(AND(H790&lt;0,vit_z&gt;=0),"Apogée","") &amp; IF(AND(Poussee=0,Q788&gt;0),"Fin de propulsion","") &amp; IF(AND(L790&gt;L_rampe,pos_xz&lt;=L_rampe),"Sortie de rampe","")</f>
        <v/>
      </c>
      <c r="Z789" s="424" t="str">
        <f aca="false">IF(ABS(t-T_para)&lt;pas/2,"Para","")</f>
        <v/>
      </c>
      <c r="AA789" s="425" t="str">
        <f aca="false">IF(ABS(t-T_satellite)&lt;pas/2,"Satellite","")</f>
        <v/>
      </c>
      <c r="AB789" s="413"/>
      <c r="AC789" s="421" t="e">
        <f aca="false">IF(ABS(t-ROUND(t,0))&lt;0.001,t,NA())</f>
        <v>#N/A</v>
      </c>
      <c r="AD789" s="426" t="e">
        <f aca="false">IF(ABS(t-ROUND(t,0))&lt;0.001,pos_x,NA())</f>
        <v>#N/A</v>
      </c>
      <c r="AE789" s="427" t="e">
        <f aca="false">IF(t&lt;T_para, pos_z, NA())</f>
        <v>#N/A</v>
      </c>
      <c r="AF789" s="413"/>
      <c r="AG789" s="419" t="n">
        <f aca="false">IF(AND(L788&lt;L_rampe,Poussee&lt;Poids*SIN(M788)),0,(-W788+Poussee)/m-Poids*SIN(M788)/m)</f>
        <v>5.94749688716408</v>
      </c>
      <c r="AH789" s="418" t="n">
        <f aca="false">IF(AND(L788&lt;L_rampe,Poussee&lt;Poids*SIN(M788)), g*SIN(M788), (-W788+Poussee)/m)</f>
        <v>-3.76199096420005</v>
      </c>
    </row>
    <row r="790" customFormat="false" ht="12" hidden="false" customHeight="false" outlineLevel="0" collapsed="false">
      <c r="A790" s="417" t="n">
        <f aca="false">IF(B789+0.01&lt;=T_ini+ROUNDUP(Temps_fin_propu,0), 0.01, IF(K789&gt;0, 0.1, 0.0001))</f>
        <v>0.0001</v>
      </c>
      <c r="B790" s="418" t="n">
        <f aca="false">B789+pas</f>
        <v>16.5440999999999</v>
      </c>
      <c r="C790" s="402"/>
      <c r="D790" s="419" t="n">
        <f aca="false">IF(AND(L789&lt;L_rampe,Poussee&lt;Poids*SIN(M789)),0,(-W789+Poussee)/m*COS(M789)-U789/m*SIN(M789))</f>
        <v>-0.537147869894386</v>
      </c>
      <c r="E790" s="420" t="n">
        <f aca="false">IF(AND(L789&lt;L_rampe,Poussee&lt;Poids*SIN(M789)),0,(-W789+Poussee)/m*SIN(M789)+U789/m*COS(M789)-Poids/m)</f>
        <v>-6.08648865870358</v>
      </c>
      <c r="F790" s="418" t="n">
        <f aca="false">SQRT(acc_x^2+acc_z^2)</f>
        <v>6.11014500864418</v>
      </c>
      <c r="G790" s="419" t="n">
        <f aca="false">G789+acc_x*pas</f>
        <v>10.2635660571696</v>
      </c>
      <c r="H790" s="420" t="n">
        <f aca="false">H789+acc_z*pas</f>
        <v>-71.1480649929613</v>
      </c>
      <c r="I790" s="418" t="n">
        <f aca="false">SQRT(vit_x^2+vit_z^2)</f>
        <v>71.8845459083698</v>
      </c>
      <c r="J790" s="419" t="n">
        <f aca="false">J789+0.5*(vit_x+G789)*pas*(K789&gt;=0)</f>
        <v>211.791153319536</v>
      </c>
      <c r="K790" s="420" t="n">
        <f aca="false">K789+0.5*(vit_z+H789)*pas</f>
        <v>-7.56456385280801</v>
      </c>
      <c r="L790" s="418" t="n">
        <f aca="false">SQRT(pos_x^2+pos_z^2)</f>
        <v>211.926202369368</v>
      </c>
      <c r="M790" s="419" t="n">
        <f aca="false">IF(AND(L789&gt;L_rampe,G790&gt;0),ATAN2(G790,H790),$M$4)</f>
        <v>-1.42752823748335</v>
      </c>
      <c r="N790" s="418" t="n">
        <f aca="false">DEGREES(Beta)</f>
        <v>-81.7913431435451</v>
      </c>
      <c r="O790" s="402"/>
      <c r="P790" s="421" t="n">
        <f aca="false">MATCH(t-pas/2-T_ini,CdP_t)</f>
        <v>23</v>
      </c>
      <c r="Q790" s="418" t="n">
        <f aca="false">(INDEX(CdP,2,i_P+1)-INDEX(CdP,2,i_P+0))/(INDEX(CdP,1,i_P+1)-INDEX(CdP,1,i_P+0))*(t-pas/2-T_ini-INDEX(CdP,1,i_P+0))+INDEX(CdP,2,i_P+0)</f>
        <v>0</v>
      </c>
      <c r="R790" s="419" t="n">
        <f aca="false">Poussee/(g*ISP)</f>
        <v>0</v>
      </c>
      <c r="S790" s="420" t="n">
        <f aca="false">S789-Débit*pas</f>
        <v>1.4843</v>
      </c>
      <c r="T790" s="418" t="n">
        <f aca="false">m*g</f>
        <v>14.560983</v>
      </c>
      <c r="U790" s="422" t="n">
        <f aca="false">IF(pos_xz&lt;L_rampe,Poids*COS(Beta),0)</f>
        <v>0</v>
      </c>
      <c r="V790" s="419" t="n">
        <f aca="false">Rho_moyen*(20000-Alt_rampe-pos_z)/(20000+Alt_rampe+pos_z)</f>
        <v>1.22592700969317</v>
      </c>
      <c r="W790" s="418" t="n">
        <f aca="false">1/2*Rho*Sref*Cx*vit_xz^2</f>
        <v>5.58411593609518</v>
      </c>
      <c r="X790" s="402"/>
      <c r="Y790" s="423" t="str">
        <f aca="false">IF(AND(pos_z&lt;=0,K789&gt;0),"Impact balistique","") &amp; IF(AND(H791&lt;0,vit_z&gt;=0),"Apogée","") &amp; IF(AND(Poussee=0,Q789&gt;0),"Fin de propulsion","") &amp; IF(AND(L791&gt;L_rampe,pos_xz&lt;=L_rampe),"Sortie de rampe","")</f>
        <v/>
      </c>
      <c r="Z790" s="424" t="str">
        <f aca="false">IF(ABS(t-T_para)&lt;pas/2,"Para","")</f>
        <v/>
      </c>
      <c r="AA790" s="425" t="str">
        <f aca="false">IF(ABS(t-T_satellite)&lt;pas/2,"Satellite","")</f>
        <v/>
      </c>
      <c r="AB790" s="413"/>
      <c r="AC790" s="421" t="e">
        <f aca="false">IF(ABS(t-ROUND(t,0))&lt;0.001,t,NA())</f>
        <v>#N/A</v>
      </c>
      <c r="AD790" s="426" t="e">
        <f aca="false">IF(ABS(t-ROUND(t,0))&lt;0.001,pos_x,NA())</f>
        <v>#N/A</v>
      </c>
      <c r="AE790" s="427" t="e">
        <f aca="false">IF(t&lt;T_para, pos_z, NA())</f>
        <v>#N/A</v>
      </c>
      <c r="AF790" s="413"/>
      <c r="AG790" s="419" t="n">
        <f aca="false">IF(AND(L789&lt;L_rampe,Poussee&lt;Poids*SIN(M789)),0,(-W789+Poussee)/m-Poids*SIN(M789)/m)</f>
        <v>5.9474346875578</v>
      </c>
      <c r="AH790" s="418" t="n">
        <f aca="false">IF(AND(L789&lt;L_rampe,Poussee&lt;Poids*SIN(M789)), g*SIN(M789), (-W789+Poussee)/m)</f>
        <v>-3.76205589311153</v>
      </c>
    </row>
    <row r="791" customFormat="false" ht="12" hidden="false" customHeight="false" outlineLevel="0" collapsed="false">
      <c r="A791" s="417" t="n">
        <f aca="false">IF(B790+0.01&lt;=T_ini+ROUNDUP(Temps_fin_propu,0), 0.01, IF(K790&gt;0, 0.1, 0.0001))</f>
        <v>0.0001</v>
      </c>
      <c r="B791" s="418" t="n">
        <f aca="false">B790+pas</f>
        <v>16.5441999999999</v>
      </c>
      <c r="C791" s="402"/>
      <c r="D791" s="419" t="n">
        <f aca="false">IF(AND(L790&lt;L_rampe,Poussee&lt;Poids*SIN(M790)),0,(-W790+Poussee)/m*COS(M790)-U790/m*SIN(M790))</f>
        <v>-0.537149885051421</v>
      </c>
      <c r="E791" s="420" t="n">
        <f aca="false">IF(AND(L790&lt;L_rampe,Poussee&lt;Poids*SIN(M790)),0,(-W790+Poussee)/m*SIN(M790)+U790/m*COS(M790)-Poids/m)</f>
        <v>-6.08642334840302</v>
      </c>
      <c r="F791" s="418" t="n">
        <f aca="false">SQRT(acc_x^2+acc_z^2)</f>
        <v>6.11008012836134</v>
      </c>
      <c r="G791" s="419" t="n">
        <f aca="false">G790+acc_x*pas</f>
        <v>10.2635123421811</v>
      </c>
      <c r="H791" s="420" t="n">
        <f aca="false">H790+acc_z*pas</f>
        <v>-71.1486736352961</v>
      </c>
      <c r="I791" s="418" t="n">
        <f aca="false">SQRT(vit_x^2+vit_z^2)</f>
        <v>71.885140645755</v>
      </c>
      <c r="J791" s="419" t="n">
        <f aca="false">J790+0.5*(vit_x+G790)*pas*(K790&gt;=0)</f>
        <v>211.791153319536</v>
      </c>
      <c r="K791" s="420" t="n">
        <f aca="false">K790+0.5*(vit_z+H790)*pas</f>
        <v>-7.57167868973943</v>
      </c>
      <c r="L791" s="418" t="n">
        <f aca="false">SQRT(pos_x^2+pos_z^2)</f>
        <v>211.926456447986</v>
      </c>
      <c r="M791" s="419" t="n">
        <f aca="false">IF(AND(L790&gt;L_rampe,G791&gt;0),ATAN2(G791,H791),$M$4)</f>
        <v>-1.42753018594844</v>
      </c>
      <c r="N791" s="418" t="n">
        <f aca="false">DEGREES(Beta)</f>
        <v>-81.7914547823712</v>
      </c>
      <c r="O791" s="402"/>
      <c r="P791" s="421" t="n">
        <f aca="false">MATCH(t-pas/2-T_ini,CdP_t)</f>
        <v>23</v>
      </c>
      <c r="Q791" s="418" t="n">
        <f aca="false">(INDEX(CdP,2,i_P+1)-INDEX(CdP,2,i_P+0))/(INDEX(CdP,1,i_P+1)-INDEX(CdP,1,i_P+0))*(t-pas/2-T_ini-INDEX(CdP,1,i_P+0))+INDEX(CdP,2,i_P+0)</f>
        <v>0</v>
      </c>
      <c r="R791" s="419" t="n">
        <f aca="false">Poussee/(g*ISP)</f>
        <v>0</v>
      </c>
      <c r="S791" s="420" t="n">
        <f aca="false">S790-Débit*pas</f>
        <v>1.4843</v>
      </c>
      <c r="T791" s="418" t="n">
        <f aca="false">m*g</f>
        <v>14.560983</v>
      </c>
      <c r="U791" s="422" t="n">
        <f aca="false">IF(pos_xz&lt;L_rampe,Poids*COS(Beta),0)</f>
        <v>0</v>
      </c>
      <c r="V791" s="419" t="n">
        <f aca="false">Rho_moyen*(20000-Alt_rampe-pos_z)/(20000+Alt_rampe+pos_z)</f>
        <v>1.22592788192068</v>
      </c>
      <c r="W791" s="418" t="n">
        <f aca="false">1/2*Rho*Sref*Cx*vit_xz^2</f>
        <v>5.58421231001136</v>
      </c>
      <c r="X791" s="402"/>
      <c r="Y791" s="423" t="str">
        <f aca="false">IF(AND(pos_z&lt;=0,K790&gt;0),"Impact balistique","") &amp; IF(AND(H792&lt;0,vit_z&gt;=0),"Apogée","") &amp; IF(AND(Poussee=0,Q790&gt;0),"Fin de propulsion","") &amp; IF(AND(L792&gt;L_rampe,pos_xz&lt;=L_rampe),"Sortie de rampe","")</f>
        <v/>
      </c>
      <c r="Z791" s="424" t="str">
        <f aca="false">IF(ABS(t-T_para)&lt;pas/2,"Para","")</f>
        <v/>
      </c>
      <c r="AA791" s="425" t="str">
        <f aca="false">IF(ABS(t-T_satellite)&lt;pas/2,"Satellite","")</f>
        <v/>
      </c>
      <c r="AB791" s="413"/>
      <c r="AC791" s="421" t="e">
        <f aca="false">IF(ABS(t-ROUND(t,0))&lt;0.001,t,NA())</f>
        <v>#N/A</v>
      </c>
      <c r="AD791" s="426" t="e">
        <f aca="false">IF(ABS(t-ROUND(t,0))&lt;0.001,pos_x,NA())</f>
        <v>#N/A</v>
      </c>
      <c r="AE791" s="427" t="e">
        <f aca="false">IF(t&lt;T_para, pos_z, NA())</f>
        <v>#N/A</v>
      </c>
      <c r="AF791" s="413"/>
      <c r="AG791" s="419" t="n">
        <f aca="false">IF(AND(L790&lt;L_rampe,Poussee&lt;Poids*SIN(M790)),0,(-W790+Poussee)/m-Poids*SIN(M790)/m)</f>
        <v>5.94737248787782</v>
      </c>
      <c r="AH791" s="418" t="n">
        <f aca="false">IF(AND(L790&lt;L_rampe,Poussee&lt;Poids*SIN(M790)), g*SIN(M790), (-W790+Poussee)/m)</f>
        <v>-3.7621208220004</v>
      </c>
    </row>
    <row r="792" customFormat="false" ht="12" hidden="false" customHeight="false" outlineLevel="0" collapsed="false">
      <c r="A792" s="417" t="n">
        <f aca="false">IF(B791+0.01&lt;=T_ini+ROUNDUP(Temps_fin_propu,0), 0.01, IF(K791&gt;0, 0.1, 0.0001))</f>
        <v>0.0001</v>
      </c>
      <c r="B792" s="418" t="n">
        <f aca="false">B791+pas</f>
        <v>16.5442999999999</v>
      </c>
      <c r="C792" s="402"/>
      <c r="D792" s="419" t="n">
        <f aca="false">IF(AND(L791&lt;L_rampe,Poussee&lt;Poids*SIN(M791)),0,(-W791+Poussee)/m*COS(M791)-U791/m*SIN(M791))</f>
        <v>-0.537151900110777</v>
      </c>
      <c r="E792" s="420" t="n">
        <f aca="false">IF(AND(L791&lt;L_rampe,Poussee&lt;Poids*SIN(M791)),0,(-W791+Poussee)/m*SIN(M791)+U791/m*COS(M791)-Poids/m)</f>
        <v>-6.08635803812566</v>
      </c>
      <c r="F792" s="418" t="n">
        <f aca="false">SQRT(acc_x^2+acc_z^2)</f>
        <v>6.11001524810286</v>
      </c>
      <c r="G792" s="419" t="n">
        <f aca="false">G791+acc_x*pas</f>
        <v>10.2634586269911</v>
      </c>
      <c r="H792" s="420" t="n">
        <f aca="false">H791+acc_z*pas</f>
        <v>-71.1492822710999</v>
      </c>
      <c r="I792" s="418" t="n">
        <f aca="false">SQRT(vit_x^2+vit_z^2)</f>
        <v>71.8857353769203</v>
      </c>
      <c r="J792" s="419" t="n">
        <f aca="false">J791+0.5*(vit_x+G791)*pas*(K791&gt;=0)</f>
        <v>211.791153319536</v>
      </c>
      <c r="K792" s="420" t="n">
        <f aca="false">K791+0.5*(vit_z+H791)*pas</f>
        <v>-7.57879358753474</v>
      </c>
      <c r="L792" s="418" t="n">
        <f aca="false">SQRT(pos_x^2+pos_z^2)</f>
        <v>211.926710767335</v>
      </c>
      <c r="M792" s="419" t="n">
        <f aca="false">IF(AND(L791&gt;L_rampe,G792&gt;0),ATAN2(G792,H792),$M$4)</f>
        <v>-1.42753213437109</v>
      </c>
      <c r="N792" s="418" t="n">
        <f aca="false">DEGREES(Beta)</f>
        <v>-81.7915664187658</v>
      </c>
      <c r="O792" s="402"/>
      <c r="P792" s="421" t="n">
        <f aca="false">MATCH(t-pas/2-T_ini,CdP_t)</f>
        <v>23</v>
      </c>
      <c r="Q792" s="418" t="n">
        <f aca="false">(INDEX(CdP,2,i_P+1)-INDEX(CdP,2,i_P+0))/(INDEX(CdP,1,i_P+1)-INDEX(CdP,1,i_P+0))*(t-pas/2-T_ini-INDEX(CdP,1,i_P+0))+INDEX(CdP,2,i_P+0)</f>
        <v>0</v>
      </c>
      <c r="R792" s="419" t="n">
        <f aca="false">Poussee/(g*ISP)</f>
        <v>0</v>
      </c>
      <c r="S792" s="420" t="n">
        <f aca="false">S791-Débit*pas</f>
        <v>1.4843</v>
      </c>
      <c r="T792" s="418" t="n">
        <f aca="false">m*g</f>
        <v>14.560983</v>
      </c>
      <c r="U792" s="422" t="n">
        <f aca="false">IF(pos_xz&lt;L_rampe,Poids*COS(Beta),0)</f>
        <v>0</v>
      </c>
      <c r="V792" s="419" t="n">
        <f aca="false">Rho_moyen*(20000-Alt_rampe-pos_z)/(20000+Alt_rampe+pos_z)</f>
        <v>1.22592875415628</v>
      </c>
      <c r="W792" s="418" t="n">
        <f aca="false">1/2*Rho*Sref*Cx*vit_xz^2</f>
        <v>5.58430868389393</v>
      </c>
      <c r="X792" s="402"/>
      <c r="Y792" s="423" t="str">
        <f aca="false">IF(AND(pos_z&lt;=0,K791&gt;0),"Impact balistique","") &amp; IF(AND(H793&lt;0,vit_z&gt;=0),"Apogée","") &amp; IF(AND(Poussee=0,Q791&gt;0),"Fin de propulsion","") &amp; IF(AND(L793&gt;L_rampe,pos_xz&lt;=L_rampe),"Sortie de rampe","")</f>
        <v/>
      </c>
      <c r="Z792" s="424" t="str">
        <f aca="false">IF(ABS(t-T_para)&lt;pas/2,"Para","")</f>
        <v/>
      </c>
      <c r="AA792" s="425" t="str">
        <f aca="false">IF(ABS(t-T_satellite)&lt;pas/2,"Satellite","")</f>
        <v/>
      </c>
      <c r="AB792" s="413"/>
      <c r="AC792" s="421" t="e">
        <f aca="false">IF(ABS(t-ROUND(t,0))&lt;0.001,t,NA())</f>
        <v>#N/A</v>
      </c>
      <c r="AD792" s="426" t="e">
        <f aca="false">IF(ABS(t-ROUND(t,0))&lt;0.001,pos_x,NA())</f>
        <v>#N/A</v>
      </c>
      <c r="AE792" s="427" t="e">
        <f aca="false">IF(t&lt;T_para, pos_z, NA())</f>
        <v>#N/A</v>
      </c>
      <c r="AF792" s="413"/>
      <c r="AG792" s="419" t="n">
        <f aca="false">IF(AND(L791&lt;L_rampe,Poussee&lt;Poids*SIN(M791)),0,(-W791+Poussee)/m-Poids*SIN(M791)/m)</f>
        <v>5.94731028812415</v>
      </c>
      <c r="AH792" s="418" t="n">
        <f aca="false">IF(AND(L791&lt;L_rampe,Poussee&lt;Poids*SIN(M791)), g*SIN(M791), (-W791+Poussee)/m)</f>
        <v>-3.76218575086665</v>
      </c>
    </row>
    <row r="793" customFormat="false" ht="12" hidden="false" customHeight="false" outlineLevel="0" collapsed="false">
      <c r="A793" s="417" t="n">
        <f aca="false">IF(B792+0.01&lt;=T_ini+ROUNDUP(Temps_fin_propu,0), 0.01, IF(K792&gt;0, 0.1, 0.0001))</f>
        <v>0.0001</v>
      </c>
      <c r="B793" s="418" t="n">
        <f aca="false">B792+pas</f>
        <v>16.5443999999999</v>
      </c>
      <c r="C793" s="402"/>
      <c r="D793" s="419" t="n">
        <f aca="false">IF(AND(L792&lt;L_rampe,Poussee&lt;Poids*SIN(M792)),0,(-W792+Poussee)/m*COS(M792)-U792/m*SIN(M792))</f>
        <v>-0.537153915072459</v>
      </c>
      <c r="E793" s="420" t="n">
        <f aca="false">IF(AND(L792&lt;L_rampe,Poussee&lt;Poids*SIN(M792)),0,(-W792+Poussee)/m*SIN(M792)+U792/m*COS(M792)-Poids/m)</f>
        <v>-6.0862927278715</v>
      </c>
      <c r="F793" s="418" t="n">
        <f aca="false">SQRT(acc_x^2+acc_z^2)</f>
        <v>6.10995036786873</v>
      </c>
      <c r="G793" s="419" t="n">
        <f aca="false">G792+acc_x*pas</f>
        <v>10.2634049115996</v>
      </c>
      <c r="H793" s="420" t="n">
        <f aca="false">H792+acc_z*pas</f>
        <v>-71.1498909003727</v>
      </c>
      <c r="I793" s="418" t="n">
        <f aca="false">SQRT(vit_x^2+vit_z^2)</f>
        <v>71.8863301018656</v>
      </c>
      <c r="J793" s="419" t="n">
        <f aca="false">J792+0.5*(vit_x+G792)*pas*(K792&gt;=0)</f>
        <v>211.791153319536</v>
      </c>
      <c r="K793" s="420" t="n">
        <f aca="false">K792+0.5*(vit_z+H792)*pas</f>
        <v>-7.58590854619332</v>
      </c>
      <c r="L793" s="418" t="n">
        <f aca="false">SQRT(pos_x^2+pos_z^2)</f>
        <v>211.926965327422</v>
      </c>
      <c r="M793" s="419" t="n">
        <f aca="false">IF(AND(L792&gt;L_rampe,G793&gt;0),ATAN2(G793,H793),$M$4)</f>
        <v>-1.4275340827513</v>
      </c>
      <c r="N793" s="418" t="n">
        <f aca="false">DEGREES(Beta)</f>
        <v>-81.7916780527289</v>
      </c>
      <c r="O793" s="402"/>
      <c r="P793" s="421" t="n">
        <f aca="false">MATCH(t-pas/2-T_ini,CdP_t)</f>
        <v>23</v>
      </c>
      <c r="Q793" s="418" t="n">
        <f aca="false">(INDEX(CdP,2,i_P+1)-INDEX(CdP,2,i_P+0))/(INDEX(CdP,1,i_P+1)-INDEX(CdP,1,i_P+0))*(t-pas/2-T_ini-INDEX(CdP,1,i_P+0))+INDEX(CdP,2,i_P+0)</f>
        <v>0</v>
      </c>
      <c r="R793" s="419" t="n">
        <f aca="false">Poussee/(g*ISP)</f>
        <v>0</v>
      </c>
      <c r="S793" s="420" t="n">
        <f aca="false">S792-Débit*pas</f>
        <v>1.4843</v>
      </c>
      <c r="T793" s="418" t="n">
        <f aca="false">m*g</f>
        <v>14.560983</v>
      </c>
      <c r="U793" s="422" t="n">
        <f aca="false">IF(pos_xz&lt;L_rampe,Poids*COS(Beta),0)</f>
        <v>0</v>
      </c>
      <c r="V793" s="419" t="n">
        <f aca="false">Rho_moyen*(20000-Alt_rampe-pos_z)/(20000+Alt_rampe+pos_z)</f>
        <v>1.22592962639995</v>
      </c>
      <c r="W793" s="418" t="n">
        <f aca="false">1/2*Rho*Sref*Cx*vit_xz^2</f>
        <v>5.58440505774289</v>
      </c>
      <c r="X793" s="402"/>
      <c r="Y793" s="423" t="str">
        <f aca="false">IF(AND(pos_z&lt;=0,K792&gt;0),"Impact balistique","") &amp; IF(AND(H794&lt;0,vit_z&gt;=0),"Apogée","") &amp; IF(AND(Poussee=0,Q792&gt;0),"Fin de propulsion","") &amp; IF(AND(L794&gt;L_rampe,pos_xz&lt;=L_rampe),"Sortie de rampe","")</f>
        <v/>
      </c>
      <c r="Z793" s="424" t="str">
        <f aca="false">IF(ABS(t-T_para)&lt;pas/2,"Para","")</f>
        <v/>
      </c>
      <c r="AA793" s="425" t="str">
        <f aca="false">IF(ABS(t-T_satellite)&lt;pas/2,"Satellite","")</f>
        <v/>
      </c>
      <c r="AB793" s="413"/>
      <c r="AC793" s="421" t="e">
        <f aca="false">IF(ABS(t-ROUND(t,0))&lt;0.001,t,NA())</f>
        <v>#N/A</v>
      </c>
      <c r="AD793" s="426" t="e">
        <f aca="false">IF(ABS(t-ROUND(t,0))&lt;0.001,pos_x,NA())</f>
        <v>#N/A</v>
      </c>
      <c r="AE793" s="427" t="e">
        <f aca="false">IF(t&lt;T_para, pos_z, NA())</f>
        <v>#N/A</v>
      </c>
      <c r="AF793" s="413"/>
      <c r="AG793" s="419" t="n">
        <f aca="false">IF(AND(L792&lt;L_rampe,Poussee&lt;Poids*SIN(M792)),0,(-W792+Poussee)/m-Poids*SIN(M792)/m)</f>
        <v>5.94724808829681</v>
      </c>
      <c r="AH793" s="418" t="n">
        <f aca="false">IF(AND(L792&lt;L_rampe,Poussee&lt;Poids*SIN(M792)), g*SIN(M792), (-W792+Poussee)/m)</f>
        <v>-3.76225067971026</v>
      </c>
    </row>
    <row r="794" customFormat="false" ht="12" hidden="false" customHeight="false" outlineLevel="0" collapsed="false">
      <c r="A794" s="417" t="n">
        <f aca="false">IF(B793+0.01&lt;=T_ini+ROUNDUP(Temps_fin_propu,0), 0.01, IF(K793&gt;0, 0.1, 0.0001))</f>
        <v>0.0001</v>
      </c>
      <c r="B794" s="418" t="n">
        <f aca="false">B793+pas</f>
        <v>16.5444999999999</v>
      </c>
      <c r="C794" s="402"/>
      <c r="D794" s="419" t="n">
        <f aca="false">IF(AND(L793&lt;L_rampe,Poussee&lt;Poids*SIN(M793)),0,(-W793+Poussee)/m*COS(M793)-U793/m*SIN(M793))</f>
        <v>-0.537155929936464</v>
      </c>
      <c r="E794" s="420" t="n">
        <f aca="false">IF(AND(L793&lt;L_rampe,Poussee&lt;Poids*SIN(M793)),0,(-W793+Poussee)/m*SIN(M793)+U793/m*COS(M793)-Poids/m)</f>
        <v>-6.08622741764058</v>
      </c>
      <c r="F794" s="418" t="n">
        <f aca="false">SQRT(acc_x^2+acc_z^2)</f>
        <v>6.10988548765898</v>
      </c>
      <c r="G794" s="419" t="n">
        <f aca="false">G793+acc_x*pas</f>
        <v>10.2633511960066</v>
      </c>
      <c r="H794" s="420" t="n">
        <f aca="false">H793+acc_z*pas</f>
        <v>-71.1504995231145</v>
      </c>
      <c r="I794" s="418" t="n">
        <f aca="false">SQRT(vit_x^2+vit_z^2)</f>
        <v>71.8869248205909</v>
      </c>
      <c r="J794" s="419" t="n">
        <f aca="false">J793+0.5*(vit_x+G793)*pas*(K793&gt;=0)</f>
        <v>211.791153319536</v>
      </c>
      <c r="K794" s="420" t="n">
        <f aca="false">K793+0.5*(vit_z+H793)*pas</f>
        <v>-7.59302356571449</v>
      </c>
      <c r="L794" s="418" t="n">
        <f aca="false">SQRT(pos_x^2+pos_z^2)</f>
        <v>211.927220128252</v>
      </c>
      <c r="M794" s="419" t="n">
        <f aca="false">IF(AND(L793&gt;L_rampe,G794&gt;0),ATAN2(G794,H794),$M$4)</f>
        <v>-1.42753603108908</v>
      </c>
      <c r="N794" s="418" t="n">
        <f aca="false">DEGREES(Beta)</f>
        <v>-81.7917896842607</v>
      </c>
      <c r="O794" s="402"/>
      <c r="P794" s="421" t="n">
        <f aca="false">MATCH(t-pas/2-T_ini,CdP_t)</f>
        <v>23</v>
      </c>
      <c r="Q794" s="418" t="n">
        <f aca="false">(INDEX(CdP,2,i_P+1)-INDEX(CdP,2,i_P+0))/(INDEX(CdP,1,i_P+1)-INDEX(CdP,1,i_P+0))*(t-pas/2-T_ini-INDEX(CdP,1,i_P+0))+INDEX(CdP,2,i_P+0)</f>
        <v>0</v>
      </c>
      <c r="R794" s="419" t="n">
        <f aca="false">Poussee/(g*ISP)</f>
        <v>0</v>
      </c>
      <c r="S794" s="420" t="n">
        <f aca="false">S793-Débit*pas</f>
        <v>1.4843</v>
      </c>
      <c r="T794" s="418" t="n">
        <f aca="false">m*g</f>
        <v>14.560983</v>
      </c>
      <c r="U794" s="422" t="n">
        <f aca="false">IF(pos_xz&lt;L_rampe,Poids*COS(Beta),0)</f>
        <v>0</v>
      </c>
      <c r="V794" s="419" t="n">
        <f aca="false">Rho_moyen*(20000-Alt_rampe-pos_z)/(20000+Alt_rampe+pos_z)</f>
        <v>1.22593049865171</v>
      </c>
      <c r="W794" s="418" t="n">
        <f aca="false">1/2*Rho*Sref*Cx*vit_xz^2</f>
        <v>5.5845014315582</v>
      </c>
      <c r="X794" s="402"/>
      <c r="Y794" s="423" t="str">
        <f aca="false">IF(AND(pos_z&lt;=0,K793&gt;0),"Impact balistique","") &amp; IF(AND(H795&lt;0,vit_z&gt;=0),"Apogée","") &amp; IF(AND(Poussee=0,Q793&gt;0),"Fin de propulsion","") &amp; IF(AND(L795&gt;L_rampe,pos_xz&lt;=L_rampe),"Sortie de rampe","")</f>
        <v/>
      </c>
      <c r="Z794" s="424" t="str">
        <f aca="false">IF(ABS(t-T_para)&lt;pas/2,"Para","")</f>
        <v/>
      </c>
      <c r="AA794" s="425" t="str">
        <f aca="false">IF(ABS(t-T_satellite)&lt;pas/2,"Satellite","")</f>
        <v/>
      </c>
      <c r="AB794" s="413"/>
      <c r="AC794" s="421" t="e">
        <f aca="false">IF(ABS(t-ROUND(t,0))&lt;0.001,t,NA())</f>
        <v>#N/A</v>
      </c>
      <c r="AD794" s="426" t="e">
        <f aca="false">IF(ABS(t-ROUND(t,0))&lt;0.001,pos_x,NA())</f>
        <v>#N/A</v>
      </c>
      <c r="AE794" s="427" t="e">
        <f aca="false">IF(t&lt;T_para, pos_z, NA())</f>
        <v>#N/A</v>
      </c>
      <c r="AF794" s="413"/>
      <c r="AG794" s="419" t="n">
        <f aca="false">IF(AND(L793&lt;L_rampe,Poussee&lt;Poids*SIN(M793)),0,(-W793+Poussee)/m-Poids*SIN(M793)/m)</f>
        <v>5.94718588839583</v>
      </c>
      <c r="AH794" s="418" t="n">
        <f aca="false">IF(AND(L793&lt;L_rampe,Poussee&lt;Poids*SIN(M793)), g*SIN(M793), (-W793+Poussee)/m)</f>
        <v>-3.76231560853122</v>
      </c>
    </row>
    <row r="795" customFormat="false" ht="12" hidden="false" customHeight="false" outlineLevel="0" collapsed="false">
      <c r="A795" s="417" t="n">
        <f aca="false">IF(B794+0.01&lt;=T_ini+ROUNDUP(Temps_fin_propu,0), 0.01, IF(K794&gt;0, 0.1, 0.0001))</f>
        <v>0.0001</v>
      </c>
      <c r="B795" s="418" t="n">
        <f aca="false">B794+pas</f>
        <v>16.5445999999999</v>
      </c>
      <c r="C795" s="402"/>
      <c r="D795" s="419" t="n">
        <f aca="false">IF(AND(L794&lt;L_rampe,Poussee&lt;Poids*SIN(M794)),0,(-W794+Poussee)/m*COS(M794)-U794/m*SIN(M794))</f>
        <v>-0.537157944702795</v>
      </c>
      <c r="E795" s="420" t="n">
        <f aca="false">IF(AND(L794&lt;L_rampe,Poussee&lt;Poids*SIN(M794)),0,(-W794+Poussee)/m*SIN(M794)+U794/m*COS(M794)-Poids/m)</f>
        <v>-6.08616210743289</v>
      </c>
      <c r="F795" s="418" t="n">
        <f aca="false">SQRT(acc_x^2+acc_z^2)</f>
        <v>6.10982060747362</v>
      </c>
      <c r="G795" s="419" t="n">
        <f aca="false">G794+acc_x*pas</f>
        <v>10.2632974802121</v>
      </c>
      <c r="H795" s="420" t="n">
        <f aca="false">H794+acc_z*pas</f>
        <v>-71.1511081393252</v>
      </c>
      <c r="I795" s="418" t="n">
        <f aca="false">SQRT(vit_x^2+vit_z^2)</f>
        <v>71.8875195330961</v>
      </c>
      <c r="J795" s="419" t="n">
        <f aca="false">J794+0.5*(vit_x+G794)*pas*(K794&gt;=0)</f>
        <v>211.791153319536</v>
      </c>
      <c r="K795" s="420" t="n">
        <f aca="false">K794+0.5*(vit_z+H794)*pas</f>
        <v>-7.60013864609762</v>
      </c>
      <c r="L795" s="418" t="n">
        <f aca="false">SQRT(pos_x^2+pos_z^2)</f>
        <v>211.927475169831</v>
      </c>
      <c r="M795" s="419" t="n">
        <f aca="false">IF(AND(L794&gt;L_rampe,G795&gt;0),ATAN2(G795,H795),$M$4)</f>
        <v>-1.42753797938443</v>
      </c>
      <c r="N795" s="418" t="n">
        <f aca="false">DEGREES(Beta)</f>
        <v>-81.7919013133613</v>
      </c>
      <c r="O795" s="402"/>
      <c r="P795" s="421" t="n">
        <f aca="false">MATCH(t-pas/2-T_ini,CdP_t)</f>
        <v>23</v>
      </c>
      <c r="Q795" s="418" t="n">
        <f aca="false">(INDEX(CdP,2,i_P+1)-INDEX(CdP,2,i_P+0))/(INDEX(CdP,1,i_P+1)-INDEX(CdP,1,i_P+0))*(t-pas/2-T_ini-INDEX(CdP,1,i_P+0))+INDEX(CdP,2,i_P+0)</f>
        <v>0</v>
      </c>
      <c r="R795" s="419" t="n">
        <f aca="false">Poussee/(g*ISP)</f>
        <v>0</v>
      </c>
      <c r="S795" s="420" t="n">
        <f aca="false">S794-Débit*pas</f>
        <v>1.4843</v>
      </c>
      <c r="T795" s="418" t="n">
        <f aca="false">m*g</f>
        <v>14.560983</v>
      </c>
      <c r="U795" s="422" t="n">
        <f aca="false">IF(pos_xz&lt;L_rampe,Poids*COS(Beta),0)</f>
        <v>0</v>
      </c>
      <c r="V795" s="419" t="n">
        <f aca="false">Rho_moyen*(20000-Alt_rampe-pos_z)/(20000+Alt_rampe+pos_z)</f>
        <v>1.22593137091155</v>
      </c>
      <c r="W795" s="418" t="n">
        <f aca="false">1/2*Rho*Sref*Cx*vit_xz^2</f>
        <v>5.58459780533984</v>
      </c>
      <c r="X795" s="402"/>
      <c r="Y795" s="423" t="str">
        <f aca="false">IF(AND(pos_z&lt;=0,K794&gt;0),"Impact balistique","") &amp; IF(AND(H796&lt;0,vit_z&gt;=0),"Apogée","") &amp; IF(AND(Poussee=0,Q794&gt;0),"Fin de propulsion","") &amp; IF(AND(L796&gt;L_rampe,pos_xz&lt;=L_rampe),"Sortie de rampe","")</f>
        <v/>
      </c>
      <c r="Z795" s="424" t="str">
        <f aca="false">IF(ABS(t-T_para)&lt;pas/2,"Para","")</f>
        <v/>
      </c>
      <c r="AA795" s="425" t="str">
        <f aca="false">IF(ABS(t-T_satellite)&lt;pas/2,"Satellite","")</f>
        <v/>
      </c>
      <c r="AB795" s="413"/>
      <c r="AC795" s="421" t="e">
        <f aca="false">IF(ABS(t-ROUND(t,0))&lt;0.001,t,NA())</f>
        <v>#N/A</v>
      </c>
      <c r="AD795" s="426" t="e">
        <f aca="false">IF(ABS(t-ROUND(t,0))&lt;0.001,pos_x,NA())</f>
        <v>#N/A</v>
      </c>
      <c r="AE795" s="427" t="e">
        <f aca="false">IF(t&lt;T_para, pos_z, NA())</f>
        <v>#N/A</v>
      </c>
      <c r="AF795" s="413"/>
      <c r="AG795" s="419" t="n">
        <f aca="false">IF(AND(L794&lt;L_rampe,Poussee&lt;Poids*SIN(M794)),0,(-W794+Poussee)/m-Poids*SIN(M794)/m)</f>
        <v>5.94712368842122</v>
      </c>
      <c r="AH795" s="418" t="n">
        <f aca="false">IF(AND(L794&lt;L_rampe,Poussee&lt;Poids*SIN(M794)), g*SIN(M794), (-W794+Poussee)/m)</f>
        <v>-3.76238053732952</v>
      </c>
    </row>
    <row r="796" customFormat="false" ht="12" hidden="false" customHeight="false" outlineLevel="0" collapsed="false">
      <c r="A796" s="417" t="n">
        <f aca="false">IF(B795+0.01&lt;=T_ini+ROUNDUP(Temps_fin_propu,0), 0.01, IF(K795&gt;0, 0.1, 0.0001))</f>
        <v>0.0001</v>
      </c>
      <c r="B796" s="418" t="n">
        <f aca="false">B795+pas</f>
        <v>16.5446999999999</v>
      </c>
      <c r="C796" s="402"/>
      <c r="D796" s="419" t="n">
        <f aca="false">IF(AND(L795&lt;L_rampe,Poussee&lt;Poids*SIN(M795)),0,(-W795+Poussee)/m*COS(M795)-U795/m*SIN(M795))</f>
        <v>-0.537159959371452</v>
      </c>
      <c r="E796" s="420" t="n">
        <f aca="false">IF(AND(L795&lt;L_rampe,Poussee&lt;Poids*SIN(M795)),0,(-W795+Poussee)/m*SIN(M795)+U795/m*COS(M795)-Poids/m)</f>
        <v>-6.08609679724847</v>
      </c>
      <c r="F796" s="418" t="n">
        <f aca="false">SQRT(acc_x^2+acc_z^2)</f>
        <v>6.10975572731267</v>
      </c>
      <c r="G796" s="419" t="n">
        <f aca="false">G795+acc_x*pas</f>
        <v>10.2632437642162</v>
      </c>
      <c r="H796" s="420" t="n">
        <f aca="false">H795+acc_z*pas</f>
        <v>-71.1517167490049</v>
      </c>
      <c r="I796" s="418" t="n">
        <f aca="false">SQRT(vit_x^2+vit_z^2)</f>
        <v>71.8881142393814</v>
      </c>
      <c r="J796" s="419" t="n">
        <f aca="false">J795+0.5*(vit_x+G795)*pas*(K795&gt;=0)</f>
        <v>211.791153319536</v>
      </c>
      <c r="K796" s="420" t="n">
        <f aca="false">K795+0.5*(vit_z+H795)*pas</f>
        <v>-7.60725378734203</v>
      </c>
      <c r="L796" s="418" t="n">
        <f aca="false">SQRT(pos_x^2+pos_z^2)</f>
        <v>211.927730452162</v>
      </c>
      <c r="M796" s="419" t="n">
        <f aca="false">IF(AND(L795&gt;L_rampe,G796&gt;0),ATAN2(G796,H796),$M$4)</f>
        <v>-1.42753992763734</v>
      </c>
      <c r="N796" s="418" t="n">
        <f aca="false">DEGREES(Beta)</f>
        <v>-81.7920129400307</v>
      </c>
      <c r="O796" s="402"/>
      <c r="P796" s="421" t="n">
        <f aca="false">MATCH(t-pas/2-T_ini,CdP_t)</f>
        <v>23</v>
      </c>
      <c r="Q796" s="418" t="n">
        <f aca="false">(INDEX(CdP,2,i_P+1)-INDEX(CdP,2,i_P+0))/(INDEX(CdP,1,i_P+1)-INDEX(CdP,1,i_P+0))*(t-pas/2-T_ini-INDEX(CdP,1,i_P+0))+INDEX(CdP,2,i_P+0)</f>
        <v>0</v>
      </c>
      <c r="R796" s="419" t="n">
        <f aca="false">Poussee/(g*ISP)</f>
        <v>0</v>
      </c>
      <c r="S796" s="420" t="n">
        <f aca="false">S795-Débit*pas</f>
        <v>1.4843</v>
      </c>
      <c r="T796" s="418" t="n">
        <f aca="false">m*g</f>
        <v>14.560983</v>
      </c>
      <c r="U796" s="422" t="n">
        <f aca="false">IF(pos_xz&lt;L_rampe,Poids*COS(Beta),0)</f>
        <v>0</v>
      </c>
      <c r="V796" s="419" t="n">
        <f aca="false">Rho_moyen*(20000-Alt_rampe-pos_z)/(20000+Alt_rampe+pos_z)</f>
        <v>1.22593224317947</v>
      </c>
      <c r="W796" s="418" t="n">
        <f aca="false">1/2*Rho*Sref*Cx*vit_xz^2</f>
        <v>5.58469417908778</v>
      </c>
      <c r="X796" s="402"/>
      <c r="Y796" s="423" t="str">
        <f aca="false">IF(AND(pos_z&lt;=0,K795&gt;0),"Impact balistique","") &amp; IF(AND(H797&lt;0,vit_z&gt;=0),"Apogée","") &amp; IF(AND(Poussee=0,Q795&gt;0),"Fin de propulsion","") &amp; IF(AND(L797&gt;L_rampe,pos_xz&lt;=L_rampe),"Sortie de rampe","")</f>
        <v/>
      </c>
      <c r="Z796" s="424" t="str">
        <f aca="false">IF(ABS(t-T_para)&lt;pas/2,"Para","")</f>
        <v/>
      </c>
      <c r="AA796" s="425" t="str">
        <f aca="false">IF(ABS(t-T_satellite)&lt;pas/2,"Satellite","")</f>
        <v/>
      </c>
      <c r="AB796" s="413"/>
      <c r="AC796" s="421" t="e">
        <f aca="false">IF(ABS(t-ROUND(t,0))&lt;0.001,t,NA())</f>
        <v>#N/A</v>
      </c>
      <c r="AD796" s="426" t="e">
        <f aca="false">IF(ABS(t-ROUND(t,0))&lt;0.001,pos_x,NA())</f>
        <v>#N/A</v>
      </c>
      <c r="AE796" s="427" t="e">
        <f aca="false">IF(t&lt;T_para, pos_z, NA())</f>
        <v>#N/A</v>
      </c>
      <c r="AF796" s="413"/>
      <c r="AG796" s="419" t="n">
        <f aca="false">IF(AND(L795&lt;L_rampe,Poussee&lt;Poids*SIN(M795)),0,(-W795+Poussee)/m-Poids*SIN(M795)/m)</f>
        <v>5.94706148837302</v>
      </c>
      <c r="AH796" s="418" t="n">
        <f aca="false">IF(AND(L795&lt;L_rampe,Poussee&lt;Poids*SIN(M795)), g*SIN(M795), (-W795+Poussee)/m)</f>
        <v>-3.76244546610513</v>
      </c>
    </row>
    <row r="797" customFormat="false" ht="12" hidden="false" customHeight="false" outlineLevel="0" collapsed="false">
      <c r="A797" s="417" t="n">
        <f aca="false">IF(B796+0.01&lt;=T_ini+ROUNDUP(Temps_fin_propu,0), 0.01, IF(K796&gt;0, 0.1, 0.0001))</f>
        <v>0.0001</v>
      </c>
      <c r="B797" s="418" t="n">
        <f aca="false">B796+pas</f>
        <v>16.5447999999999</v>
      </c>
      <c r="C797" s="402"/>
      <c r="D797" s="419" t="n">
        <f aca="false">IF(AND(L796&lt;L_rampe,Poussee&lt;Poids*SIN(M796)),0,(-W796+Poussee)/m*COS(M796)-U796/m*SIN(M796))</f>
        <v>-0.537161973942436</v>
      </c>
      <c r="E797" s="420" t="n">
        <f aca="false">IF(AND(L796&lt;L_rampe,Poussee&lt;Poids*SIN(M796)),0,(-W796+Poussee)/m*SIN(M796)+U796/m*COS(M796)-Poids/m)</f>
        <v>-6.08603148708732</v>
      </c>
      <c r="F797" s="418" t="n">
        <f aca="false">SQRT(acc_x^2+acc_z^2)</f>
        <v>6.10969084717615</v>
      </c>
      <c r="G797" s="419" t="n">
        <f aca="false">G796+acc_x*pas</f>
        <v>10.2631900480188</v>
      </c>
      <c r="H797" s="420" t="n">
        <f aca="false">H796+acc_z*pas</f>
        <v>-71.1523253521536</v>
      </c>
      <c r="I797" s="418" t="n">
        <f aca="false">SQRT(vit_x^2+vit_z^2)</f>
        <v>71.8887089394467</v>
      </c>
      <c r="J797" s="419" t="n">
        <f aca="false">J796+0.5*(vit_x+G796)*pas*(K796&gt;=0)</f>
        <v>211.791153319536</v>
      </c>
      <c r="K797" s="420" t="n">
        <f aca="false">K796+0.5*(vit_z+H796)*pas</f>
        <v>-7.61436898944709</v>
      </c>
      <c r="L797" s="418" t="n">
        <f aca="false">SQRT(pos_x^2+pos_z^2)</f>
        <v>211.927985975252</v>
      </c>
      <c r="M797" s="419" t="n">
        <f aca="false">IF(AND(L796&gt;L_rampe,G797&gt;0),ATAN2(G797,H797),$M$4)</f>
        <v>-1.42754187584783</v>
      </c>
      <c r="N797" s="418" t="n">
        <f aca="false">DEGREES(Beta)</f>
        <v>-81.792124564269</v>
      </c>
      <c r="O797" s="402"/>
      <c r="P797" s="421" t="n">
        <f aca="false">MATCH(t-pas/2-T_ini,CdP_t)</f>
        <v>23</v>
      </c>
      <c r="Q797" s="418" t="n">
        <f aca="false">(INDEX(CdP,2,i_P+1)-INDEX(CdP,2,i_P+0))/(INDEX(CdP,1,i_P+1)-INDEX(CdP,1,i_P+0))*(t-pas/2-T_ini-INDEX(CdP,1,i_P+0))+INDEX(CdP,2,i_P+0)</f>
        <v>0</v>
      </c>
      <c r="R797" s="419" t="n">
        <f aca="false">Poussee/(g*ISP)</f>
        <v>0</v>
      </c>
      <c r="S797" s="420" t="n">
        <f aca="false">S796-Débit*pas</f>
        <v>1.4843</v>
      </c>
      <c r="T797" s="418" t="n">
        <f aca="false">m*g</f>
        <v>14.560983</v>
      </c>
      <c r="U797" s="422" t="n">
        <f aca="false">IF(pos_xz&lt;L_rampe,Poids*COS(Beta),0)</f>
        <v>0</v>
      </c>
      <c r="V797" s="419" t="n">
        <f aca="false">Rho_moyen*(20000-Alt_rampe-pos_z)/(20000+Alt_rampe+pos_z)</f>
        <v>1.22593311545548</v>
      </c>
      <c r="W797" s="418" t="n">
        <f aca="false">1/2*Rho*Sref*Cx*vit_xz^2</f>
        <v>5.58479055280201</v>
      </c>
      <c r="X797" s="402"/>
      <c r="Y797" s="423" t="str">
        <f aca="false">IF(AND(pos_z&lt;=0,K796&gt;0),"Impact balistique","") &amp; IF(AND(H798&lt;0,vit_z&gt;=0),"Apogée","") &amp; IF(AND(Poussee=0,Q796&gt;0),"Fin de propulsion","") &amp; IF(AND(L798&gt;L_rampe,pos_xz&lt;=L_rampe),"Sortie de rampe","")</f>
        <v/>
      </c>
      <c r="Z797" s="424" t="str">
        <f aca="false">IF(ABS(t-T_para)&lt;pas/2,"Para","")</f>
        <v/>
      </c>
      <c r="AA797" s="425" t="str">
        <f aca="false">IF(ABS(t-T_satellite)&lt;pas/2,"Satellite","")</f>
        <v/>
      </c>
      <c r="AB797" s="413"/>
      <c r="AC797" s="421" t="e">
        <f aca="false">IF(ABS(t-ROUND(t,0))&lt;0.001,t,NA())</f>
        <v>#N/A</v>
      </c>
      <c r="AD797" s="426" t="e">
        <f aca="false">IF(ABS(t-ROUND(t,0))&lt;0.001,pos_x,NA())</f>
        <v>#N/A</v>
      </c>
      <c r="AE797" s="427" t="e">
        <f aca="false">IF(t&lt;T_para, pos_z, NA())</f>
        <v>#N/A</v>
      </c>
      <c r="AF797" s="413"/>
      <c r="AG797" s="419" t="n">
        <f aca="false">IF(AND(L796&lt;L_rampe,Poussee&lt;Poids*SIN(M796)),0,(-W796+Poussee)/m-Poids*SIN(M796)/m)</f>
        <v>5.94699928825122</v>
      </c>
      <c r="AH797" s="418" t="n">
        <f aca="false">IF(AND(L796&lt;L_rampe,Poussee&lt;Poids*SIN(M796)), g*SIN(M796), (-W796+Poussee)/m)</f>
        <v>-3.76251039485804</v>
      </c>
    </row>
    <row r="798" customFormat="false" ht="12" hidden="false" customHeight="false" outlineLevel="0" collapsed="false">
      <c r="A798" s="417" t="n">
        <f aca="false">IF(B797+0.01&lt;=T_ini+ROUNDUP(Temps_fin_propu,0), 0.01, IF(K797&gt;0, 0.1, 0.0001))</f>
        <v>0.0001</v>
      </c>
      <c r="B798" s="418" t="n">
        <f aca="false">B797+pas</f>
        <v>16.5448999999999</v>
      </c>
      <c r="C798" s="402"/>
      <c r="D798" s="419" t="n">
        <f aca="false">IF(AND(L797&lt;L_rampe,Poussee&lt;Poids*SIN(M797)),0,(-W797+Poussee)/m*COS(M797)-U797/m*SIN(M797))</f>
        <v>-0.537163988415747</v>
      </c>
      <c r="E798" s="420" t="n">
        <f aca="false">IF(AND(L797&lt;L_rampe,Poussee&lt;Poids*SIN(M797)),0,(-W797+Poussee)/m*SIN(M797)+U797/m*COS(M797)-Poids/m)</f>
        <v>-6.08596617694946</v>
      </c>
      <c r="F798" s="418" t="n">
        <f aca="false">SQRT(acc_x^2+acc_z^2)</f>
        <v>6.10962596706407</v>
      </c>
      <c r="G798" s="419" t="n">
        <f aca="false">G797+acc_x*pas</f>
        <v>10.26313633162</v>
      </c>
      <c r="H798" s="420" t="n">
        <f aca="false">H797+acc_z*pas</f>
        <v>-71.1529339487713</v>
      </c>
      <c r="I798" s="418" t="n">
        <f aca="false">SQRT(vit_x^2+vit_z^2)</f>
        <v>71.8893036332919</v>
      </c>
      <c r="J798" s="419" t="n">
        <f aca="false">J797+0.5*(vit_x+G797)*pas*(K797&gt;=0)</f>
        <v>211.791153319536</v>
      </c>
      <c r="K798" s="420" t="n">
        <f aca="false">K797+0.5*(vit_z+H797)*pas</f>
        <v>-7.62148425241214</v>
      </c>
      <c r="L798" s="418" t="n">
        <f aca="false">SQRT(pos_x^2+pos_z^2)</f>
        <v>211.928241739106</v>
      </c>
      <c r="M798" s="419" t="n">
        <f aca="false">IF(AND(L797&gt;L_rampe,G798&gt;0),ATAN2(G798,H798),$M$4)</f>
        <v>-1.42754382401588</v>
      </c>
      <c r="N798" s="418" t="n">
        <f aca="false">DEGREES(Beta)</f>
        <v>-81.7922361860762</v>
      </c>
      <c r="O798" s="402"/>
      <c r="P798" s="421" t="n">
        <f aca="false">MATCH(t-pas/2-T_ini,CdP_t)</f>
        <v>23</v>
      </c>
      <c r="Q798" s="418" t="n">
        <f aca="false">(INDEX(CdP,2,i_P+1)-INDEX(CdP,2,i_P+0))/(INDEX(CdP,1,i_P+1)-INDEX(CdP,1,i_P+0))*(t-pas/2-T_ini-INDEX(CdP,1,i_P+0))+INDEX(CdP,2,i_P+0)</f>
        <v>0</v>
      </c>
      <c r="R798" s="419" t="n">
        <f aca="false">Poussee/(g*ISP)</f>
        <v>0</v>
      </c>
      <c r="S798" s="420" t="n">
        <f aca="false">S797-Débit*pas</f>
        <v>1.4843</v>
      </c>
      <c r="T798" s="418" t="n">
        <f aca="false">m*g</f>
        <v>14.560983</v>
      </c>
      <c r="U798" s="422" t="n">
        <f aca="false">IF(pos_xz&lt;L_rampe,Poids*COS(Beta),0)</f>
        <v>0</v>
      </c>
      <c r="V798" s="419" t="n">
        <f aca="false">Rho_moyen*(20000-Alt_rampe-pos_z)/(20000+Alt_rampe+pos_z)</f>
        <v>1.22593398773956</v>
      </c>
      <c r="W798" s="418" t="n">
        <f aca="false">1/2*Rho*Sref*Cx*vit_xz^2</f>
        <v>5.58488692648249</v>
      </c>
      <c r="X798" s="402"/>
      <c r="Y798" s="423" t="str">
        <f aca="false">IF(AND(pos_z&lt;=0,K797&gt;0),"Impact balistique","") &amp; IF(AND(H799&lt;0,vit_z&gt;=0),"Apogée","") &amp; IF(AND(Poussee=0,Q797&gt;0),"Fin de propulsion","") &amp; IF(AND(L799&gt;L_rampe,pos_xz&lt;=L_rampe),"Sortie de rampe","")</f>
        <v/>
      </c>
      <c r="Z798" s="424" t="str">
        <f aca="false">IF(ABS(t-T_para)&lt;pas/2,"Para","")</f>
        <v/>
      </c>
      <c r="AA798" s="425" t="str">
        <f aca="false">IF(ABS(t-T_satellite)&lt;pas/2,"Satellite","")</f>
        <v/>
      </c>
      <c r="AB798" s="413"/>
      <c r="AC798" s="421" t="e">
        <f aca="false">IF(ABS(t-ROUND(t,0))&lt;0.001,t,NA())</f>
        <v>#N/A</v>
      </c>
      <c r="AD798" s="426" t="e">
        <f aca="false">IF(ABS(t-ROUND(t,0))&lt;0.001,pos_x,NA())</f>
        <v>#N/A</v>
      </c>
      <c r="AE798" s="427" t="e">
        <f aca="false">IF(t&lt;T_para, pos_z, NA())</f>
        <v>#N/A</v>
      </c>
      <c r="AF798" s="413"/>
      <c r="AG798" s="419" t="n">
        <f aca="false">IF(AND(L797&lt;L_rampe,Poussee&lt;Poids*SIN(M797)),0,(-W797+Poussee)/m-Poids*SIN(M797)/m)</f>
        <v>5.94693708805586</v>
      </c>
      <c r="AH798" s="418" t="n">
        <f aca="false">IF(AND(L797&lt;L_rampe,Poussee&lt;Poids*SIN(M797)), g*SIN(M797), (-W797+Poussee)/m)</f>
        <v>-3.76257532358823</v>
      </c>
    </row>
    <row r="799" customFormat="false" ht="12" hidden="false" customHeight="false" outlineLevel="0" collapsed="false">
      <c r="A799" s="417" t="n">
        <f aca="false">IF(B798+0.01&lt;=T_ini+ROUNDUP(Temps_fin_propu,0), 0.01, IF(K798&gt;0, 0.1, 0.0001))</f>
        <v>0.0001</v>
      </c>
      <c r="B799" s="418" t="n">
        <f aca="false">B798+pas</f>
        <v>16.5449999999999</v>
      </c>
      <c r="C799" s="402"/>
      <c r="D799" s="419" t="n">
        <f aca="false">IF(AND(L798&lt;L_rampe,Poussee&lt;Poids*SIN(M798)),0,(-W798+Poussee)/m*COS(M798)-U798/m*SIN(M798))</f>
        <v>-0.537166002791386</v>
      </c>
      <c r="E799" s="420" t="n">
        <f aca="false">IF(AND(L798&lt;L_rampe,Poussee&lt;Poids*SIN(M798)),0,(-W798+Poussee)/m*SIN(M798)+U798/m*COS(M798)-Poids/m)</f>
        <v>-6.08590086683492</v>
      </c>
      <c r="F799" s="418" t="n">
        <f aca="false">SQRT(acc_x^2+acc_z^2)</f>
        <v>6.10956108697645</v>
      </c>
      <c r="G799" s="419" t="n">
        <f aca="false">G798+acc_x*pas</f>
        <v>10.2630826150197</v>
      </c>
      <c r="H799" s="420" t="n">
        <f aca="false">H798+acc_z*pas</f>
        <v>-71.153542538858</v>
      </c>
      <c r="I799" s="418" t="n">
        <f aca="false">SQRT(vit_x^2+vit_z^2)</f>
        <v>71.8898983209171</v>
      </c>
      <c r="J799" s="419" t="n">
        <f aca="false">J798+0.5*(vit_x+G798)*pas*(K798&gt;=0)</f>
        <v>211.791153319536</v>
      </c>
      <c r="K799" s="420" t="n">
        <f aca="false">K798+0.5*(vit_z+H798)*pas</f>
        <v>-7.62859957623652</v>
      </c>
      <c r="L799" s="418" t="n">
        <f aca="false">SQRT(pos_x^2+pos_z^2)</f>
        <v>211.928497743729</v>
      </c>
      <c r="M799" s="419" t="n">
        <f aca="false">IF(AND(L798&gt;L_rampe,G799&gt;0),ATAN2(G799,H799),$M$4)</f>
        <v>-1.42754577214151</v>
      </c>
      <c r="N799" s="418" t="n">
        <f aca="false">DEGREES(Beta)</f>
        <v>-81.7923478054526</v>
      </c>
      <c r="O799" s="402"/>
      <c r="P799" s="421" t="n">
        <f aca="false">MATCH(t-pas/2-T_ini,CdP_t)</f>
        <v>23</v>
      </c>
      <c r="Q799" s="418" t="n">
        <f aca="false">(INDEX(CdP,2,i_P+1)-INDEX(CdP,2,i_P+0))/(INDEX(CdP,1,i_P+1)-INDEX(CdP,1,i_P+0))*(t-pas/2-T_ini-INDEX(CdP,1,i_P+0))+INDEX(CdP,2,i_P+0)</f>
        <v>0</v>
      </c>
      <c r="R799" s="419" t="n">
        <f aca="false">Poussee/(g*ISP)</f>
        <v>0</v>
      </c>
      <c r="S799" s="420" t="n">
        <f aca="false">S798-Débit*pas</f>
        <v>1.4843</v>
      </c>
      <c r="T799" s="418" t="n">
        <f aca="false">m*g</f>
        <v>14.560983</v>
      </c>
      <c r="U799" s="422" t="n">
        <f aca="false">IF(pos_xz&lt;L_rampe,Poids*COS(Beta),0)</f>
        <v>0</v>
      </c>
      <c r="V799" s="419" t="n">
        <f aca="false">Rho_moyen*(20000-Alt_rampe-pos_z)/(20000+Alt_rampe+pos_z)</f>
        <v>1.22593486003173</v>
      </c>
      <c r="W799" s="418" t="n">
        <f aca="false">1/2*Rho*Sref*Cx*vit_xz^2</f>
        <v>5.58498330012921</v>
      </c>
      <c r="X799" s="402"/>
      <c r="Y799" s="423" t="str">
        <f aca="false">IF(AND(pos_z&lt;=0,K798&gt;0),"Impact balistique","") &amp; IF(AND(H800&lt;0,vit_z&gt;=0),"Apogée","") &amp; IF(AND(Poussee=0,Q798&gt;0),"Fin de propulsion","") &amp; IF(AND(L800&gt;L_rampe,pos_xz&lt;=L_rampe),"Sortie de rampe","")</f>
        <v/>
      </c>
      <c r="Z799" s="424" t="str">
        <f aca="false">IF(ABS(t-T_para)&lt;pas/2,"Para","")</f>
        <v/>
      </c>
      <c r="AA799" s="425" t="str">
        <f aca="false">IF(ABS(t-T_satellite)&lt;pas/2,"Satellite","")</f>
        <v/>
      </c>
      <c r="AB799" s="413"/>
      <c r="AC799" s="421" t="e">
        <f aca="false">IF(ABS(t-ROUND(t,0))&lt;0.001,t,NA())</f>
        <v>#N/A</v>
      </c>
      <c r="AD799" s="426" t="e">
        <f aca="false">IF(ABS(t-ROUND(t,0))&lt;0.001,pos_x,NA())</f>
        <v>#N/A</v>
      </c>
      <c r="AE799" s="427" t="e">
        <f aca="false">IF(t&lt;T_para, pos_z, NA())</f>
        <v>#N/A</v>
      </c>
      <c r="AF799" s="413"/>
      <c r="AG799" s="419" t="n">
        <f aca="false">IF(AND(L798&lt;L_rampe,Poussee&lt;Poids*SIN(M798)),0,(-W798+Poussee)/m-Poids*SIN(M798)/m)</f>
        <v>5.94687488778696</v>
      </c>
      <c r="AH799" s="418" t="n">
        <f aca="false">IF(AND(L798&lt;L_rampe,Poussee&lt;Poids*SIN(M798)), g*SIN(M798), (-W798+Poussee)/m)</f>
        <v>-3.76264025229569</v>
      </c>
    </row>
    <row r="800" customFormat="false" ht="12" hidden="false" customHeight="false" outlineLevel="0" collapsed="false">
      <c r="A800" s="417" t="n">
        <f aca="false">IF(B799+0.01&lt;=T_ini+ROUNDUP(Temps_fin_propu,0), 0.01, IF(K799&gt;0, 0.1, 0.0001))</f>
        <v>0.0001</v>
      </c>
      <c r="B800" s="418" t="n">
        <f aca="false">B799+pas</f>
        <v>16.5450999999999</v>
      </c>
      <c r="C800" s="402"/>
      <c r="D800" s="419" t="n">
        <f aca="false">IF(AND(L799&lt;L_rampe,Poussee&lt;Poids*SIN(M799)),0,(-W799+Poussee)/m*COS(M799)-U799/m*SIN(M799))</f>
        <v>-0.537168017069354</v>
      </c>
      <c r="E800" s="420" t="n">
        <f aca="false">IF(AND(L799&lt;L_rampe,Poussee&lt;Poids*SIN(M799)),0,(-W799+Poussee)/m*SIN(M799)+U799/m*COS(M799)-Poids/m)</f>
        <v>-6.08583555674369</v>
      </c>
      <c r="F800" s="418" t="n">
        <f aca="false">SQRT(acc_x^2+acc_z^2)</f>
        <v>6.1094962069133</v>
      </c>
      <c r="G800" s="419" t="n">
        <f aca="false">G799+acc_x*pas</f>
        <v>10.263028898218</v>
      </c>
      <c r="H800" s="420" t="n">
        <f aca="false">H799+acc_z*pas</f>
        <v>-71.1541511224137</v>
      </c>
      <c r="I800" s="418" t="n">
        <f aca="false">SQRT(vit_x^2+vit_z^2)</f>
        <v>71.8904930023222</v>
      </c>
      <c r="J800" s="419" t="n">
        <f aca="false">J799+0.5*(vit_x+G799)*pas*(K799&gt;=0)</f>
        <v>211.791153319536</v>
      </c>
      <c r="K800" s="420" t="n">
        <f aca="false">K799+0.5*(vit_z+H799)*pas</f>
        <v>-7.63571496091958</v>
      </c>
      <c r="L800" s="418" t="n">
        <f aca="false">SQRT(pos_x^2+pos_z^2)</f>
        <v>211.928753989126</v>
      </c>
      <c r="M800" s="419" t="n">
        <f aca="false">IF(AND(L799&gt;L_rampe,G800&gt;0),ATAN2(G800,H800),$M$4)</f>
        <v>-1.42754772022471</v>
      </c>
      <c r="N800" s="418" t="n">
        <f aca="false">DEGREES(Beta)</f>
        <v>-81.7924594223981</v>
      </c>
      <c r="O800" s="402"/>
      <c r="P800" s="421" t="n">
        <f aca="false">MATCH(t-pas/2-T_ini,CdP_t)</f>
        <v>23</v>
      </c>
      <c r="Q800" s="418" t="n">
        <f aca="false">(INDEX(CdP,2,i_P+1)-INDEX(CdP,2,i_P+0))/(INDEX(CdP,1,i_P+1)-INDEX(CdP,1,i_P+0))*(t-pas/2-T_ini-INDEX(CdP,1,i_P+0))+INDEX(CdP,2,i_P+0)</f>
        <v>0</v>
      </c>
      <c r="R800" s="419" t="n">
        <f aca="false">Poussee/(g*ISP)</f>
        <v>0</v>
      </c>
      <c r="S800" s="420" t="n">
        <f aca="false">S799-Débit*pas</f>
        <v>1.4843</v>
      </c>
      <c r="T800" s="418" t="n">
        <f aca="false">m*g</f>
        <v>14.560983</v>
      </c>
      <c r="U800" s="422" t="n">
        <f aca="false">IF(pos_xz&lt;L_rampe,Poids*COS(Beta),0)</f>
        <v>0</v>
      </c>
      <c r="V800" s="419" t="n">
        <f aca="false">Rho_moyen*(20000-Alt_rampe-pos_z)/(20000+Alt_rampe+pos_z)</f>
        <v>1.22593573233198</v>
      </c>
      <c r="W800" s="418" t="n">
        <f aca="false">1/2*Rho*Sref*Cx*vit_xz^2</f>
        <v>5.58507967374214</v>
      </c>
      <c r="X800" s="402"/>
      <c r="Y800" s="423" t="str">
        <f aca="false">IF(AND(pos_z&lt;=0,K799&gt;0),"Impact balistique","") &amp; IF(AND(H801&lt;0,vit_z&gt;=0),"Apogée","") &amp; IF(AND(Poussee=0,Q799&gt;0),"Fin de propulsion","") &amp; IF(AND(L801&gt;L_rampe,pos_xz&lt;=L_rampe),"Sortie de rampe","")</f>
        <v/>
      </c>
      <c r="Z800" s="424" t="str">
        <f aca="false">IF(ABS(t-T_para)&lt;pas/2,"Para","")</f>
        <v/>
      </c>
      <c r="AA800" s="425" t="str">
        <f aca="false">IF(ABS(t-T_satellite)&lt;pas/2,"Satellite","")</f>
        <v/>
      </c>
      <c r="AB800" s="413"/>
      <c r="AC800" s="421" t="e">
        <f aca="false">IF(ABS(t-ROUND(t,0))&lt;0.001,t,NA())</f>
        <v>#N/A</v>
      </c>
      <c r="AD800" s="426" t="e">
        <f aca="false">IF(ABS(t-ROUND(t,0))&lt;0.001,pos_x,NA())</f>
        <v>#N/A</v>
      </c>
      <c r="AE800" s="427" t="e">
        <f aca="false">IF(t&lt;T_para, pos_z, NA())</f>
        <v>#N/A</v>
      </c>
      <c r="AF800" s="413"/>
      <c r="AG800" s="419" t="n">
        <f aca="false">IF(AND(L799&lt;L_rampe,Poussee&lt;Poids*SIN(M799)),0,(-W799+Poussee)/m-Poids*SIN(M799)/m)</f>
        <v>5.94681268744455</v>
      </c>
      <c r="AH800" s="418" t="n">
        <f aca="false">IF(AND(L799&lt;L_rampe,Poussee&lt;Poids*SIN(M799)), g*SIN(M799), (-W799+Poussee)/m)</f>
        <v>-3.76270518098041</v>
      </c>
    </row>
    <row r="801" customFormat="false" ht="12" hidden="false" customHeight="false" outlineLevel="0" collapsed="false">
      <c r="A801" s="417" t="n">
        <f aca="false">IF(B800+0.01&lt;=T_ini+ROUNDUP(Temps_fin_propu,0), 0.01, IF(K800&gt;0, 0.1, 0.0001))</f>
        <v>0.0001</v>
      </c>
      <c r="B801" s="418" t="n">
        <f aca="false">B800+pas</f>
        <v>16.5451999999999</v>
      </c>
      <c r="C801" s="402"/>
      <c r="D801" s="419" t="n">
        <f aca="false">IF(AND(L800&lt;L_rampe,Poussee&lt;Poids*SIN(M800)),0,(-W800+Poussee)/m*COS(M800)-U800/m*SIN(M800))</f>
        <v>-0.537170031249652</v>
      </c>
      <c r="E801" s="420" t="n">
        <f aca="false">IF(AND(L800&lt;L_rampe,Poussee&lt;Poids*SIN(M800)),0,(-W800+Poussee)/m*SIN(M800)+U800/m*COS(M800)-Poids/m)</f>
        <v>-6.08577024667581</v>
      </c>
      <c r="F801" s="418" t="n">
        <f aca="false">SQRT(acc_x^2+acc_z^2)</f>
        <v>6.10943132687465</v>
      </c>
      <c r="G801" s="419" t="n">
        <f aca="false">G800+acc_x*pas</f>
        <v>10.2629751812149</v>
      </c>
      <c r="H801" s="420" t="n">
        <f aca="false">H800+acc_z*pas</f>
        <v>-71.1547596994384</v>
      </c>
      <c r="I801" s="418" t="n">
        <f aca="false">SQRT(vit_x^2+vit_z^2)</f>
        <v>71.8910876775073</v>
      </c>
      <c r="J801" s="419" t="n">
        <f aca="false">J800+0.5*(vit_x+G800)*pas*(K800&gt;=0)</f>
        <v>211.791153319536</v>
      </c>
      <c r="K801" s="420" t="n">
        <f aca="false">K800+0.5*(vit_z+H800)*pas</f>
        <v>-7.64283040646067</v>
      </c>
      <c r="L801" s="418" t="n">
        <f aca="false">SQRT(pos_x^2+pos_z^2)</f>
        <v>211.929010475303</v>
      </c>
      <c r="M801" s="419" t="n">
        <f aca="false">IF(AND(L800&gt;L_rampe,G801&gt;0),ATAN2(G801,H801),$M$4)</f>
        <v>-1.42754966826548</v>
      </c>
      <c r="N801" s="418" t="n">
        <f aca="false">DEGREES(Beta)</f>
        <v>-81.7925710369128</v>
      </c>
      <c r="O801" s="402"/>
      <c r="P801" s="421" t="n">
        <f aca="false">MATCH(t-pas/2-T_ini,CdP_t)</f>
        <v>23</v>
      </c>
      <c r="Q801" s="418" t="n">
        <f aca="false">(INDEX(CdP,2,i_P+1)-INDEX(CdP,2,i_P+0))/(INDEX(CdP,1,i_P+1)-INDEX(CdP,1,i_P+0))*(t-pas/2-T_ini-INDEX(CdP,1,i_P+0))+INDEX(CdP,2,i_P+0)</f>
        <v>0</v>
      </c>
      <c r="R801" s="419" t="n">
        <f aca="false">Poussee/(g*ISP)</f>
        <v>0</v>
      </c>
      <c r="S801" s="420" t="n">
        <f aca="false">S800-Débit*pas</f>
        <v>1.4843</v>
      </c>
      <c r="T801" s="418" t="n">
        <f aca="false">m*g</f>
        <v>14.560983</v>
      </c>
      <c r="U801" s="422" t="n">
        <f aca="false">IF(pos_xz&lt;L_rampe,Poids*COS(Beta),0)</f>
        <v>0</v>
      </c>
      <c r="V801" s="419" t="n">
        <f aca="false">Rho_moyen*(20000-Alt_rampe-pos_z)/(20000+Alt_rampe+pos_z)</f>
        <v>1.22593660464031</v>
      </c>
      <c r="W801" s="418" t="n">
        <f aca="false">1/2*Rho*Sref*Cx*vit_xz^2</f>
        <v>5.58517604732125</v>
      </c>
      <c r="X801" s="402"/>
      <c r="Y801" s="423" t="str">
        <f aca="false">IF(AND(pos_z&lt;=0,K800&gt;0),"Impact balistique","") &amp; IF(AND(H802&lt;0,vit_z&gt;=0),"Apogée","") &amp; IF(AND(Poussee=0,Q800&gt;0),"Fin de propulsion","") &amp; IF(AND(L802&gt;L_rampe,pos_xz&lt;=L_rampe),"Sortie de rampe","")</f>
        <v/>
      </c>
      <c r="Z801" s="424" t="str">
        <f aca="false">IF(ABS(t-T_para)&lt;pas/2,"Para","")</f>
        <v/>
      </c>
      <c r="AA801" s="425" t="str">
        <f aca="false">IF(ABS(t-T_satellite)&lt;pas/2,"Satellite","")</f>
        <v/>
      </c>
      <c r="AB801" s="413"/>
      <c r="AC801" s="421" t="e">
        <f aca="false">IF(ABS(t-ROUND(t,0))&lt;0.001,t,NA())</f>
        <v>#N/A</v>
      </c>
      <c r="AD801" s="426" t="e">
        <f aca="false">IF(ABS(t-ROUND(t,0))&lt;0.001,pos_x,NA())</f>
        <v>#N/A</v>
      </c>
      <c r="AE801" s="427" t="e">
        <f aca="false">IF(t&lt;T_para, pos_z, NA())</f>
        <v>#N/A</v>
      </c>
      <c r="AF801" s="413"/>
      <c r="AG801" s="419" t="n">
        <f aca="false">IF(AND(L800&lt;L_rampe,Poussee&lt;Poids*SIN(M800)),0,(-W800+Poussee)/m-Poids*SIN(M800)/m)</f>
        <v>5.94675048702862</v>
      </c>
      <c r="AH801" s="418" t="n">
        <f aca="false">IF(AND(L800&lt;L_rampe,Poussee&lt;Poids*SIN(M800)), g*SIN(M800), (-W800+Poussee)/m)</f>
        <v>-3.76277010964235</v>
      </c>
    </row>
    <row r="802" customFormat="false" ht="12" hidden="false" customHeight="false" outlineLevel="0" collapsed="false">
      <c r="A802" s="417" t="n">
        <f aca="false">IF(B801+0.01&lt;=T_ini+ROUNDUP(Temps_fin_propu,0), 0.01, IF(K801&gt;0, 0.1, 0.0001))</f>
        <v>0.0001</v>
      </c>
      <c r="B802" s="418" t="n">
        <f aca="false">B801+pas</f>
        <v>16.5452999999999</v>
      </c>
      <c r="C802" s="402"/>
      <c r="D802" s="419" t="n">
        <f aca="false">IF(AND(L801&lt;L_rampe,Poussee&lt;Poids*SIN(M801)),0,(-W801+Poussee)/m*COS(M801)-U801/m*SIN(M801))</f>
        <v>-0.537172045332279</v>
      </c>
      <c r="E802" s="420" t="n">
        <f aca="false">IF(AND(L801&lt;L_rampe,Poussee&lt;Poids*SIN(M801)),0,(-W801+Poussee)/m*SIN(M801)+U801/m*COS(M801)-Poids/m)</f>
        <v>-6.08570493663129</v>
      </c>
      <c r="F802" s="418" t="n">
        <f aca="false">SQRT(acc_x^2+acc_z^2)</f>
        <v>6.1093664468605</v>
      </c>
      <c r="G802" s="419" t="n">
        <f aca="false">G801+acc_x*pas</f>
        <v>10.2629214640103</v>
      </c>
      <c r="H802" s="420" t="n">
        <f aca="false">H801+acc_z*pas</f>
        <v>-71.155368269932</v>
      </c>
      <c r="I802" s="418" t="n">
        <f aca="false">SQRT(vit_x^2+vit_z^2)</f>
        <v>71.8916823464724</v>
      </c>
      <c r="J802" s="419" t="n">
        <f aca="false">J801+0.5*(vit_x+G801)*pas*(K801&gt;=0)</f>
        <v>211.791153319536</v>
      </c>
      <c r="K802" s="420" t="n">
        <f aca="false">K801+0.5*(vit_z+H801)*pas</f>
        <v>-7.64994591285914</v>
      </c>
      <c r="L802" s="418" t="n">
        <f aca="false">SQRT(pos_x^2+pos_z^2)</f>
        <v>211.929267202265</v>
      </c>
      <c r="M802" s="419" t="n">
        <f aca="false">IF(AND(L801&gt;L_rampe,G802&gt;0),ATAN2(G802,H802),$M$4)</f>
        <v>-1.42755161626383</v>
      </c>
      <c r="N802" s="418" t="n">
        <f aca="false">DEGREES(Beta)</f>
        <v>-81.7926826489968</v>
      </c>
      <c r="O802" s="402"/>
      <c r="P802" s="421" t="n">
        <f aca="false">MATCH(t-pas/2-T_ini,CdP_t)</f>
        <v>23</v>
      </c>
      <c r="Q802" s="418" t="n">
        <f aca="false">(INDEX(CdP,2,i_P+1)-INDEX(CdP,2,i_P+0))/(INDEX(CdP,1,i_P+1)-INDEX(CdP,1,i_P+0))*(t-pas/2-T_ini-INDEX(CdP,1,i_P+0))+INDEX(CdP,2,i_P+0)</f>
        <v>0</v>
      </c>
      <c r="R802" s="419" t="n">
        <f aca="false">Poussee/(g*ISP)</f>
        <v>0</v>
      </c>
      <c r="S802" s="420" t="n">
        <f aca="false">S801-Débit*pas</f>
        <v>1.4843</v>
      </c>
      <c r="T802" s="418" t="n">
        <f aca="false">m*g</f>
        <v>14.560983</v>
      </c>
      <c r="U802" s="422" t="n">
        <f aca="false">IF(pos_xz&lt;L_rampe,Poids*COS(Beta),0)</f>
        <v>0</v>
      </c>
      <c r="V802" s="419" t="n">
        <f aca="false">Rho_moyen*(20000-Alt_rampe-pos_z)/(20000+Alt_rampe+pos_z)</f>
        <v>1.22593747695673</v>
      </c>
      <c r="W802" s="418" t="n">
        <f aca="false">1/2*Rho*Sref*Cx*vit_xz^2</f>
        <v>5.58527242086652</v>
      </c>
      <c r="X802" s="402"/>
      <c r="Y802" s="423" t="str">
        <f aca="false">IF(AND(pos_z&lt;=0,K801&gt;0),"Impact balistique","") &amp; IF(AND(H803&lt;0,vit_z&gt;=0),"Apogée","") &amp; IF(AND(Poussee=0,Q801&gt;0),"Fin de propulsion","") &amp; IF(AND(L803&gt;L_rampe,pos_xz&lt;=L_rampe),"Sortie de rampe","")</f>
        <v/>
      </c>
      <c r="Z802" s="424" t="str">
        <f aca="false">IF(ABS(t-T_para)&lt;pas/2,"Para","")</f>
        <v/>
      </c>
      <c r="AA802" s="425" t="str">
        <f aca="false">IF(ABS(t-T_satellite)&lt;pas/2,"Satellite","")</f>
        <v/>
      </c>
      <c r="AB802" s="413"/>
      <c r="AC802" s="421" t="e">
        <f aca="false">IF(ABS(t-ROUND(t,0))&lt;0.001,t,NA())</f>
        <v>#N/A</v>
      </c>
      <c r="AD802" s="426" t="e">
        <f aca="false">IF(ABS(t-ROUND(t,0))&lt;0.001,pos_x,NA())</f>
        <v>#N/A</v>
      </c>
      <c r="AE802" s="427" t="e">
        <f aca="false">IF(t&lt;T_para, pos_z, NA())</f>
        <v>#N/A</v>
      </c>
      <c r="AF802" s="413"/>
      <c r="AG802" s="419" t="n">
        <f aca="false">IF(AND(L801&lt;L_rampe,Poussee&lt;Poids*SIN(M801)),0,(-W801+Poussee)/m-Poids*SIN(M801)/m)</f>
        <v>5.94668828653922</v>
      </c>
      <c r="AH802" s="418" t="n">
        <f aca="false">IF(AND(L801&lt;L_rampe,Poussee&lt;Poids*SIN(M801)), g*SIN(M801), (-W801+Poussee)/m)</f>
        <v>-3.76283503828151</v>
      </c>
    </row>
    <row r="803" customFormat="false" ht="12" hidden="false" customHeight="false" outlineLevel="0" collapsed="false">
      <c r="A803" s="417" t="n">
        <f aca="false">IF(B802+0.01&lt;=T_ini+ROUNDUP(Temps_fin_propu,0), 0.01, IF(K802&gt;0, 0.1, 0.0001))</f>
        <v>0.0001</v>
      </c>
      <c r="B803" s="418" t="n">
        <f aca="false">B802+pas</f>
        <v>16.5453999999999</v>
      </c>
      <c r="C803" s="402"/>
      <c r="D803" s="419" t="n">
        <f aca="false">IF(AND(L802&lt;L_rampe,Poussee&lt;Poids*SIN(M802)),0,(-W802+Poussee)/m*COS(M802)-U802/m*SIN(M802))</f>
        <v>-0.537174059317238</v>
      </c>
      <c r="E803" s="420" t="n">
        <f aca="false">IF(AND(L802&lt;L_rampe,Poussee&lt;Poids*SIN(M802)),0,(-W802+Poussee)/m*SIN(M802)+U802/m*COS(M802)-Poids/m)</f>
        <v>-6.08563962661013</v>
      </c>
      <c r="F803" s="418" t="n">
        <f aca="false">SQRT(acc_x^2+acc_z^2)</f>
        <v>6.10930156687087</v>
      </c>
      <c r="G803" s="419" t="n">
        <f aca="false">G802+acc_x*pas</f>
        <v>10.2628677466044</v>
      </c>
      <c r="H803" s="420" t="n">
        <f aca="false">H802+acc_z*pas</f>
        <v>-71.1559768338947</v>
      </c>
      <c r="I803" s="418" t="n">
        <f aca="false">SQRT(vit_x^2+vit_z^2)</f>
        <v>71.8922770092174</v>
      </c>
      <c r="J803" s="419" t="n">
        <f aca="false">J802+0.5*(vit_x+G802)*pas*(K802&gt;=0)</f>
        <v>211.791153319536</v>
      </c>
      <c r="K803" s="420" t="n">
        <f aca="false">K802+0.5*(vit_z+H802)*pas</f>
        <v>-7.65706148011433</v>
      </c>
      <c r="L803" s="418" t="n">
        <f aca="false">SQRT(pos_x^2+pos_z^2)</f>
        <v>211.929524170016</v>
      </c>
      <c r="M803" s="419" t="n">
        <f aca="false">IF(AND(L802&gt;L_rampe,G803&gt;0),ATAN2(G803,H803),$M$4)</f>
        <v>-1.42755356421976</v>
      </c>
      <c r="N803" s="418" t="n">
        <f aca="false">DEGREES(Beta)</f>
        <v>-81.7927942586502</v>
      </c>
      <c r="O803" s="402"/>
      <c r="P803" s="421" t="n">
        <f aca="false">MATCH(t-pas/2-T_ini,CdP_t)</f>
        <v>23</v>
      </c>
      <c r="Q803" s="418" t="n">
        <f aca="false">(INDEX(CdP,2,i_P+1)-INDEX(CdP,2,i_P+0))/(INDEX(CdP,1,i_P+1)-INDEX(CdP,1,i_P+0))*(t-pas/2-T_ini-INDEX(CdP,1,i_P+0))+INDEX(CdP,2,i_P+0)</f>
        <v>0</v>
      </c>
      <c r="R803" s="419" t="n">
        <f aca="false">Poussee/(g*ISP)</f>
        <v>0</v>
      </c>
      <c r="S803" s="420" t="n">
        <f aca="false">S802-Débit*pas</f>
        <v>1.4843</v>
      </c>
      <c r="T803" s="418" t="n">
        <f aca="false">m*g</f>
        <v>14.560983</v>
      </c>
      <c r="U803" s="422" t="n">
        <f aca="false">IF(pos_xz&lt;L_rampe,Poids*COS(Beta),0)</f>
        <v>0</v>
      </c>
      <c r="V803" s="419" t="n">
        <f aca="false">Rho_moyen*(20000-Alt_rampe-pos_z)/(20000+Alt_rampe+pos_z)</f>
        <v>1.22593834928122</v>
      </c>
      <c r="W803" s="418" t="n">
        <f aca="false">1/2*Rho*Sref*Cx*vit_xz^2</f>
        <v>5.58536879437793</v>
      </c>
      <c r="X803" s="402"/>
      <c r="Y803" s="423" t="str">
        <f aca="false">IF(AND(pos_z&lt;=0,K802&gt;0),"Impact balistique","") &amp; IF(AND(H804&lt;0,vit_z&gt;=0),"Apogée","") &amp; IF(AND(Poussee=0,Q802&gt;0),"Fin de propulsion","") &amp; IF(AND(L804&gt;L_rampe,pos_xz&lt;=L_rampe),"Sortie de rampe","")</f>
        <v/>
      </c>
      <c r="Z803" s="424" t="str">
        <f aca="false">IF(ABS(t-T_para)&lt;pas/2,"Para","")</f>
        <v/>
      </c>
      <c r="AA803" s="425" t="str">
        <f aca="false">IF(ABS(t-T_satellite)&lt;pas/2,"Satellite","")</f>
        <v/>
      </c>
      <c r="AB803" s="413"/>
      <c r="AC803" s="421" t="e">
        <f aca="false">IF(ABS(t-ROUND(t,0))&lt;0.001,t,NA())</f>
        <v>#N/A</v>
      </c>
      <c r="AD803" s="426" t="e">
        <f aca="false">IF(ABS(t-ROUND(t,0))&lt;0.001,pos_x,NA())</f>
        <v>#N/A</v>
      </c>
      <c r="AE803" s="427" t="e">
        <f aca="false">IF(t&lt;T_para, pos_z, NA())</f>
        <v>#N/A</v>
      </c>
      <c r="AF803" s="413"/>
      <c r="AG803" s="419" t="n">
        <f aca="false">IF(AND(L802&lt;L_rampe,Poussee&lt;Poids*SIN(M802)),0,(-W802+Poussee)/m-Poids*SIN(M802)/m)</f>
        <v>5.94662608597636</v>
      </c>
      <c r="AH803" s="418" t="n">
        <f aca="false">IF(AND(L802&lt;L_rampe,Poussee&lt;Poids*SIN(M802)), g*SIN(M802), (-W802+Poussee)/m)</f>
        <v>-3.76289996689788</v>
      </c>
    </row>
    <row r="804" customFormat="false" ht="12" hidden="false" customHeight="false" outlineLevel="0" collapsed="false">
      <c r="A804" s="417" t="n">
        <f aca="false">IF(B803+0.01&lt;=T_ini+ROUNDUP(Temps_fin_propu,0), 0.01, IF(K803&gt;0, 0.1, 0.0001))</f>
        <v>0.0001</v>
      </c>
      <c r="B804" s="418" t="n">
        <f aca="false">B803+pas</f>
        <v>16.5454999999999</v>
      </c>
      <c r="C804" s="402"/>
      <c r="D804" s="419" t="n">
        <f aca="false">IF(AND(L803&lt;L_rampe,Poussee&lt;Poids*SIN(M803)),0,(-W803+Poussee)/m*COS(M803)-U803/m*SIN(M803))</f>
        <v>-0.537176073204528</v>
      </c>
      <c r="E804" s="420" t="n">
        <f aca="false">IF(AND(L803&lt;L_rampe,Poussee&lt;Poids*SIN(M803)),0,(-W803+Poussee)/m*SIN(M803)+U803/m*COS(M803)-Poids/m)</f>
        <v>-6.08557431661237</v>
      </c>
      <c r="F804" s="418" t="n">
        <f aca="false">SQRT(acc_x^2+acc_z^2)</f>
        <v>6.10923668690578</v>
      </c>
      <c r="G804" s="419" t="n">
        <f aca="false">G803+acc_x*pas</f>
        <v>10.2628140289971</v>
      </c>
      <c r="H804" s="420" t="n">
        <f aca="false">H803+acc_z*pas</f>
        <v>-71.1565853913264</v>
      </c>
      <c r="I804" s="418" t="n">
        <f aca="false">SQRT(vit_x^2+vit_z^2)</f>
        <v>71.8928716657423</v>
      </c>
      <c r="J804" s="419" t="n">
        <f aca="false">J803+0.5*(vit_x+G803)*pas*(K803&gt;=0)</f>
        <v>211.791153319536</v>
      </c>
      <c r="K804" s="420" t="n">
        <f aca="false">K803+0.5*(vit_z+H803)*pas</f>
        <v>-7.66417710822559</v>
      </c>
      <c r="L804" s="418" t="n">
        <f aca="false">SQRT(pos_x^2+pos_z^2)</f>
        <v>211.929781378563</v>
      </c>
      <c r="M804" s="419" t="n">
        <f aca="false">IF(AND(L803&gt;L_rampe,G804&gt;0),ATAN2(G804,H804),$M$4)</f>
        <v>-1.42755551213327</v>
      </c>
      <c r="N804" s="418" t="n">
        <f aca="false">DEGREES(Beta)</f>
        <v>-81.7929058658731</v>
      </c>
      <c r="O804" s="402"/>
      <c r="P804" s="421" t="n">
        <f aca="false">MATCH(t-pas/2-T_ini,CdP_t)</f>
        <v>23</v>
      </c>
      <c r="Q804" s="418" t="n">
        <f aca="false">(INDEX(CdP,2,i_P+1)-INDEX(CdP,2,i_P+0))/(INDEX(CdP,1,i_P+1)-INDEX(CdP,1,i_P+0))*(t-pas/2-T_ini-INDEX(CdP,1,i_P+0))+INDEX(CdP,2,i_P+0)</f>
        <v>0</v>
      </c>
      <c r="R804" s="419" t="n">
        <f aca="false">Poussee/(g*ISP)</f>
        <v>0</v>
      </c>
      <c r="S804" s="420" t="n">
        <f aca="false">S803-Débit*pas</f>
        <v>1.4843</v>
      </c>
      <c r="T804" s="418" t="n">
        <f aca="false">m*g</f>
        <v>14.560983</v>
      </c>
      <c r="U804" s="422" t="n">
        <f aca="false">IF(pos_xz&lt;L_rampe,Poids*COS(Beta),0)</f>
        <v>0</v>
      </c>
      <c r="V804" s="419" t="n">
        <f aca="false">Rho_moyen*(20000-Alt_rampe-pos_z)/(20000+Alt_rampe+pos_z)</f>
        <v>1.2259392216138</v>
      </c>
      <c r="W804" s="418" t="n">
        <f aca="false">1/2*Rho*Sref*Cx*vit_xz^2</f>
        <v>5.58546516785545</v>
      </c>
      <c r="X804" s="402"/>
      <c r="Y804" s="423" t="str">
        <f aca="false">IF(AND(pos_z&lt;=0,K803&gt;0),"Impact balistique","") &amp; IF(AND(H805&lt;0,vit_z&gt;=0),"Apogée","") &amp; IF(AND(Poussee=0,Q803&gt;0),"Fin de propulsion","") &amp; IF(AND(L805&gt;L_rampe,pos_xz&lt;=L_rampe),"Sortie de rampe","")</f>
        <v/>
      </c>
      <c r="Z804" s="424" t="str">
        <f aca="false">IF(ABS(t-T_para)&lt;pas/2,"Para","")</f>
        <v/>
      </c>
      <c r="AA804" s="425" t="str">
        <f aca="false">IF(ABS(t-T_satellite)&lt;pas/2,"Satellite","")</f>
        <v/>
      </c>
      <c r="AB804" s="413"/>
      <c r="AC804" s="421" t="e">
        <f aca="false">IF(ABS(t-ROUND(t,0))&lt;0.001,t,NA())</f>
        <v>#N/A</v>
      </c>
      <c r="AD804" s="426" t="e">
        <f aca="false">IF(ABS(t-ROUND(t,0))&lt;0.001,pos_x,NA())</f>
        <v>#N/A</v>
      </c>
      <c r="AE804" s="427" t="e">
        <f aca="false">IF(t&lt;T_para, pos_z, NA())</f>
        <v>#N/A</v>
      </c>
      <c r="AF804" s="413"/>
      <c r="AG804" s="419" t="n">
        <f aca="false">IF(AND(L803&lt;L_rampe,Poussee&lt;Poids*SIN(M803)),0,(-W803+Poussee)/m-Poids*SIN(M803)/m)</f>
        <v>5.94656388534006</v>
      </c>
      <c r="AH804" s="418" t="n">
        <f aca="false">IF(AND(L803&lt;L_rampe,Poussee&lt;Poids*SIN(M803)), g*SIN(M803), (-W803+Poussee)/m)</f>
        <v>-3.76296489549143</v>
      </c>
    </row>
    <row r="805" customFormat="false" ht="12" hidden="false" customHeight="false" outlineLevel="0" collapsed="false">
      <c r="A805" s="417" t="n">
        <f aca="false">IF(B804+0.01&lt;=T_ini+ROUNDUP(Temps_fin_propu,0), 0.01, IF(K804&gt;0, 0.1, 0.0001))</f>
        <v>0.0001</v>
      </c>
      <c r="B805" s="418" t="n">
        <f aca="false">B804+pas</f>
        <v>16.5455999999999</v>
      </c>
      <c r="C805" s="402"/>
      <c r="D805" s="419" t="n">
        <f aca="false">IF(AND(L804&lt;L_rampe,Poussee&lt;Poids*SIN(M804)),0,(-W804+Poussee)/m*COS(M804)-U804/m*SIN(M804))</f>
        <v>-0.537178086994152</v>
      </c>
      <c r="E805" s="420" t="n">
        <f aca="false">IF(AND(L804&lt;L_rampe,Poussee&lt;Poids*SIN(M804)),0,(-W804+Poussee)/m*SIN(M804)+U804/m*COS(M804)-Poids/m)</f>
        <v>-6.08550900663801</v>
      </c>
      <c r="F805" s="418" t="n">
        <f aca="false">SQRT(acc_x^2+acc_z^2)</f>
        <v>6.10917180696525</v>
      </c>
      <c r="G805" s="419" t="n">
        <f aca="false">G804+acc_x*pas</f>
        <v>10.2627603111884</v>
      </c>
      <c r="H805" s="420" t="n">
        <f aca="false">H804+acc_z*pas</f>
        <v>-71.157193942227</v>
      </c>
      <c r="I805" s="418" t="n">
        <f aca="false">SQRT(vit_x^2+vit_z^2)</f>
        <v>71.8934663160472</v>
      </c>
      <c r="J805" s="419" t="n">
        <f aca="false">J804+0.5*(vit_x+G804)*pas*(K804&gt;=0)</f>
        <v>211.791153319536</v>
      </c>
      <c r="K805" s="420" t="n">
        <f aca="false">K804+0.5*(vit_z+H804)*pas</f>
        <v>-7.67129279719227</v>
      </c>
      <c r="L805" s="418" t="n">
        <f aca="false">SQRT(pos_x^2+pos_z^2)</f>
        <v>211.93003882791</v>
      </c>
      <c r="M805" s="419" t="n">
        <f aca="false">IF(AND(L804&gt;L_rampe,G805&gt;0),ATAN2(G805,H805),$M$4)</f>
        <v>-1.42755746000436</v>
      </c>
      <c r="N805" s="418" t="n">
        <f aca="false">DEGREES(Beta)</f>
        <v>-81.7930174706656</v>
      </c>
      <c r="O805" s="402"/>
      <c r="P805" s="421" t="n">
        <f aca="false">MATCH(t-pas/2-T_ini,CdP_t)</f>
        <v>23</v>
      </c>
      <c r="Q805" s="418" t="n">
        <f aca="false">(INDEX(CdP,2,i_P+1)-INDEX(CdP,2,i_P+0))/(INDEX(CdP,1,i_P+1)-INDEX(CdP,1,i_P+0))*(t-pas/2-T_ini-INDEX(CdP,1,i_P+0))+INDEX(CdP,2,i_P+0)</f>
        <v>0</v>
      </c>
      <c r="R805" s="419" t="n">
        <f aca="false">Poussee/(g*ISP)</f>
        <v>0</v>
      </c>
      <c r="S805" s="420" t="n">
        <f aca="false">S804-Débit*pas</f>
        <v>1.4843</v>
      </c>
      <c r="T805" s="418" t="n">
        <f aca="false">m*g</f>
        <v>14.560983</v>
      </c>
      <c r="U805" s="422" t="n">
        <f aca="false">IF(pos_xz&lt;L_rampe,Poids*COS(Beta),0)</f>
        <v>0</v>
      </c>
      <c r="V805" s="419" t="n">
        <f aca="false">Rho_moyen*(20000-Alt_rampe-pos_z)/(20000+Alt_rampe+pos_z)</f>
        <v>1.22594009395446</v>
      </c>
      <c r="W805" s="418" t="n">
        <f aca="false">1/2*Rho*Sref*Cx*vit_xz^2</f>
        <v>5.58556154129907</v>
      </c>
      <c r="X805" s="402"/>
      <c r="Y805" s="423" t="str">
        <f aca="false">IF(AND(pos_z&lt;=0,K804&gt;0),"Impact balistique","") &amp; IF(AND(H806&lt;0,vit_z&gt;=0),"Apogée","") &amp; IF(AND(Poussee=0,Q804&gt;0),"Fin de propulsion","") &amp; IF(AND(L806&gt;L_rampe,pos_xz&lt;=L_rampe),"Sortie de rampe","")</f>
        <v/>
      </c>
      <c r="Z805" s="424" t="str">
        <f aca="false">IF(ABS(t-T_para)&lt;pas/2,"Para","")</f>
        <v/>
      </c>
      <c r="AA805" s="425" t="str">
        <f aca="false">IF(ABS(t-T_satellite)&lt;pas/2,"Satellite","")</f>
        <v/>
      </c>
      <c r="AB805" s="413"/>
      <c r="AC805" s="421" t="e">
        <f aca="false">IF(ABS(t-ROUND(t,0))&lt;0.001,t,NA())</f>
        <v>#N/A</v>
      </c>
      <c r="AD805" s="426" t="e">
        <f aca="false">IF(ABS(t-ROUND(t,0))&lt;0.001,pos_x,NA())</f>
        <v>#N/A</v>
      </c>
      <c r="AE805" s="427" t="e">
        <f aca="false">IF(t&lt;T_para, pos_z, NA())</f>
        <v>#N/A</v>
      </c>
      <c r="AF805" s="413"/>
      <c r="AG805" s="419" t="n">
        <f aca="false">IF(AND(L804&lt;L_rampe,Poussee&lt;Poids*SIN(M804)),0,(-W804+Poussee)/m-Poids*SIN(M804)/m)</f>
        <v>5.94650168463035</v>
      </c>
      <c r="AH805" s="418" t="n">
        <f aca="false">IF(AND(L804&lt;L_rampe,Poussee&lt;Poids*SIN(M804)), g*SIN(M804), (-W804+Poussee)/m)</f>
        <v>-3.76302982406216</v>
      </c>
    </row>
    <row r="806" customFormat="false" ht="12" hidden="false" customHeight="false" outlineLevel="0" collapsed="false">
      <c r="A806" s="417" t="n">
        <f aca="false">IF(B805+0.01&lt;=T_ini+ROUNDUP(Temps_fin_propu,0), 0.01, IF(K805&gt;0, 0.1, 0.0001))</f>
        <v>0.0001</v>
      </c>
      <c r="B806" s="418" t="n">
        <f aca="false">B805+pas</f>
        <v>16.5456999999999</v>
      </c>
      <c r="C806" s="402"/>
      <c r="D806" s="419" t="n">
        <f aca="false">IF(AND(L805&lt;L_rampe,Poussee&lt;Poids*SIN(M805)),0,(-W805+Poussee)/m*COS(M805)-U805/m*SIN(M805))</f>
        <v>-0.537180100686107</v>
      </c>
      <c r="E806" s="420" t="n">
        <f aca="false">IF(AND(L805&lt;L_rampe,Poussee&lt;Poids*SIN(M805)),0,(-W805+Poussee)/m*SIN(M805)+U805/m*COS(M805)-Poids/m)</f>
        <v>-6.08544369668708</v>
      </c>
      <c r="F806" s="418" t="n">
        <f aca="false">SQRT(acc_x^2+acc_z^2)</f>
        <v>6.10910692704929</v>
      </c>
      <c r="G806" s="419" t="n">
        <f aca="false">G805+acc_x*pas</f>
        <v>10.2627065931783</v>
      </c>
      <c r="H806" s="420" t="n">
        <f aca="false">H805+acc_z*pas</f>
        <v>-71.1578024865967</v>
      </c>
      <c r="I806" s="418" t="n">
        <f aca="false">SQRT(vit_x^2+vit_z^2)</f>
        <v>71.894060960132</v>
      </c>
      <c r="J806" s="419" t="n">
        <f aca="false">J805+0.5*(vit_x+G805)*pas*(K805&gt;=0)</f>
        <v>211.791153319536</v>
      </c>
      <c r="K806" s="420" t="n">
        <f aca="false">K805+0.5*(vit_z+H805)*pas</f>
        <v>-7.67840854701371</v>
      </c>
      <c r="L806" s="418" t="n">
        <f aca="false">SQRT(pos_x^2+pos_z^2)</f>
        <v>211.930296518063</v>
      </c>
      <c r="M806" s="419" t="n">
        <f aca="false">IF(AND(L805&gt;L_rampe,G806&gt;0),ATAN2(G806,H806),$M$4)</f>
        <v>-1.42755940783303</v>
      </c>
      <c r="N806" s="418" t="n">
        <f aca="false">DEGREES(Beta)</f>
        <v>-81.7931290730277</v>
      </c>
      <c r="O806" s="402"/>
      <c r="P806" s="421" t="n">
        <f aca="false">MATCH(t-pas/2-T_ini,CdP_t)</f>
        <v>23</v>
      </c>
      <c r="Q806" s="418" t="n">
        <f aca="false">(INDEX(CdP,2,i_P+1)-INDEX(CdP,2,i_P+0))/(INDEX(CdP,1,i_P+1)-INDEX(CdP,1,i_P+0))*(t-pas/2-T_ini-INDEX(CdP,1,i_P+0))+INDEX(CdP,2,i_P+0)</f>
        <v>0</v>
      </c>
      <c r="R806" s="419" t="n">
        <f aca="false">Poussee/(g*ISP)</f>
        <v>0</v>
      </c>
      <c r="S806" s="420" t="n">
        <f aca="false">S805-Débit*pas</f>
        <v>1.4843</v>
      </c>
      <c r="T806" s="418" t="n">
        <f aca="false">m*g</f>
        <v>14.560983</v>
      </c>
      <c r="U806" s="422" t="n">
        <f aca="false">IF(pos_xz&lt;L_rampe,Poids*COS(Beta),0)</f>
        <v>0</v>
      </c>
      <c r="V806" s="419" t="n">
        <f aca="false">Rho_moyen*(20000-Alt_rampe-pos_z)/(20000+Alt_rampe+pos_z)</f>
        <v>1.22594096630319</v>
      </c>
      <c r="W806" s="418" t="n">
        <f aca="false">1/2*Rho*Sref*Cx*vit_xz^2</f>
        <v>5.58565791470875</v>
      </c>
      <c r="X806" s="402"/>
      <c r="Y806" s="423" t="str">
        <f aca="false">IF(AND(pos_z&lt;=0,K805&gt;0),"Impact balistique","") &amp; IF(AND(H807&lt;0,vit_z&gt;=0),"Apogée","") &amp; IF(AND(Poussee=0,Q805&gt;0),"Fin de propulsion","") &amp; IF(AND(L807&gt;L_rampe,pos_xz&lt;=L_rampe),"Sortie de rampe","")</f>
        <v/>
      </c>
      <c r="Z806" s="424" t="str">
        <f aca="false">IF(ABS(t-T_para)&lt;pas/2,"Para","")</f>
        <v/>
      </c>
      <c r="AA806" s="425" t="str">
        <f aca="false">IF(ABS(t-T_satellite)&lt;pas/2,"Satellite","")</f>
        <v/>
      </c>
      <c r="AB806" s="413"/>
      <c r="AC806" s="421" t="e">
        <f aca="false">IF(ABS(t-ROUND(t,0))&lt;0.001,t,NA())</f>
        <v>#N/A</v>
      </c>
      <c r="AD806" s="426" t="e">
        <f aca="false">IF(ABS(t-ROUND(t,0))&lt;0.001,pos_x,NA())</f>
        <v>#N/A</v>
      </c>
      <c r="AE806" s="427" t="e">
        <f aca="false">IF(t&lt;T_para, pos_z, NA())</f>
        <v>#N/A</v>
      </c>
      <c r="AF806" s="413"/>
      <c r="AG806" s="419" t="n">
        <f aca="false">IF(AND(L805&lt;L_rampe,Poussee&lt;Poids*SIN(M805)),0,(-W805+Poussee)/m-Poids*SIN(M805)/m)</f>
        <v>5.94643948384723</v>
      </c>
      <c r="AH806" s="418" t="n">
        <f aca="false">IF(AND(L805&lt;L_rampe,Poussee&lt;Poids*SIN(M805)), g*SIN(M805), (-W805+Poussee)/m)</f>
        <v>-3.76309475261003</v>
      </c>
    </row>
    <row r="807" customFormat="false" ht="12" hidden="false" customHeight="false" outlineLevel="0" collapsed="false">
      <c r="A807" s="417" t="n">
        <f aca="false">IF(B806+0.01&lt;=T_ini+ROUNDUP(Temps_fin_propu,0), 0.01, IF(K806&gt;0, 0.1, 0.0001))</f>
        <v>0.0001</v>
      </c>
      <c r="B807" s="418" t="n">
        <f aca="false">B806+pas</f>
        <v>16.5457999999999</v>
      </c>
      <c r="C807" s="402"/>
      <c r="D807" s="419" t="n">
        <f aca="false">IF(AND(L806&lt;L_rampe,Poussee&lt;Poids*SIN(M806)),0,(-W806+Poussee)/m*COS(M806)-U806/m*SIN(M806))</f>
        <v>-0.537182114280397</v>
      </c>
      <c r="E807" s="420" t="n">
        <f aca="false">IF(AND(L806&lt;L_rampe,Poussee&lt;Poids*SIN(M806)),0,(-W806+Poussee)/m*SIN(M806)+U806/m*COS(M806)-Poids/m)</f>
        <v>-6.08537838675958</v>
      </c>
      <c r="F807" s="418" t="n">
        <f aca="false">SQRT(acc_x^2+acc_z^2)</f>
        <v>6.10904204715791</v>
      </c>
      <c r="G807" s="419" t="n">
        <f aca="false">G806+acc_x*pas</f>
        <v>10.2626528749669</v>
      </c>
      <c r="H807" s="420" t="n">
        <f aca="false">H806+acc_z*pas</f>
        <v>-71.1584110244354</v>
      </c>
      <c r="I807" s="418" t="n">
        <f aca="false">SQRT(vit_x^2+vit_z^2)</f>
        <v>71.8946555979966</v>
      </c>
      <c r="J807" s="419" t="n">
        <f aca="false">J806+0.5*(vit_x+G806)*pas*(K806&gt;=0)</f>
        <v>211.791153319536</v>
      </c>
      <c r="K807" s="420" t="n">
        <f aca="false">K806+0.5*(vit_z+H806)*pas</f>
        <v>-7.68552435768926</v>
      </c>
      <c r="L807" s="418" t="n">
        <f aca="false">SQRT(pos_x^2+pos_z^2)</f>
        <v>211.930554449027</v>
      </c>
      <c r="M807" s="419" t="n">
        <f aca="false">IF(AND(L806&gt;L_rampe,G807&gt;0),ATAN2(G807,H807),$M$4)</f>
        <v>-1.42756135561929</v>
      </c>
      <c r="N807" s="418" t="n">
        <f aca="false">DEGREES(Beta)</f>
        <v>-81.7932406729596</v>
      </c>
      <c r="O807" s="402"/>
      <c r="P807" s="421" t="n">
        <f aca="false">MATCH(t-pas/2-T_ini,CdP_t)</f>
        <v>23</v>
      </c>
      <c r="Q807" s="418" t="n">
        <f aca="false">(INDEX(CdP,2,i_P+1)-INDEX(CdP,2,i_P+0))/(INDEX(CdP,1,i_P+1)-INDEX(CdP,1,i_P+0))*(t-pas/2-T_ini-INDEX(CdP,1,i_P+0))+INDEX(CdP,2,i_P+0)</f>
        <v>0</v>
      </c>
      <c r="R807" s="419" t="n">
        <f aca="false">Poussee/(g*ISP)</f>
        <v>0</v>
      </c>
      <c r="S807" s="420" t="n">
        <f aca="false">S806-Débit*pas</f>
        <v>1.4843</v>
      </c>
      <c r="T807" s="418" t="n">
        <f aca="false">m*g</f>
        <v>14.560983</v>
      </c>
      <c r="U807" s="422" t="n">
        <f aca="false">IF(pos_xz&lt;L_rampe,Poids*COS(Beta),0)</f>
        <v>0</v>
      </c>
      <c r="V807" s="419" t="n">
        <f aca="false">Rho_moyen*(20000-Alt_rampe-pos_z)/(20000+Alt_rampe+pos_z)</f>
        <v>1.22594183866002</v>
      </c>
      <c r="W807" s="418" t="n">
        <f aca="false">1/2*Rho*Sref*Cx*vit_xz^2</f>
        <v>5.58575428808447</v>
      </c>
      <c r="X807" s="402"/>
      <c r="Y807" s="423" t="str">
        <f aca="false">IF(AND(pos_z&lt;=0,K806&gt;0),"Impact balistique","") &amp; IF(AND(H808&lt;0,vit_z&gt;=0),"Apogée","") &amp; IF(AND(Poussee=0,Q806&gt;0),"Fin de propulsion","") &amp; IF(AND(L808&gt;L_rampe,pos_xz&lt;=L_rampe),"Sortie de rampe","")</f>
        <v/>
      </c>
      <c r="Z807" s="424" t="str">
        <f aca="false">IF(ABS(t-T_para)&lt;pas/2,"Para","")</f>
        <v/>
      </c>
      <c r="AA807" s="425" t="str">
        <f aca="false">IF(ABS(t-T_satellite)&lt;pas/2,"Satellite","")</f>
        <v/>
      </c>
      <c r="AB807" s="413"/>
      <c r="AC807" s="421" t="e">
        <f aca="false">IF(ABS(t-ROUND(t,0))&lt;0.001,t,NA())</f>
        <v>#N/A</v>
      </c>
      <c r="AD807" s="426" t="e">
        <f aca="false">IF(ABS(t-ROUND(t,0))&lt;0.001,pos_x,NA())</f>
        <v>#N/A</v>
      </c>
      <c r="AE807" s="427" t="e">
        <f aca="false">IF(t&lt;T_para, pos_z, NA())</f>
        <v>#N/A</v>
      </c>
      <c r="AF807" s="413"/>
      <c r="AG807" s="419" t="n">
        <f aca="false">IF(AND(L806&lt;L_rampe,Poussee&lt;Poids*SIN(M806)),0,(-W806+Poussee)/m-Poids*SIN(M806)/m)</f>
        <v>5.94637728299073</v>
      </c>
      <c r="AH807" s="418" t="n">
        <f aca="false">IF(AND(L806&lt;L_rampe,Poussee&lt;Poids*SIN(M806)), g*SIN(M806), (-W806+Poussee)/m)</f>
        <v>-3.76315968113505</v>
      </c>
    </row>
    <row r="808" customFormat="false" ht="12" hidden="false" customHeight="false" outlineLevel="0" collapsed="false">
      <c r="A808" s="417" t="n">
        <f aca="false">IF(B807+0.01&lt;=T_ini+ROUNDUP(Temps_fin_propu,0), 0.01, IF(K807&gt;0, 0.1, 0.0001))</f>
        <v>0.0001</v>
      </c>
      <c r="B808" s="418" t="n">
        <f aca="false">B807+pas</f>
        <v>16.5458999999999</v>
      </c>
      <c r="C808" s="402"/>
      <c r="D808" s="419" t="n">
        <f aca="false">IF(AND(L807&lt;L_rampe,Poussee&lt;Poids*SIN(M807)),0,(-W807+Poussee)/m*COS(M807)-U807/m*SIN(M807))</f>
        <v>-0.537184127777021</v>
      </c>
      <c r="E808" s="420" t="n">
        <f aca="false">IF(AND(L807&lt;L_rampe,Poussee&lt;Poids*SIN(M807)),0,(-W807+Poussee)/m*SIN(M807)+U807/m*COS(M807)-Poids/m)</f>
        <v>-6.08531307685554</v>
      </c>
      <c r="F808" s="418" t="n">
        <f aca="false">SQRT(acc_x^2+acc_z^2)</f>
        <v>6.10897716729115</v>
      </c>
      <c r="G808" s="419" t="n">
        <f aca="false">G807+acc_x*pas</f>
        <v>10.2625991565541</v>
      </c>
      <c r="H808" s="420" t="n">
        <f aca="false">H807+acc_z*pas</f>
        <v>-71.159019555743</v>
      </c>
      <c r="I808" s="418" t="n">
        <f aca="false">SQRT(vit_x^2+vit_z^2)</f>
        <v>71.8952502296412</v>
      </c>
      <c r="J808" s="419" t="n">
        <f aca="false">J807+0.5*(vit_x+G807)*pas*(K807&gt;=0)</f>
        <v>211.791153319536</v>
      </c>
      <c r="K808" s="420" t="n">
        <f aca="false">K807+0.5*(vit_z+H807)*pas</f>
        <v>-7.69264022921827</v>
      </c>
      <c r="L808" s="418" t="n">
        <f aca="false">SQRT(pos_x^2+pos_z^2)</f>
        <v>211.930812620807</v>
      </c>
      <c r="M808" s="419" t="n">
        <f aca="false">IF(AND(L807&gt;L_rampe,G808&gt;0),ATAN2(G808,H808),$M$4)</f>
        <v>-1.42756330336313</v>
      </c>
      <c r="N808" s="418" t="n">
        <f aca="false">DEGREES(Beta)</f>
        <v>-81.7933522704612</v>
      </c>
      <c r="O808" s="402"/>
      <c r="P808" s="421" t="n">
        <f aca="false">MATCH(t-pas/2-T_ini,CdP_t)</f>
        <v>23</v>
      </c>
      <c r="Q808" s="418" t="n">
        <f aca="false">(INDEX(CdP,2,i_P+1)-INDEX(CdP,2,i_P+0))/(INDEX(CdP,1,i_P+1)-INDEX(CdP,1,i_P+0))*(t-pas/2-T_ini-INDEX(CdP,1,i_P+0))+INDEX(CdP,2,i_P+0)</f>
        <v>0</v>
      </c>
      <c r="R808" s="419" t="n">
        <f aca="false">Poussee/(g*ISP)</f>
        <v>0</v>
      </c>
      <c r="S808" s="420" t="n">
        <f aca="false">S807-Débit*pas</f>
        <v>1.4843</v>
      </c>
      <c r="T808" s="418" t="n">
        <f aca="false">m*g</f>
        <v>14.560983</v>
      </c>
      <c r="U808" s="422" t="n">
        <f aca="false">IF(pos_xz&lt;L_rampe,Poids*COS(Beta),0)</f>
        <v>0</v>
      </c>
      <c r="V808" s="419" t="n">
        <f aca="false">Rho_moyen*(20000-Alt_rampe-pos_z)/(20000+Alt_rampe+pos_z)</f>
        <v>1.22594271102492</v>
      </c>
      <c r="W808" s="418" t="n">
        <f aca="false">1/2*Rho*Sref*Cx*vit_xz^2</f>
        <v>5.5858506614262</v>
      </c>
      <c r="X808" s="402"/>
      <c r="Y808" s="423" t="str">
        <f aca="false">IF(AND(pos_z&lt;=0,K807&gt;0),"Impact balistique","") &amp; IF(AND(H809&lt;0,vit_z&gt;=0),"Apogée","") &amp; IF(AND(Poussee=0,Q807&gt;0),"Fin de propulsion","") &amp; IF(AND(L809&gt;L_rampe,pos_xz&lt;=L_rampe),"Sortie de rampe","")</f>
        <v/>
      </c>
      <c r="Z808" s="424" t="str">
        <f aca="false">IF(ABS(t-T_para)&lt;pas/2,"Para","")</f>
        <v/>
      </c>
      <c r="AA808" s="425" t="str">
        <f aca="false">IF(ABS(t-T_satellite)&lt;pas/2,"Satellite","")</f>
        <v/>
      </c>
      <c r="AB808" s="413"/>
      <c r="AC808" s="421" t="e">
        <f aca="false">IF(ABS(t-ROUND(t,0))&lt;0.001,t,NA())</f>
        <v>#N/A</v>
      </c>
      <c r="AD808" s="426" t="e">
        <f aca="false">IF(ABS(t-ROUND(t,0))&lt;0.001,pos_x,NA())</f>
        <v>#N/A</v>
      </c>
      <c r="AE808" s="427" t="e">
        <f aca="false">IF(t&lt;T_para, pos_z, NA())</f>
        <v>#N/A</v>
      </c>
      <c r="AF808" s="413"/>
      <c r="AG808" s="419" t="n">
        <f aca="false">IF(AND(L807&lt;L_rampe,Poussee&lt;Poids*SIN(M807)),0,(-W807+Poussee)/m-Poids*SIN(M807)/m)</f>
        <v>5.94631508206088</v>
      </c>
      <c r="AH808" s="418" t="n">
        <f aca="false">IF(AND(L807&lt;L_rampe,Poussee&lt;Poids*SIN(M807)), g*SIN(M807), (-W807+Poussee)/m)</f>
        <v>-3.76322460963718</v>
      </c>
    </row>
    <row r="809" customFormat="false" ht="12" hidden="false" customHeight="false" outlineLevel="0" collapsed="false">
      <c r="A809" s="417" t="n">
        <f aca="false">IF(B808+0.01&lt;=T_ini+ROUNDUP(Temps_fin_propu,0), 0.01, IF(K808&gt;0, 0.1, 0.0001))</f>
        <v>0.0001</v>
      </c>
      <c r="B809" s="418" t="n">
        <f aca="false">B808+pas</f>
        <v>16.5459999999999</v>
      </c>
      <c r="C809" s="402"/>
      <c r="D809" s="419" t="n">
        <f aca="false">IF(AND(L808&lt;L_rampe,Poussee&lt;Poids*SIN(M808)),0,(-W808+Poussee)/m*COS(M808)-U808/m*SIN(M808))</f>
        <v>-0.53718614117598</v>
      </c>
      <c r="E809" s="420" t="n">
        <f aca="false">IF(AND(L808&lt;L_rampe,Poussee&lt;Poids*SIN(M808)),0,(-W808+Poussee)/m*SIN(M808)+U808/m*COS(M808)-Poids/m)</f>
        <v>-6.08524776697496</v>
      </c>
      <c r="F809" s="418" t="n">
        <f aca="false">SQRT(acc_x^2+acc_z^2)</f>
        <v>6.108912287449</v>
      </c>
      <c r="G809" s="419" t="n">
        <f aca="false">G808+acc_x*pas</f>
        <v>10.26254543794</v>
      </c>
      <c r="H809" s="420" t="n">
        <f aca="false">H808+acc_z*pas</f>
        <v>-71.1596280805197</v>
      </c>
      <c r="I809" s="418" t="n">
        <f aca="false">SQRT(vit_x^2+vit_z^2)</f>
        <v>71.8958448550657</v>
      </c>
      <c r="J809" s="419" t="n">
        <f aca="false">J808+0.5*(vit_x+G808)*pas*(K808&gt;=0)</f>
        <v>211.791153319536</v>
      </c>
      <c r="K809" s="420" t="n">
        <f aca="false">K808+0.5*(vit_z+H808)*pas</f>
        <v>-7.69975616160009</v>
      </c>
      <c r="L809" s="418" t="n">
        <f aca="false">SQRT(pos_x^2+pos_z^2)</f>
        <v>211.931071033408</v>
      </c>
      <c r="M809" s="419" t="n">
        <f aca="false">IF(AND(L808&gt;L_rampe,G809&gt;0),ATAN2(G809,H809),$M$4)</f>
        <v>-1.42756525106456</v>
      </c>
      <c r="N809" s="418" t="n">
        <f aca="false">DEGREES(Beta)</f>
        <v>-81.7934638655328</v>
      </c>
      <c r="O809" s="402"/>
      <c r="P809" s="421" t="n">
        <f aca="false">MATCH(t-pas/2-T_ini,CdP_t)</f>
        <v>23</v>
      </c>
      <c r="Q809" s="418" t="n">
        <f aca="false">(INDEX(CdP,2,i_P+1)-INDEX(CdP,2,i_P+0))/(INDEX(CdP,1,i_P+1)-INDEX(CdP,1,i_P+0))*(t-pas/2-T_ini-INDEX(CdP,1,i_P+0))+INDEX(CdP,2,i_P+0)</f>
        <v>0</v>
      </c>
      <c r="R809" s="419" t="n">
        <f aca="false">Poussee/(g*ISP)</f>
        <v>0</v>
      </c>
      <c r="S809" s="420" t="n">
        <f aca="false">S808-Débit*pas</f>
        <v>1.4843</v>
      </c>
      <c r="T809" s="418" t="n">
        <f aca="false">m*g</f>
        <v>14.560983</v>
      </c>
      <c r="U809" s="422" t="n">
        <f aca="false">IF(pos_xz&lt;L_rampe,Poids*COS(Beta),0)</f>
        <v>0</v>
      </c>
      <c r="V809" s="419" t="n">
        <f aca="false">Rho_moyen*(20000-Alt_rampe-pos_z)/(20000+Alt_rampe+pos_z)</f>
        <v>1.2259435833979</v>
      </c>
      <c r="W809" s="418" t="n">
        <f aca="false">1/2*Rho*Sref*Cx*vit_xz^2</f>
        <v>5.58594703473393</v>
      </c>
      <c r="X809" s="402"/>
      <c r="Y809" s="423" t="str">
        <f aca="false">IF(AND(pos_z&lt;=0,K808&gt;0),"Impact balistique","") &amp; IF(AND(H810&lt;0,vit_z&gt;=0),"Apogée","") &amp; IF(AND(Poussee=0,Q808&gt;0),"Fin de propulsion","") &amp; IF(AND(L810&gt;L_rampe,pos_xz&lt;=L_rampe),"Sortie de rampe","")</f>
        <v/>
      </c>
      <c r="Z809" s="424" t="str">
        <f aca="false">IF(ABS(t-T_para)&lt;pas/2,"Para","")</f>
        <v/>
      </c>
      <c r="AA809" s="425" t="str">
        <f aca="false">IF(ABS(t-T_satellite)&lt;pas/2,"Satellite","")</f>
        <v/>
      </c>
      <c r="AB809" s="413"/>
      <c r="AC809" s="421" t="e">
        <f aca="false">IF(ABS(t-ROUND(t,0))&lt;0.001,t,NA())</f>
        <v>#N/A</v>
      </c>
      <c r="AD809" s="426" t="e">
        <f aca="false">IF(ABS(t-ROUND(t,0))&lt;0.001,pos_x,NA())</f>
        <v>#N/A</v>
      </c>
      <c r="AE809" s="427" t="e">
        <f aca="false">IF(t&lt;T_para, pos_z, NA())</f>
        <v>#N/A</v>
      </c>
      <c r="AF809" s="413"/>
      <c r="AG809" s="419" t="n">
        <f aca="false">IF(AND(L808&lt;L_rampe,Poussee&lt;Poids*SIN(M808)),0,(-W808+Poussee)/m-Poids*SIN(M808)/m)</f>
        <v>5.94625288105769</v>
      </c>
      <c r="AH809" s="418" t="n">
        <f aca="false">IF(AND(L808&lt;L_rampe,Poussee&lt;Poids*SIN(M808)), g*SIN(M808), (-W808+Poussee)/m)</f>
        <v>-3.76328953811643</v>
      </c>
    </row>
    <row r="810" customFormat="false" ht="12" hidden="false" customHeight="false" outlineLevel="0" collapsed="false">
      <c r="A810" s="417" t="n">
        <f aca="false">IF(B809+0.01&lt;=T_ini+ROUNDUP(Temps_fin_propu,0), 0.01, IF(K809&gt;0, 0.1, 0.0001))</f>
        <v>0.0001</v>
      </c>
      <c r="B810" s="418" t="n">
        <f aca="false">B809+pas</f>
        <v>16.5460999999999</v>
      </c>
      <c r="C810" s="402"/>
      <c r="D810" s="419" t="n">
        <f aca="false">IF(AND(L809&lt;L_rampe,Poussee&lt;Poids*SIN(M809)),0,(-W809+Poussee)/m*COS(M809)-U809/m*SIN(M809))</f>
        <v>-0.537188154477276</v>
      </c>
      <c r="E810" s="420" t="n">
        <f aca="false">IF(AND(L809&lt;L_rampe,Poussee&lt;Poids*SIN(M809)),0,(-W809+Poussee)/m*SIN(M809)+U809/m*COS(M809)-Poids/m)</f>
        <v>-6.08518245711788</v>
      </c>
      <c r="F810" s="418" t="n">
        <f aca="false">SQRT(acc_x^2+acc_z^2)</f>
        <v>6.10884740763148</v>
      </c>
      <c r="G810" s="419" t="n">
        <f aca="false">G809+acc_x*pas</f>
        <v>10.2624917191245</v>
      </c>
      <c r="H810" s="420" t="n">
        <f aca="false">H809+acc_z*pas</f>
        <v>-71.1602365987655</v>
      </c>
      <c r="I810" s="418" t="n">
        <f aca="false">SQRT(vit_x^2+vit_z^2)</f>
        <v>71.8964394742701</v>
      </c>
      <c r="J810" s="419" t="n">
        <f aca="false">J809+0.5*(vit_x+G809)*pas*(K809&gt;=0)</f>
        <v>211.791153319536</v>
      </c>
      <c r="K810" s="420" t="n">
        <f aca="false">K809+0.5*(vit_z+H809)*pas</f>
        <v>-7.70687215483405</v>
      </c>
      <c r="L810" s="418" t="n">
        <f aca="false">SQRT(pos_x^2+pos_z^2)</f>
        <v>211.931329686836</v>
      </c>
      <c r="M810" s="419" t="n">
        <f aca="false">IF(AND(L809&gt;L_rampe,G810&gt;0),ATAN2(G810,H810),$M$4)</f>
        <v>-1.42756719872357</v>
      </c>
      <c r="N810" s="418" t="n">
        <f aca="false">DEGREES(Beta)</f>
        <v>-81.7935754581743</v>
      </c>
      <c r="O810" s="402"/>
      <c r="P810" s="421" t="n">
        <f aca="false">MATCH(t-pas/2-T_ini,CdP_t)</f>
        <v>23</v>
      </c>
      <c r="Q810" s="418" t="n">
        <f aca="false">(INDEX(CdP,2,i_P+1)-INDEX(CdP,2,i_P+0))/(INDEX(CdP,1,i_P+1)-INDEX(CdP,1,i_P+0))*(t-pas/2-T_ini-INDEX(CdP,1,i_P+0))+INDEX(CdP,2,i_P+0)</f>
        <v>0</v>
      </c>
      <c r="R810" s="419" t="n">
        <f aca="false">Poussee/(g*ISP)</f>
        <v>0</v>
      </c>
      <c r="S810" s="420" t="n">
        <f aca="false">S809-Débit*pas</f>
        <v>1.4843</v>
      </c>
      <c r="T810" s="418" t="n">
        <f aca="false">m*g</f>
        <v>14.560983</v>
      </c>
      <c r="U810" s="422" t="n">
        <f aca="false">IF(pos_xz&lt;L_rampe,Poids*COS(Beta),0)</f>
        <v>0</v>
      </c>
      <c r="V810" s="419" t="n">
        <f aca="false">Rho_moyen*(20000-Alt_rampe-pos_z)/(20000+Alt_rampe+pos_z)</f>
        <v>1.22594445577896</v>
      </c>
      <c r="W810" s="418" t="n">
        <f aca="false">1/2*Rho*Sref*Cx*vit_xz^2</f>
        <v>5.58604340800764</v>
      </c>
      <c r="X810" s="402"/>
      <c r="Y810" s="423" t="str">
        <f aca="false">IF(AND(pos_z&lt;=0,K809&gt;0),"Impact balistique","") &amp; IF(AND(H811&lt;0,vit_z&gt;=0),"Apogée","") &amp; IF(AND(Poussee=0,Q809&gt;0),"Fin de propulsion","") &amp; IF(AND(L811&gt;L_rampe,pos_xz&lt;=L_rampe),"Sortie de rampe","")</f>
        <v/>
      </c>
      <c r="Z810" s="424" t="str">
        <f aca="false">IF(ABS(t-T_para)&lt;pas/2,"Para","")</f>
        <v/>
      </c>
      <c r="AA810" s="425" t="str">
        <f aca="false">IF(ABS(t-T_satellite)&lt;pas/2,"Satellite","")</f>
        <v/>
      </c>
      <c r="AB810" s="413"/>
      <c r="AC810" s="421" t="e">
        <f aca="false">IF(ABS(t-ROUND(t,0))&lt;0.001,t,NA())</f>
        <v>#N/A</v>
      </c>
      <c r="AD810" s="426" t="e">
        <f aca="false">IF(ABS(t-ROUND(t,0))&lt;0.001,pos_x,NA())</f>
        <v>#N/A</v>
      </c>
      <c r="AE810" s="427" t="e">
        <f aca="false">IF(t&lt;T_para, pos_z, NA())</f>
        <v>#N/A</v>
      </c>
      <c r="AF810" s="413"/>
      <c r="AG810" s="419" t="n">
        <f aca="false">IF(AND(L809&lt;L_rampe,Poussee&lt;Poids*SIN(M809)),0,(-W809+Poussee)/m-Poids*SIN(M809)/m)</f>
        <v>5.94619067998119</v>
      </c>
      <c r="AH810" s="418" t="n">
        <f aca="false">IF(AND(L809&lt;L_rampe,Poussee&lt;Poids*SIN(M809)), g*SIN(M809), (-W809+Poussee)/m)</f>
        <v>-3.76335446657275</v>
      </c>
    </row>
    <row r="811" customFormat="false" ht="12" hidden="false" customHeight="false" outlineLevel="0" collapsed="false">
      <c r="A811" s="417" t="n">
        <f aca="false">IF(B810+0.01&lt;=T_ini+ROUNDUP(Temps_fin_propu,0), 0.01, IF(K810&gt;0, 0.1, 0.0001))</f>
        <v>0.0001</v>
      </c>
      <c r="B811" s="418" t="n">
        <f aca="false">B810+pas</f>
        <v>16.5461999999999</v>
      </c>
      <c r="C811" s="402"/>
      <c r="D811" s="419" t="n">
        <f aca="false">IF(AND(L810&lt;L_rampe,Poussee&lt;Poids*SIN(M810)),0,(-W810+Poussee)/m*COS(M810)-U810/m*SIN(M810))</f>
        <v>-0.537190167680908</v>
      </c>
      <c r="E811" s="420" t="n">
        <f aca="false">IF(AND(L810&lt;L_rampe,Poussee&lt;Poids*SIN(M810)),0,(-W810+Poussee)/m*SIN(M810)+U810/m*COS(M810)-Poids/m)</f>
        <v>-6.0851171472843</v>
      </c>
      <c r="F811" s="418" t="n">
        <f aca="false">SQRT(acc_x^2+acc_z^2)</f>
        <v>6.10878252783862</v>
      </c>
      <c r="G811" s="419" t="n">
        <f aca="false">G810+acc_x*pas</f>
        <v>10.2624380001078</v>
      </c>
      <c r="H811" s="420" t="n">
        <f aca="false">H810+acc_z*pas</f>
        <v>-71.1608451104802</v>
      </c>
      <c r="I811" s="418" t="n">
        <f aca="false">SQRT(vit_x^2+vit_z^2)</f>
        <v>71.8970340872543</v>
      </c>
      <c r="J811" s="419" t="n">
        <f aca="false">J810+0.5*(vit_x+G810)*pas*(K810&gt;=0)</f>
        <v>211.791153319536</v>
      </c>
      <c r="K811" s="420" t="n">
        <f aca="false">K810+0.5*(vit_z+H810)*pas</f>
        <v>-7.71398820891951</v>
      </c>
      <c r="L811" s="418" t="n">
        <f aca="false">SQRT(pos_x^2+pos_z^2)</f>
        <v>211.931588581095</v>
      </c>
      <c r="M811" s="419" t="n">
        <f aca="false">IF(AND(L810&gt;L_rampe,G811&gt;0),ATAN2(G811,H811),$M$4)</f>
        <v>-1.42756914634018</v>
      </c>
      <c r="N811" s="418" t="n">
        <f aca="false">DEGREES(Beta)</f>
        <v>-81.7936870483859</v>
      </c>
      <c r="O811" s="402"/>
      <c r="P811" s="421" t="n">
        <f aca="false">MATCH(t-pas/2-T_ini,CdP_t)</f>
        <v>23</v>
      </c>
      <c r="Q811" s="418" t="n">
        <f aca="false">(INDEX(CdP,2,i_P+1)-INDEX(CdP,2,i_P+0))/(INDEX(CdP,1,i_P+1)-INDEX(CdP,1,i_P+0))*(t-pas/2-T_ini-INDEX(CdP,1,i_P+0))+INDEX(CdP,2,i_P+0)</f>
        <v>0</v>
      </c>
      <c r="R811" s="419" t="n">
        <f aca="false">Poussee/(g*ISP)</f>
        <v>0</v>
      </c>
      <c r="S811" s="420" t="n">
        <f aca="false">S810-Débit*pas</f>
        <v>1.4843</v>
      </c>
      <c r="T811" s="418" t="n">
        <f aca="false">m*g</f>
        <v>14.560983</v>
      </c>
      <c r="U811" s="422" t="n">
        <f aca="false">IF(pos_xz&lt;L_rampe,Poids*COS(Beta),0)</f>
        <v>0</v>
      </c>
      <c r="V811" s="419" t="n">
        <f aca="false">Rho_moyen*(20000-Alt_rampe-pos_z)/(20000+Alt_rampe+pos_z)</f>
        <v>1.22594532816811</v>
      </c>
      <c r="W811" s="418" t="n">
        <f aca="false">1/2*Rho*Sref*Cx*vit_xz^2</f>
        <v>5.58613978124728</v>
      </c>
      <c r="X811" s="402"/>
      <c r="Y811" s="423" t="str">
        <f aca="false">IF(AND(pos_z&lt;=0,K810&gt;0),"Impact balistique","") &amp; IF(AND(H812&lt;0,vit_z&gt;=0),"Apogée","") &amp; IF(AND(Poussee=0,Q810&gt;0),"Fin de propulsion","") &amp; IF(AND(L812&gt;L_rampe,pos_xz&lt;=L_rampe),"Sortie de rampe","")</f>
        <v/>
      </c>
      <c r="Z811" s="424" t="str">
        <f aca="false">IF(ABS(t-T_para)&lt;pas/2,"Para","")</f>
        <v/>
      </c>
      <c r="AA811" s="425" t="str">
        <f aca="false">IF(ABS(t-T_satellite)&lt;pas/2,"Satellite","")</f>
        <v/>
      </c>
      <c r="AB811" s="413"/>
      <c r="AC811" s="421" t="e">
        <f aca="false">IF(ABS(t-ROUND(t,0))&lt;0.001,t,NA())</f>
        <v>#N/A</v>
      </c>
      <c r="AD811" s="426" t="e">
        <f aca="false">IF(ABS(t-ROUND(t,0))&lt;0.001,pos_x,NA())</f>
        <v>#N/A</v>
      </c>
      <c r="AE811" s="427" t="e">
        <f aca="false">IF(t&lt;T_para, pos_z, NA())</f>
        <v>#N/A</v>
      </c>
      <c r="AF811" s="413"/>
      <c r="AG811" s="419" t="n">
        <f aca="false">IF(AND(L810&lt;L_rampe,Poussee&lt;Poids*SIN(M810)),0,(-W810+Poussee)/m-Poids*SIN(M810)/m)</f>
        <v>5.94612847883139</v>
      </c>
      <c r="AH811" s="418" t="n">
        <f aca="false">IF(AND(L810&lt;L_rampe,Poussee&lt;Poids*SIN(M810)), g*SIN(M810), (-W810+Poussee)/m)</f>
        <v>-3.76341939500616</v>
      </c>
    </row>
    <row r="812" customFormat="false" ht="12" hidden="false" customHeight="false" outlineLevel="0" collapsed="false">
      <c r="A812" s="417" t="n">
        <f aca="false">IF(B811+0.01&lt;=T_ini+ROUNDUP(Temps_fin_propu,0), 0.01, IF(K811&gt;0, 0.1, 0.0001))</f>
        <v>0.0001</v>
      </c>
      <c r="B812" s="418" t="n">
        <f aca="false">B811+pas</f>
        <v>16.5462999999999</v>
      </c>
      <c r="C812" s="402"/>
      <c r="D812" s="419" t="n">
        <f aca="false">IF(AND(L811&lt;L_rampe,Poussee&lt;Poids*SIN(M811)),0,(-W811+Poussee)/m*COS(M811)-U811/m*SIN(M811))</f>
        <v>-0.537192180786877</v>
      </c>
      <c r="E812" s="420" t="n">
        <f aca="false">IF(AND(L811&lt;L_rampe,Poussee&lt;Poids*SIN(M811)),0,(-W811+Poussee)/m*SIN(M811)+U811/m*COS(M811)-Poids/m)</f>
        <v>-6.08505183747424</v>
      </c>
      <c r="F812" s="418" t="n">
        <f aca="false">SQRT(acc_x^2+acc_z^2)</f>
        <v>6.10871764807043</v>
      </c>
      <c r="G812" s="419" t="n">
        <f aca="false">G811+acc_x*pas</f>
        <v>10.2623842808897</v>
      </c>
      <c r="H812" s="420" t="n">
        <f aca="false">H811+acc_z*pas</f>
        <v>-71.1614536156639</v>
      </c>
      <c r="I812" s="418" t="n">
        <f aca="false">SQRT(vit_x^2+vit_z^2)</f>
        <v>71.8976286940184</v>
      </c>
      <c r="J812" s="419" t="n">
        <f aca="false">J811+0.5*(vit_x+G811)*pas*(K811&gt;=0)</f>
        <v>211.791153319536</v>
      </c>
      <c r="K812" s="420" t="n">
        <f aca="false">K811+0.5*(vit_z+H811)*pas</f>
        <v>-7.72110432385582</v>
      </c>
      <c r="L812" s="418" t="n">
        <f aca="false">SQRT(pos_x^2+pos_z^2)</f>
        <v>211.931847716192</v>
      </c>
      <c r="M812" s="419" t="n">
        <f aca="false">IF(AND(L811&gt;L_rampe,G812&gt;0),ATAN2(G812,H812),$M$4)</f>
        <v>-1.42757109391437</v>
      </c>
      <c r="N812" s="418" t="n">
        <f aca="false">DEGREES(Beta)</f>
        <v>-81.7937986361676</v>
      </c>
      <c r="O812" s="402"/>
      <c r="P812" s="421" t="n">
        <f aca="false">MATCH(t-pas/2-T_ini,CdP_t)</f>
        <v>23</v>
      </c>
      <c r="Q812" s="418" t="n">
        <f aca="false">(INDEX(CdP,2,i_P+1)-INDEX(CdP,2,i_P+0))/(INDEX(CdP,1,i_P+1)-INDEX(CdP,1,i_P+0))*(t-pas/2-T_ini-INDEX(CdP,1,i_P+0))+INDEX(CdP,2,i_P+0)</f>
        <v>0</v>
      </c>
      <c r="R812" s="419" t="n">
        <f aca="false">Poussee/(g*ISP)</f>
        <v>0</v>
      </c>
      <c r="S812" s="420" t="n">
        <f aca="false">S811-Débit*pas</f>
        <v>1.4843</v>
      </c>
      <c r="T812" s="418" t="n">
        <f aca="false">m*g</f>
        <v>14.560983</v>
      </c>
      <c r="U812" s="422" t="n">
        <f aca="false">IF(pos_xz&lt;L_rampe,Poids*COS(Beta),0)</f>
        <v>0</v>
      </c>
      <c r="V812" s="419" t="n">
        <f aca="false">Rho_moyen*(20000-Alt_rampe-pos_z)/(20000+Alt_rampe+pos_z)</f>
        <v>1.22594620056534</v>
      </c>
      <c r="W812" s="418" t="n">
        <f aca="false">1/2*Rho*Sref*Cx*vit_xz^2</f>
        <v>5.58623615445285</v>
      </c>
      <c r="X812" s="402"/>
      <c r="Y812" s="423" t="str">
        <f aca="false">IF(AND(pos_z&lt;=0,K811&gt;0),"Impact balistique","") &amp; IF(AND(H813&lt;0,vit_z&gt;=0),"Apogée","") &amp; IF(AND(Poussee=0,Q811&gt;0),"Fin de propulsion","") &amp; IF(AND(L813&gt;L_rampe,pos_xz&lt;=L_rampe),"Sortie de rampe","")</f>
        <v/>
      </c>
      <c r="Z812" s="424" t="str">
        <f aca="false">IF(ABS(t-T_para)&lt;pas/2,"Para","")</f>
        <v/>
      </c>
      <c r="AA812" s="425" t="str">
        <f aca="false">IF(ABS(t-T_satellite)&lt;pas/2,"Satellite","")</f>
        <v/>
      </c>
      <c r="AB812" s="413"/>
      <c r="AC812" s="421" t="e">
        <f aca="false">IF(ABS(t-ROUND(t,0))&lt;0.001,t,NA())</f>
        <v>#N/A</v>
      </c>
      <c r="AD812" s="426" t="e">
        <f aca="false">IF(ABS(t-ROUND(t,0))&lt;0.001,pos_x,NA())</f>
        <v>#N/A</v>
      </c>
      <c r="AE812" s="427" t="e">
        <f aca="false">IF(t&lt;T_para, pos_z, NA())</f>
        <v>#N/A</v>
      </c>
      <c r="AF812" s="413"/>
      <c r="AG812" s="419" t="n">
        <f aca="false">IF(AND(L811&lt;L_rampe,Poussee&lt;Poids*SIN(M811)),0,(-W811+Poussee)/m-Poids*SIN(M811)/m)</f>
        <v>5.94606627760832</v>
      </c>
      <c r="AH812" s="418" t="n">
        <f aca="false">IF(AND(L811&lt;L_rampe,Poussee&lt;Poids*SIN(M811)), g*SIN(M811), (-W811+Poussee)/m)</f>
        <v>-3.76348432341662</v>
      </c>
    </row>
    <row r="813" customFormat="false" ht="12" hidden="false" customHeight="false" outlineLevel="0" collapsed="false">
      <c r="A813" s="417" t="n">
        <f aca="false">IF(B812+0.01&lt;=T_ini+ROUNDUP(Temps_fin_propu,0), 0.01, IF(K812&gt;0, 0.1, 0.0001))</f>
        <v>0.0001</v>
      </c>
      <c r="B813" s="418" t="n">
        <f aca="false">B812+pas</f>
        <v>16.5463999999999</v>
      </c>
      <c r="C813" s="402"/>
      <c r="D813" s="419" t="n">
        <f aca="false">IF(AND(L812&lt;L_rampe,Poussee&lt;Poids*SIN(M812)),0,(-W812+Poussee)/m*COS(M812)-U812/m*SIN(M812))</f>
        <v>-0.537194193795184</v>
      </c>
      <c r="E813" s="420" t="n">
        <f aca="false">IF(AND(L812&lt;L_rampe,Poussee&lt;Poids*SIN(M812)),0,(-W812+Poussee)/m*SIN(M812)+U812/m*COS(M812)-Poids/m)</f>
        <v>-6.08498652768771</v>
      </c>
      <c r="F813" s="418" t="n">
        <f aca="false">SQRT(acc_x^2+acc_z^2)</f>
        <v>6.10865276832692</v>
      </c>
      <c r="G813" s="419" t="n">
        <f aca="false">G812+acc_x*pas</f>
        <v>10.2623305614703</v>
      </c>
      <c r="H813" s="420" t="n">
        <f aca="false">H812+acc_z*pas</f>
        <v>-71.1620621143167</v>
      </c>
      <c r="I813" s="418" t="n">
        <f aca="false">SQRT(vit_x^2+vit_z^2)</f>
        <v>71.8982232945624</v>
      </c>
      <c r="J813" s="419" t="n">
        <f aca="false">J812+0.5*(vit_x+G812)*pas*(K812&gt;=0)</f>
        <v>211.791153319536</v>
      </c>
      <c r="K813" s="420" t="n">
        <f aca="false">K812+0.5*(vit_z+H812)*pas</f>
        <v>-7.72822049964232</v>
      </c>
      <c r="L813" s="418" t="n">
        <f aca="false">SQRT(pos_x^2+pos_z^2)</f>
        <v>211.932107092131</v>
      </c>
      <c r="M813" s="419" t="n">
        <f aca="false">IF(AND(L812&gt;L_rampe,G813&gt;0),ATAN2(G813,H813),$M$4)</f>
        <v>-1.42757304144616</v>
      </c>
      <c r="N813" s="418" t="n">
        <f aca="false">DEGREES(Beta)</f>
        <v>-81.7939102215195</v>
      </c>
      <c r="O813" s="402"/>
      <c r="P813" s="421" t="n">
        <f aca="false">MATCH(t-pas/2-T_ini,CdP_t)</f>
        <v>23</v>
      </c>
      <c r="Q813" s="418" t="n">
        <f aca="false">(INDEX(CdP,2,i_P+1)-INDEX(CdP,2,i_P+0))/(INDEX(CdP,1,i_P+1)-INDEX(CdP,1,i_P+0))*(t-pas/2-T_ini-INDEX(CdP,1,i_P+0))+INDEX(CdP,2,i_P+0)</f>
        <v>0</v>
      </c>
      <c r="R813" s="419" t="n">
        <f aca="false">Poussee/(g*ISP)</f>
        <v>0</v>
      </c>
      <c r="S813" s="420" t="n">
        <f aca="false">S812-Débit*pas</f>
        <v>1.4843</v>
      </c>
      <c r="T813" s="418" t="n">
        <f aca="false">m*g</f>
        <v>14.560983</v>
      </c>
      <c r="U813" s="422" t="n">
        <f aca="false">IF(pos_xz&lt;L_rampe,Poids*COS(Beta),0)</f>
        <v>0</v>
      </c>
      <c r="V813" s="419" t="n">
        <f aca="false">Rho_moyen*(20000-Alt_rampe-pos_z)/(20000+Alt_rampe+pos_z)</f>
        <v>1.22594707297064</v>
      </c>
      <c r="W813" s="418" t="n">
        <f aca="false">1/2*Rho*Sref*Cx*vit_xz^2</f>
        <v>5.58633252762431</v>
      </c>
      <c r="X813" s="402"/>
      <c r="Y813" s="423" t="str">
        <f aca="false">IF(AND(pos_z&lt;=0,K812&gt;0),"Impact balistique","") &amp; IF(AND(H814&lt;0,vit_z&gt;=0),"Apogée","") &amp; IF(AND(Poussee=0,Q812&gt;0),"Fin de propulsion","") &amp; IF(AND(L814&gt;L_rampe,pos_xz&lt;=L_rampe),"Sortie de rampe","")</f>
        <v/>
      </c>
      <c r="Z813" s="424" t="str">
        <f aca="false">IF(ABS(t-T_para)&lt;pas/2,"Para","")</f>
        <v/>
      </c>
      <c r="AA813" s="425" t="str">
        <f aca="false">IF(ABS(t-T_satellite)&lt;pas/2,"Satellite","")</f>
        <v/>
      </c>
      <c r="AB813" s="413"/>
      <c r="AC813" s="421" t="e">
        <f aca="false">IF(ABS(t-ROUND(t,0))&lt;0.001,t,NA())</f>
        <v>#N/A</v>
      </c>
      <c r="AD813" s="426" t="e">
        <f aca="false">IF(ABS(t-ROUND(t,0))&lt;0.001,pos_x,NA())</f>
        <v>#N/A</v>
      </c>
      <c r="AE813" s="427" t="e">
        <f aca="false">IF(t&lt;T_para, pos_z, NA())</f>
        <v>#N/A</v>
      </c>
      <c r="AF813" s="413"/>
      <c r="AG813" s="419" t="n">
        <f aca="false">IF(AND(L812&lt;L_rampe,Poussee&lt;Poids*SIN(M812)),0,(-W812+Poussee)/m-Poids*SIN(M812)/m)</f>
        <v>5.94600407631199</v>
      </c>
      <c r="AH813" s="418" t="n">
        <f aca="false">IF(AND(L812&lt;L_rampe,Poussee&lt;Poids*SIN(M812)), g*SIN(M812), (-W812+Poussee)/m)</f>
        <v>-3.76354925180412</v>
      </c>
    </row>
    <row r="814" customFormat="false" ht="12" hidden="false" customHeight="false" outlineLevel="0" collapsed="false">
      <c r="A814" s="417" t="n">
        <f aca="false">IF(B813+0.01&lt;=T_ini+ROUNDUP(Temps_fin_propu,0), 0.01, IF(K813&gt;0, 0.1, 0.0001))</f>
        <v>0.0001</v>
      </c>
      <c r="B814" s="418" t="n">
        <f aca="false">B813+pas</f>
        <v>16.5464999999999</v>
      </c>
      <c r="C814" s="402"/>
      <c r="D814" s="419" t="n">
        <f aca="false">IF(AND(L813&lt;L_rampe,Poussee&lt;Poids*SIN(M813)),0,(-W813+Poussee)/m*COS(M813)-U813/m*SIN(M813))</f>
        <v>-0.537196206705831</v>
      </c>
      <c r="E814" s="420" t="n">
        <f aca="false">IF(AND(L813&lt;L_rampe,Poussee&lt;Poids*SIN(M813)),0,(-W813+Poussee)/m*SIN(M813)+U813/m*COS(M813)-Poids/m)</f>
        <v>-6.08492121792473</v>
      </c>
      <c r="F814" s="418" t="n">
        <f aca="false">SQRT(acc_x^2+acc_z^2)</f>
        <v>6.10858788860812</v>
      </c>
      <c r="G814" s="419" t="n">
        <f aca="false">G813+acc_x*pas</f>
        <v>10.2622768418496</v>
      </c>
      <c r="H814" s="420" t="n">
        <f aca="false">H813+acc_z*pas</f>
        <v>-71.1626706064385</v>
      </c>
      <c r="I814" s="418" t="n">
        <f aca="false">SQRT(vit_x^2+vit_z^2)</f>
        <v>71.8988178888862</v>
      </c>
      <c r="J814" s="419" t="n">
        <f aca="false">J813+0.5*(vit_x+G813)*pas*(K813&gt;=0)</f>
        <v>211.791153319536</v>
      </c>
      <c r="K814" s="420" t="n">
        <f aca="false">K813+0.5*(vit_z+H813)*pas</f>
        <v>-7.73533673627836</v>
      </c>
      <c r="L814" s="418" t="n">
        <f aca="false">SQRT(pos_x^2+pos_z^2)</f>
        <v>211.932366708917</v>
      </c>
      <c r="M814" s="419" t="n">
        <f aca="false">IF(AND(L813&gt;L_rampe,G814&gt;0),ATAN2(G814,H814),$M$4)</f>
        <v>-1.42757498893554</v>
      </c>
      <c r="N814" s="418" t="n">
        <f aca="false">DEGREES(Beta)</f>
        <v>-81.7940218044417</v>
      </c>
      <c r="O814" s="402"/>
      <c r="P814" s="421" t="n">
        <f aca="false">MATCH(t-pas/2-T_ini,CdP_t)</f>
        <v>23</v>
      </c>
      <c r="Q814" s="418" t="n">
        <f aca="false">(INDEX(CdP,2,i_P+1)-INDEX(CdP,2,i_P+0))/(INDEX(CdP,1,i_P+1)-INDEX(CdP,1,i_P+0))*(t-pas/2-T_ini-INDEX(CdP,1,i_P+0))+INDEX(CdP,2,i_P+0)</f>
        <v>0</v>
      </c>
      <c r="R814" s="419" t="n">
        <f aca="false">Poussee/(g*ISP)</f>
        <v>0</v>
      </c>
      <c r="S814" s="420" t="n">
        <f aca="false">S813-Débit*pas</f>
        <v>1.4843</v>
      </c>
      <c r="T814" s="418" t="n">
        <f aca="false">m*g</f>
        <v>14.560983</v>
      </c>
      <c r="U814" s="422" t="n">
        <f aca="false">IF(pos_xz&lt;L_rampe,Poids*COS(Beta),0)</f>
        <v>0</v>
      </c>
      <c r="V814" s="419" t="n">
        <f aca="false">Rho_moyen*(20000-Alt_rampe-pos_z)/(20000+Alt_rampe+pos_z)</f>
        <v>1.22594794538403</v>
      </c>
      <c r="W814" s="418" t="n">
        <f aca="false">1/2*Rho*Sref*Cx*vit_xz^2</f>
        <v>5.58642890076165</v>
      </c>
      <c r="X814" s="402"/>
      <c r="Y814" s="423" t="str">
        <f aca="false">IF(AND(pos_z&lt;=0,K813&gt;0),"Impact balistique","") &amp; IF(AND(H815&lt;0,vit_z&gt;=0),"Apogée","") &amp; IF(AND(Poussee=0,Q813&gt;0),"Fin de propulsion","") &amp; IF(AND(L815&gt;L_rampe,pos_xz&lt;=L_rampe),"Sortie de rampe","")</f>
        <v/>
      </c>
      <c r="Z814" s="424" t="str">
        <f aca="false">IF(ABS(t-T_para)&lt;pas/2,"Para","")</f>
        <v/>
      </c>
      <c r="AA814" s="425" t="str">
        <f aca="false">IF(ABS(t-T_satellite)&lt;pas/2,"Satellite","")</f>
        <v/>
      </c>
      <c r="AB814" s="413"/>
      <c r="AC814" s="421" t="e">
        <f aca="false">IF(ABS(t-ROUND(t,0))&lt;0.001,t,NA())</f>
        <v>#N/A</v>
      </c>
      <c r="AD814" s="426" t="e">
        <f aca="false">IF(ABS(t-ROUND(t,0))&lt;0.001,pos_x,NA())</f>
        <v>#N/A</v>
      </c>
      <c r="AE814" s="427" t="e">
        <f aca="false">IF(t&lt;T_para, pos_z, NA())</f>
        <v>#N/A</v>
      </c>
      <c r="AF814" s="413"/>
      <c r="AG814" s="419" t="n">
        <f aca="false">IF(AND(L813&lt;L_rampe,Poussee&lt;Poids*SIN(M813)),0,(-W813+Poussee)/m-Poids*SIN(M813)/m)</f>
        <v>5.94594187494244</v>
      </c>
      <c r="AH814" s="418" t="n">
        <f aca="false">IF(AND(L813&lt;L_rampe,Poussee&lt;Poids*SIN(M813)), g*SIN(M813), (-W813+Poussee)/m)</f>
        <v>-3.76361418016864</v>
      </c>
    </row>
    <row r="815" customFormat="false" ht="12" hidden="false" customHeight="false" outlineLevel="0" collapsed="false">
      <c r="A815" s="417" t="n">
        <f aca="false">IF(B814+0.01&lt;=T_ini+ROUNDUP(Temps_fin_propu,0), 0.01, IF(K814&gt;0, 0.1, 0.0001))</f>
        <v>0.0001</v>
      </c>
      <c r="B815" s="418" t="n">
        <f aca="false">B814+pas</f>
        <v>16.5465999999999</v>
      </c>
      <c r="C815" s="402"/>
      <c r="D815" s="419" t="n">
        <f aca="false">IF(AND(L814&lt;L_rampe,Poussee&lt;Poids*SIN(M814)),0,(-W814+Poussee)/m*COS(M814)-U814/m*SIN(M814))</f>
        <v>-0.537198219518816</v>
      </c>
      <c r="E815" s="420" t="n">
        <f aca="false">IF(AND(L814&lt;L_rampe,Poussee&lt;Poids*SIN(M814)),0,(-W814+Poussee)/m*SIN(M814)+U814/m*COS(M814)-Poids/m)</f>
        <v>-6.08485590818533</v>
      </c>
      <c r="F815" s="418" t="n">
        <f aca="false">SQRT(acc_x^2+acc_z^2)</f>
        <v>6.10852300891403</v>
      </c>
      <c r="G815" s="419" t="n">
        <f aca="false">G814+acc_x*pas</f>
        <v>10.2622231220277</v>
      </c>
      <c r="H815" s="420" t="n">
        <f aca="false">H814+acc_z*pas</f>
        <v>-71.1632790920293</v>
      </c>
      <c r="I815" s="418" t="n">
        <f aca="false">SQRT(vit_x^2+vit_z^2)</f>
        <v>71.8994124769899</v>
      </c>
      <c r="J815" s="419" t="n">
        <f aca="false">J814+0.5*(vit_x+G814)*pas*(K814&gt;=0)</f>
        <v>211.791153319536</v>
      </c>
      <c r="K815" s="420" t="n">
        <f aca="false">K814+0.5*(vit_z+H814)*pas</f>
        <v>-7.74245303376328</v>
      </c>
      <c r="L815" s="418" t="n">
        <f aca="false">SQRT(pos_x^2+pos_z^2)</f>
        <v>211.932626566556</v>
      </c>
      <c r="M815" s="419" t="n">
        <f aca="false">IF(AND(L814&gt;L_rampe,G815&gt;0),ATAN2(G815,H815),$M$4)</f>
        <v>-1.42757693638252</v>
      </c>
      <c r="N815" s="418" t="n">
        <f aca="false">DEGREES(Beta)</f>
        <v>-81.7941333849343</v>
      </c>
      <c r="O815" s="402"/>
      <c r="P815" s="421" t="n">
        <f aca="false">MATCH(t-pas/2-T_ini,CdP_t)</f>
        <v>23</v>
      </c>
      <c r="Q815" s="418" t="n">
        <f aca="false">(INDEX(CdP,2,i_P+1)-INDEX(CdP,2,i_P+0))/(INDEX(CdP,1,i_P+1)-INDEX(CdP,1,i_P+0))*(t-pas/2-T_ini-INDEX(CdP,1,i_P+0))+INDEX(CdP,2,i_P+0)</f>
        <v>0</v>
      </c>
      <c r="R815" s="419" t="n">
        <f aca="false">Poussee/(g*ISP)</f>
        <v>0</v>
      </c>
      <c r="S815" s="420" t="n">
        <f aca="false">S814-Débit*pas</f>
        <v>1.4843</v>
      </c>
      <c r="T815" s="418" t="n">
        <f aca="false">m*g</f>
        <v>14.560983</v>
      </c>
      <c r="U815" s="422" t="n">
        <f aca="false">IF(pos_xz&lt;L_rampe,Poids*COS(Beta),0)</f>
        <v>0</v>
      </c>
      <c r="V815" s="419" t="n">
        <f aca="false">Rho_moyen*(20000-Alt_rampe-pos_z)/(20000+Alt_rampe+pos_z)</f>
        <v>1.2259488178055</v>
      </c>
      <c r="W815" s="418" t="n">
        <f aca="false">1/2*Rho*Sref*Cx*vit_xz^2</f>
        <v>5.58652527386484</v>
      </c>
      <c r="X815" s="402"/>
      <c r="Y815" s="423" t="str">
        <f aca="false">IF(AND(pos_z&lt;=0,K814&gt;0),"Impact balistique","") &amp; IF(AND(H816&lt;0,vit_z&gt;=0),"Apogée","") &amp; IF(AND(Poussee=0,Q814&gt;0),"Fin de propulsion","") &amp; IF(AND(L816&gt;L_rampe,pos_xz&lt;=L_rampe),"Sortie de rampe","")</f>
        <v/>
      </c>
      <c r="Z815" s="424" t="str">
        <f aca="false">IF(ABS(t-T_para)&lt;pas/2,"Para","")</f>
        <v/>
      </c>
      <c r="AA815" s="425" t="str">
        <f aca="false">IF(ABS(t-T_satellite)&lt;pas/2,"Satellite","")</f>
        <v/>
      </c>
      <c r="AB815" s="413"/>
      <c r="AC815" s="421" t="e">
        <f aca="false">IF(ABS(t-ROUND(t,0))&lt;0.001,t,NA())</f>
        <v>#N/A</v>
      </c>
      <c r="AD815" s="426" t="e">
        <f aca="false">IF(ABS(t-ROUND(t,0))&lt;0.001,pos_x,NA())</f>
        <v>#N/A</v>
      </c>
      <c r="AE815" s="427" t="e">
        <f aca="false">IF(t&lt;T_para, pos_z, NA())</f>
        <v>#N/A</v>
      </c>
      <c r="AF815" s="413"/>
      <c r="AG815" s="419" t="n">
        <f aca="false">IF(AND(L814&lt;L_rampe,Poussee&lt;Poids*SIN(M814)),0,(-W814+Poussee)/m-Poids*SIN(M814)/m)</f>
        <v>5.94587967349966</v>
      </c>
      <c r="AH815" s="418" t="n">
        <f aca="false">IF(AND(L814&lt;L_rampe,Poussee&lt;Poids*SIN(M814)), g*SIN(M814), (-W814+Poussee)/m)</f>
        <v>-3.76367910851018</v>
      </c>
    </row>
    <row r="816" customFormat="false" ht="12" hidden="false" customHeight="false" outlineLevel="0" collapsed="false">
      <c r="A816" s="417" t="n">
        <f aca="false">IF(B815+0.01&lt;=T_ini+ROUNDUP(Temps_fin_propu,0), 0.01, IF(K815&gt;0, 0.1, 0.0001))</f>
        <v>0.0001</v>
      </c>
      <c r="B816" s="418" t="n">
        <f aca="false">B815+pas</f>
        <v>16.5466999999999</v>
      </c>
      <c r="C816" s="402"/>
      <c r="D816" s="419" t="n">
        <f aca="false">IF(AND(L815&lt;L_rampe,Poussee&lt;Poids*SIN(M815)),0,(-W815+Poussee)/m*COS(M815)-U815/m*SIN(M815))</f>
        <v>-0.537200232234142</v>
      </c>
      <c r="E816" s="420" t="n">
        <f aca="false">IF(AND(L815&lt;L_rampe,Poussee&lt;Poids*SIN(M815)),0,(-W815+Poussee)/m*SIN(M815)+U815/m*COS(M815)-Poids/m)</f>
        <v>-6.0847905984695</v>
      </c>
      <c r="F816" s="418" t="n">
        <f aca="false">SQRT(acc_x^2+acc_z^2)</f>
        <v>6.10845812924467</v>
      </c>
      <c r="G816" s="419" t="n">
        <f aca="false">G815+acc_x*pas</f>
        <v>10.2621694020045</v>
      </c>
      <c r="H816" s="420" t="n">
        <f aca="false">H815+acc_z*pas</f>
        <v>-71.1638875710892</v>
      </c>
      <c r="I816" s="418" t="n">
        <f aca="false">SQRT(vit_x^2+vit_z^2)</f>
        <v>71.9000070588735</v>
      </c>
      <c r="J816" s="419" t="n">
        <f aca="false">J815+0.5*(vit_x+G815)*pas*(K815&gt;=0)</f>
        <v>211.791153319536</v>
      </c>
      <c r="K816" s="420" t="n">
        <f aca="false">K815+0.5*(vit_z+H815)*pas</f>
        <v>-7.74956939209644</v>
      </c>
      <c r="L816" s="418" t="n">
        <f aca="false">SQRT(pos_x^2+pos_z^2)</f>
        <v>211.932886665053</v>
      </c>
      <c r="M816" s="419" t="n">
        <f aca="false">IF(AND(L815&gt;L_rampe,G816&gt;0),ATAN2(G816,H816),$M$4)</f>
        <v>-1.42757888378709</v>
      </c>
      <c r="N816" s="418" t="n">
        <f aca="false">DEGREES(Beta)</f>
        <v>-81.7942449629974</v>
      </c>
      <c r="O816" s="402"/>
      <c r="P816" s="421" t="n">
        <f aca="false">MATCH(t-pas/2-T_ini,CdP_t)</f>
        <v>23</v>
      </c>
      <c r="Q816" s="418" t="n">
        <f aca="false">(INDEX(CdP,2,i_P+1)-INDEX(CdP,2,i_P+0))/(INDEX(CdP,1,i_P+1)-INDEX(CdP,1,i_P+0))*(t-pas/2-T_ini-INDEX(CdP,1,i_P+0))+INDEX(CdP,2,i_P+0)</f>
        <v>0</v>
      </c>
      <c r="R816" s="419" t="n">
        <f aca="false">Poussee/(g*ISP)</f>
        <v>0</v>
      </c>
      <c r="S816" s="420" t="n">
        <f aca="false">S815-Débit*pas</f>
        <v>1.4843</v>
      </c>
      <c r="T816" s="418" t="n">
        <f aca="false">m*g</f>
        <v>14.560983</v>
      </c>
      <c r="U816" s="422" t="n">
        <f aca="false">IF(pos_xz&lt;L_rampe,Poids*COS(Beta),0)</f>
        <v>0</v>
      </c>
      <c r="V816" s="419" t="n">
        <f aca="false">Rho_moyen*(20000-Alt_rampe-pos_z)/(20000+Alt_rampe+pos_z)</f>
        <v>1.22594969023505</v>
      </c>
      <c r="W816" s="418" t="n">
        <f aca="false">1/2*Rho*Sref*Cx*vit_xz^2</f>
        <v>5.58662164693385</v>
      </c>
      <c r="X816" s="402"/>
      <c r="Y816" s="423" t="str">
        <f aca="false">IF(AND(pos_z&lt;=0,K815&gt;0),"Impact balistique","") &amp; IF(AND(H817&lt;0,vit_z&gt;=0),"Apogée","") &amp; IF(AND(Poussee=0,Q815&gt;0),"Fin de propulsion","") &amp; IF(AND(L817&gt;L_rampe,pos_xz&lt;=L_rampe),"Sortie de rampe","")</f>
        <v/>
      </c>
      <c r="Z816" s="424" t="str">
        <f aca="false">IF(ABS(t-T_para)&lt;pas/2,"Para","")</f>
        <v/>
      </c>
      <c r="AA816" s="425" t="str">
        <f aca="false">IF(ABS(t-T_satellite)&lt;pas/2,"Satellite","")</f>
        <v/>
      </c>
      <c r="AB816" s="413"/>
      <c r="AC816" s="421" t="e">
        <f aca="false">IF(ABS(t-ROUND(t,0))&lt;0.001,t,NA())</f>
        <v>#N/A</v>
      </c>
      <c r="AD816" s="426" t="e">
        <f aca="false">IF(ABS(t-ROUND(t,0))&lt;0.001,pos_x,NA())</f>
        <v>#N/A</v>
      </c>
      <c r="AE816" s="427" t="e">
        <f aca="false">IF(t&lt;T_para, pos_z, NA())</f>
        <v>#N/A</v>
      </c>
      <c r="AF816" s="413"/>
      <c r="AG816" s="419" t="n">
        <f aca="false">IF(AND(L815&lt;L_rampe,Poussee&lt;Poids*SIN(M815)),0,(-W815+Poussee)/m-Poids*SIN(M815)/m)</f>
        <v>5.9458174719837</v>
      </c>
      <c r="AH816" s="418" t="n">
        <f aca="false">IF(AND(L815&lt;L_rampe,Poussee&lt;Poids*SIN(M815)), g*SIN(M815), (-W815+Poussee)/m)</f>
        <v>-3.7637440368287</v>
      </c>
    </row>
    <row r="817" customFormat="false" ht="12" hidden="false" customHeight="false" outlineLevel="0" collapsed="false">
      <c r="A817" s="417" t="n">
        <f aca="false">IF(B816+0.01&lt;=T_ini+ROUNDUP(Temps_fin_propu,0), 0.01, IF(K816&gt;0, 0.1, 0.0001))</f>
        <v>0.0001</v>
      </c>
      <c r="B817" s="418" t="n">
        <f aca="false">B816+pas</f>
        <v>16.5467999999999</v>
      </c>
      <c r="C817" s="402"/>
      <c r="D817" s="419" t="n">
        <f aca="false">IF(AND(L816&lt;L_rampe,Poussee&lt;Poids*SIN(M816)),0,(-W816+Poussee)/m*COS(M816)-U816/m*SIN(M816))</f>
        <v>-0.537202244851808</v>
      </c>
      <c r="E817" s="420" t="n">
        <f aca="false">IF(AND(L816&lt;L_rampe,Poussee&lt;Poids*SIN(M816)),0,(-W816+Poussee)/m*SIN(M816)+U816/m*COS(M816)-Poids/m)</f>
        <v>-6.08472528877728</v>
      </c>
      <c r="F817" s="418" t="n">
        <f aca="false">SQRT(acc_x^2+acc_z^2)</f>
        <v>6.10839324960006</v>
      </c>
      <c r="G817" s="419" t="n">
        <f aca="false">G816+acc_x*pas</f>
        <v>10.26211568178</v>
      </c>
      <c r="H817" s="420" t="n">
        <f aca="false">H816+acc_z*pas</f>
        <v>-71.164496043618</v>
      </c>
      <c r="I817" s="418" t="n">
        <f aca="false">SQRT(vit_x^2+vit_z^2)</f>
        <v>71.9006016345368</v>
      </c>
      <c r="J817" s="419" t="n">
        <f aca="false">J816+0.5*(vit_x+G816)*pas*(K816&gt;=0)</f>
        <v>211.791153319536</v>
      </c>
      <c r="K817" s="420" t="n">
        <f aca="false">K816+0.5*(vit_z+H816)*pas</f>
        <v>-7.75668581127717</v>
      </c>
      <c r="L817" s="418" t="n">
        <f aca="false">SQRT(pos_x^2+pos_z^2)</f>
        <v>211.933147004413</v>
      </c>
      <c r="M817" s="419" t="n">
        <f aca="false">IF(AND(L816&gt;L_rampe,G817&gt;0),ATAN2(G817,H817),$M$4)</f>
        <v>-1.42758083114926</v>
      </c>
      <c r="N817" s="418" t="n">
        <f aca="false">DEGREES(Beta)</f>
        <v>-81.794356538631</v>
      </c>
      <c r="O817" s="402"/>
      <c r="P817" s="421" t="n">
        <f aca="false">MATCH(t-pas/2-T_ini,CdP_t)</f>
        <v>23</v>
      </c>
      <c r="Q817" s="418" t="n">
        <f aca="false">(INDEX(CdP,2,i_P+1)-INDEX(CdP,2,i_P+0))/(INDEX(CdP,1,i_P+1)-INDEX(CdP,1,i_P+0))*(t-pas/2-T_ini-INDEX(CdP,1,i_P+0))+INDEX(CdP,2,i_P+0)</f>
        <v>0</v>
      </c>
      <c r="R817" s="419" t="n">
        <f aca="false">Poussee/(g*ISP)</f>
        <v>0</v>
      </c>
      <c r="S817" s="420" t="n">
        <f aca="false">S816-Débit*pas</f>
        <v>1.4843</v>
      </c>
      <c r="T817" s="418" t="n">
        <f aca="false">m*g</f>
        <v>14.560983</v>
      </c>
      <c r="U817" s="422" t="n">
        <f aca="false">IF(pos_xz&lt;L_rampe,Poids*COS(Beta),0)</f>
        <v>0</v>
      </c>
      <c r="V817" s="419" t="n">
        <f aca="false">Rho_moyen*(20000-Alt_rampe-pos_z)/(20000+Alt_rampe+pos_z)</f>
        <v>1.22595056267268</v>
      </c>
      <c r="W817" s="418" t="n">
        <f aca="false">1/2*Rho*Sref*Cx*vit_xz^2</f>
        <v>5.58671801996866</v>
      </c>
      <c r="X817" s="402"/>
      <c r="Y817" s="423" t="str">
        <f aca="false">IF(AND(pos_z&lt;=0,K816&gt;0),"Impact balistique","") &amp; IF(AND(H818&lt;0,vit_z&gt;=0),"Apogée","") &amp; IF(AND(Poussee=0,Q816&gt;0),"Fin de propulsion","") &amp; IF(AND(L818&gt;L_rampe,pos_xz&lt;=L_rampe),"Sortie de rampe","")</f>
        <v/>
      </c>
      <c r="Z817" s="424" t="str">
        <f aca="false">IF(ABS(t-T_para)&lt;pas/2,"Para","")</f>
        <v/>
      </c>
      <c r="AA817" s="425" t="str">
        <f aca="false">IF(ABS(t-T_satellite)&lt;pas/2,"Satellite","")</f>
        <v/>
      </c>
      <c r="AB817" s="413"/>
      <c r="AC817" s="421" t="e">
        <f aca="false">IF(ABS(t-ROUND(t,0))&lt;0.001,t,NA())</f>
        <v>#N/A</v>
      </c>
      <c r="AD817" s="426" t="e">
        <f aca="false">IF(ABS(t-ROUND(t,0))&lt;0.001,pos_x,NA())</f>
        <v>#N/A</v>
      </c>
      <c r="AE817" s="427" t="e">
        <f aca="false">IF(t&lt;T_para, pos_z, NA())</f>
        <v>#N/A</v>
      </c>
      <c r="AF817" s="413"/>
      <c r="AG817" s="419" t="n">
        <f aca="false">IF(AND(L816&lt;L_rampe,Poussee&lt;Poids*SIN(M816)),0,(-W816+Poussee)/m-Poids*SIN(M816)/m)</f>
        <v>5.94575527039456</v>
      </c>
      <c r="AH817" s="418" t="n">
        <f aca="false">IF(AND(L816&lt;L_rampe,Poussee&lt;Poids*SIN(M816)), g*SIN(M816), (-W816+Poussee)/m)</f>
        <v>-3.7638089651242</v>
      </c>
    </row>
    <row r="818" customFormat="false" ht="12" hidden="false" customHeight="false" outlineLevel="0" collapsed="false">
      <c r="A818" s="417" t="n">
        <f aca="false">IF(B817+0.01&lt;=T_ini+ROUNDUP(Temps_fin_propu,0), 0.01, IF(K817&gt;0, 0.1, 0.0001))</f>
        <v>0.0001</v>
      </c>
      <c r="B818" s="418" t="n">
        <f aca="false">B817+pas</f>
        <v>16.5468999999999</v>
      </c>
      <c r="C818" s="402"/>
      <c r="D818" s="419" t="n">
        <f aca="false">IF(AND(L817&lt;L_rampe,Poussee&lt;Poids*SIN(M817)),0,(-W817+Poussee)/m*COS(M817)-U817/m*SIN(M817))</f>
        <v>-0.537204257371816</v>
      </c>
      <c r="E818" s="420" t="n">
        <f aca="false">IF(AND(L817&lt;L_rampe,Poussee&lt;Poids*SIN(M817)),0,(-W817+Poussee)/m*SIN(M817)+U817/m*COS(M817)-Poids/m)</f>
        <v>-6.08465997910868</v>
      </c>
      <c r="F818" s="418" t="n">
        <f aca="false">SQRT(acc_x^2+acc_z^2)</f>
        <v>6.10832836998022</v>
      </c>
      <c r="G818" s="419" t="n">
        <f aca="false">G817+acc_x*pas</f>
        <v>10.2620619613542</v>
      </c>
      <c r="H818" s="420" t="n">
        <f aca="false">H817+acc_z*pas</f>
        <v>-71.165104509616</v>
      </c>
      <c r="I818" s="418" t="n">
        <f aca="false">SQRT(vit_x^2+vit_z^2)</f>
        <v>71.9011962039801</v>
      </c>
      <c r="J818" s="419" t="n">
        <f aca="false">J817+0.5*(vit_x+G817)*pas*(K817&gt;=0)</f>
        <v>211.791153319536</v>
      </c>
      <c r="K818" s="420" t="n">
        <f aca="false">K817+0.5*(vit_z+H817)*pas</f>
        <v>-7.76380229130483</v>
      </c>
      <c r="L818" s="418" t="n">
        <f aca="false">SQRT(pos_x^2+pos_z^2)</f>
        <v>211.933407584641</v>
      </c>
      <c r="M818" s="419" t="n">
        <f aca="false">IF(AND(L817&gt;L_rampe,G818&gt;0),ATAN2(G818,H818),$M$4)</f>
        <v>-1.42758277846904</v>
      </c>
      <c r="N818" s="418" t="n">
        <f aca="false">DEGREES(Beta)</f>
        <v>-81.7944681118353</v>
      </c>
      <c r="O818" s="402"/>
      <c r="P818" s="421" t="n">
        <f aca="false">MATCH(t-pas/2-T_ini,CdP_t)</f>
        <v>23</v>
      </c>
      <c r="Q818" s="418" t="n">
        <f aca="false">(INDEX(CdP,2,i_P+1)-INDEX(CdP,2,i_P+0))/(INDEX(CdP,1,i_P+1)-INDEX(CdP,1,i_P+0))*(t-pas/2-T_ini-INDEX(CdP,1,i_P+0))+INDEX(CdP,2,i_P+0)</f>
        <v>0</v>
      </c>
      <c r="R818" s="419" t="n">
        <f aca="false">Poussee/(g*ISP)</f>
        <v>0</v>
      </c>
      <c r="S818" s="420" t="n">
        <f aca="false">S817-Débit*pas</f>
        <v>1.4843</v>
      </c>
      <c r="T818" s="418" t="n">
        <f aca="false">m*g</f>
        <v>14.560983</v>
      </c>
      <c r="U818" s="422" t="n">
        <f aca="false">IF(pos_xz&lt;L_rampe,Poids*COS(Beta),0)</f>
        <v>0</v>
      </c>
      <c r="V818" s="419" t="n">
        <f aca="false">Rho_moyen*(20000-Alt_rampe-pos_z)/(20000+Alt_rampe+pos_z)</f>
        <v>1.22595143511839</v>
      </c>
      <c r="W818" s="418" t="n">
        <f aca="false">1/2*Rho*Sref*Cx*vit_xz^2</f>
        <v>5.58681439296925</v>
      </c>
      <c r="X818" s="402"/>
      <c r="Y818" s="423" t="str">
        <f aca="false">IF(AND(pos_z&lt;=0,K817&gt;0),"Impact balistique","") &amp; IF(AND(H819&lt;0,vit_z&gt;=0),"Apogée","") &amp; IF(AND(Poussee=0,Q817&gt;0),"Fin de propulsion","") &amp; IF(AND(L819&gt;L_rampe,pos_xz&lt;=L_rampe),"Sortie de rampe","")</f>
        <v/>
      </c>
      <c r="Z818" s="424" t="str">
        <f aca="false">IF(ABS(t-T_para)&lt;pas/2,"Para","")</f>
        <v/>
      </c>
      <c r="AA818" s="425" t="str">
        <f aca="false">IF(ABS(t-T_satellite)&lt;pas/2,"Satellite","")</f>
        <v/>
      </c>
      <c r="AB818" s="413"/>
      <c r="AC818" s="421" t="e">
        <f aca="false">IF(ABS(t-ROUND(t,0))&lt;0.001,t,NA())</f>
        <v>#N/A</v>
      </c>
      <c r="AD818" s="426" t="e">
        <f aca="false">IF(ABS(t-ROUND(t,0))&lt;0.001,pos_x,NA())</f>
        <v>#N/A</v>
      </c>
      <c r="AE818" s="427" t="e">
        <f aca="false">IF(t&lt;T_para, pos_z, NA())</f>
        <v>#N/A</v>
      </c>
      <c r="AF818" s="413"/>
      <c r="AG818" s="419" t="n">
        <f aca="false">IF(AND(L817&lt;L_rampe,Poussee&lt;Poids*SIN(M817)),0,(-W817+Poussee)/m-Poids*SIN(M817)/m)</f>
        <v>5.94569306873228</v>
      </c>
      <c r="AH818" s="418" t="n">
        <f aca="false">IF(AND(L817&lt;L_rampe,Poussee&lt;Poids*SIN(M817)), g*SIN(M817), (-W817+Poussee)/m)</f>
        <v>-3.76387389339666</v>
      </c>
    </row>
    <row r="819" customFormat="false" ht="12" hidden="false" customHeight="false" outlineLevel="0" collapsed="false">
      <c r="A819" s="417" t="n">
        <f aca="false">IF(B818+0.01&lt;=T_ini+ROUNDUP(Temps_fin_propu,0), 0.01, IF(K818&gt;0, 0.1, 0.0001))</f>
        <v>0.0001</v>
      </c>
      <c r="B819" s="418" t="n">
        <f aca="false">B818+pas</f>
        <v>16.5469999999999</v>
      </c>
      <c r="C819" s="402"/>
      <c r="D819" s="419" t="n">
        <f aca="false">IF(AND(L818&lt;L_rampe,Poussee&lt;Poids*SIN(M818)),0,(-W818+Poussee)/m*COS(M818)-U818/m*SIN(M818))</f>
        <v>-0.537206269794166</v>
      </c>
      <c r="E819" s="420" t="n">
        <f aca="false">IF(AND(L818&lt;L_rampe,Poussee&lt;Poids*SIN(M818)),0,(-W818+Poussee)/m*SIN(M818)+U818/m*COS(M818)-Poids/m)</f>
        <v>-6.08459466946371</v>
      </c>
      <c r="F819" s="418" t="n">
        <f aca="false">SQRT(acc_x^2+acc_z^2)</f>
        <v>6.10826349038516</v>
      </c>
      <c r="G819" s="419" t="n">
        <f aca="false">G818+acc_x*pas</f>
        <v>10.2620082407273</v>
      </c>
      <c r="H819" s="420" t="n">
        <f aca="false">H818+acc_z*pas</f>
        <v>-71.1657129690829</v>
      </c>
      <c r="I819" s="418" t="n">
        <f aca="false">SQRT(vit_x^2+vit_z^2)</f>
        <v>71.9017907672031</v>
      </c>
      <c r="J819" s="419" t="n">
        <f aca="false">J818+0.5*(vit_x+G818)*pas*(K818&gt;=0)</f>
        <v>211.791153319536</v>
      </c>
      <c r="K819" s="420" t="n">
        <f aca="false">K818+0.5*(vit_z+H818)*pas</f>
        <v>-7.77091883217877</v>
      </c>
      <c r="L819" s="418" t="n">
        <f aca="false">SQRT(pos_x^2+pos_z^2)</f>
        <v>211.933668405743</v>
      </c>
      <c r="M819" s="419" t="n">
        <f aca="false">IF(AND(L818&gt;L_rampe,G819&gt;0),ATAN2(G819,H819),$M$4)</f>
        <v>-1.42758472574641</v>
      </c>
      <c r="N819" s="418" t="n">
        <f aca="false">DEGREES(Beta)</f>
        <v>-81.7945796826103</v>
      </c>
      <c r="O819" s="402"/>
      <c r="P819" s="421" t="n">
        <f aca="false">MATCH(t-pas/2-T_ini,CdP_t)</f>
        <v>23</v>
      </c>
      <c r="Q819" s="418" t="n">
        <f aca="false">(INDEX(CdP,2,i_P+1)-INDEX(CdP,2,i_P+0))/(INDEX(CdP,1,i_P+1)-INDEX(CdP,1,i_P+0))*(t-pas/2-T_ini-INDEX(CdP,1,i_P+0))+INDEX(CdP,2,i_P+0)</f>
        <v>0</v>
      </c>
      <c r="R819" s="419" t="n">
        <f aca="false">Poussee/(g*ISP)</f>
        <v>0</v>
      </c>
      <c r="S819" s="420" t="n">
        <f aca="false">S818-Débit*pas</f>
        <v>1.4843</v>
      </c>
      <c r="T819" s="418" t="n">
        <f aca="false">m*g</f>
        <v>14.560983</v>
      </c>
      <c r="U819" s="422" t="n">
        <f aca="false">IF(pos_xz&lt;L_rampe,Poids*COS(Beta),0)</f>
        <v>0</v>
      </c>
      <c r="V819" s="419" t="n">
        <f aca="false">Rho_moyen*(20000-Alt_rampe-pos_z)/(20000+Alt_rampe+pos_z)</f>
        <v>1.22595230757218</v>
      </c>
      <c r="W819" s="418" t="n">
        <f aca="false">1/2*Rho*Sref*Cx*vit_xz^2</f>
        <v>5.58691076593559</v>
      </c>
      <c r="X819" s="402"/>
      <c r="Y819" s="423" t="str">
        <f aca="false">IF(AND(pos_z&lt;=0,K818&gt;0),"Impact balistique","") &amp; IF(AND(H820&lt;0,vit_z&gt;=0),"Apogée","") &amp; IF(AND(Poussee=0,Q818&gt;0),"Fin de propulsion","") &amp; IF(AND(L820&gt;L_rampe,pos_xz&lt;=L_rampe),"Sortie de rampe","")</f>
        <v/>
      </c>
      <c r="Z819" s="424" t="str">
        <f aca="false">IF(ABS(t-T_para)&lt;pas/2,"Para","")</f>
        <v/>
      </c>
      <c r="AA819" s="425" t="str">
        <f aca="false">IF(ABS(t-T_satellite)&lt;pas/2,"Satellite","")</f>
        <v/>
      </c>
      <c r="AB819" s="413"/>
      <c r="AC819" s="421" t="e">
        <f aca="false">IF(ABS(t-ROUND(t,0))&lt;0.001,t,NA())</f>
        <v>#N/A</v>
      </c>
      <c r="AD819" s="426" t="e">
        <f aca="false">IF(ABS(t-ROUND(t,0))&lt;0.001,pos_x,NA())</f>
        <v>#N/A</v>
      </c>
      <c r="AE819" s="427" t="e">
        <f aca="false">IF(t&lt;T_para, pos_z, NA())</f>
        <v>#N/A</v>
      </c>
      <c r="AF819" s="413"/>
      <c r="AG819" s="419" t="n">
        <f aca="false">IF(AND(L818&lt;L_rampe,Poussee&lt;Poids*SIN(M818)),0,(-W818+Poussee)/m-Poids*SIN(M818)/m)</f>
        <v>5.94563086699686</v>
      </c>
      <c r="AH819" s="418" t="n">
        <f aca="false">IF(AND(L818&lt;L_rampe,Poussee&lt;Poids*SIN(M818)), g*SIN(M818), (-W818+Poussee)/m)</f>
        <v>-3.76393882164607</v>
      </c>
    </row>
    <row r="820" customFormat="false" ht="12" hidden="false" customHeight="false" outlineLevel="0" collapsed="false">
      <c r="A820" s="417" t="n">
        <f aca="false">IF(B819+0.01&lt;=T_ini+ROUNDUP(Temps_fin_propu,0), 0.01, IF(K819&gt;0, 0.1, 0.0001))</f>
        <v>0.0001</v>
      </c>
      <c r="B820" s="418" t="n">
        <f aca="false">B819+pas</f>
        <v>16.5470999999999</v>
      </c>
      <c r="C820" s="402"/>
      <c r="D820" s="419" t="n">
        <f aca="false">IF(AND(L819&lt;L_rampe,Poussee&lt;Poids*SIN(M819)),0,(-W819+Poussee)/m*COS(M819)-U819/m*SIN(M819))</f>
        <v>-0.53720828211886</v>
      </c>
      <c r="E820" s="420" t="n">
        <f aca="false">IF(AND(L819&lt;L_rampe,Poussee&lt;Poids*SIN(M819)),0,(-W819+Poussee)/m*SIN(M819)+U819/m*COS(M819)-Poids/m)</f>
        <v>-6.08452935984239</v>
      </c>
      <c r="F820" s="418" t="n">
        <f aca="false">SQRT(acc_x^2+acc_z^2)</f>
        <v>6.1081986108149</v>
      </c>
      <c r="G820" s="419" t="n">
        <f aca="false">G819+acc_x*pas</f>
        <v>10.261954519899</v>
      </c>
      <c r="H820" s="420" t="n">
        <f aca="false">H819+acc_z*pas</f>
        <v>-71.1663214220189</v>
      </c>
      <c r="I820" s="418" t="n">
        <f aca="false">SQRT(vit_x^2+vit_z^2)</f>
        <v>71.9023853242059</v>
      </c>
      <c r="J820" s="419" t="n">
        <f aca="false">J819+0.5*(vit_x+G819)*pas*(K819&gt;=0)</f>
        <v>211.791153319536</v>
      </c>
      <c r="K820" s="420" t="n">
        <f aca="false">K819+0.5*(vit_z+H819)*pas</f>
        <v>-7.77803543389832</v>
      </c>
      <c r="L820" s="418" t="n">
        <f aca="false">SQRT(pos_x^2+pos_z^2)</f>
        <v>211.933929467724</v>
      </c>
      <c r="M820" s="419" t="n">
        <f aca="false">IF(AND(L819&gt;L_rampe,G820&gt;0),ATAN2(G820,H820),$M$4)</f>
        <v>-1.42758667298138</v>
      </c>
      <c r="N820" s="418" t="n">
        <f aca="false">DEGREES(Beta)</f>
        <v>-81.794691250956</v>
      </c>
      <c r="O820" s="402"/>
      <c r="P820" s="421" t="n">
        <f aca="false">MATCH(t-pas/2-T_ini,CdP_t)</f>
        <v>23</v>
      </c>
      <c r="Q820" s="418" t="n">
        <f aca="false">(INDEX(CdP,2,i_P+1)-INDEX(CdP,2,i_P+0))/(INDEX(CdP,1,i_P+1)-INDEX(CdP,1,i_P+0))*(t-pas/2-T_ini-INDEX(CdP,1,i_P+0))+INDEX(CdP,2,i_P+0)</f>
        <v>0</v>
      </c>
      <c r="R820" s="419" t="n">
        <f aca="false">Poussee/(g*ISP)</f>
        <v>0</v>
      </c>
      <c r="S820" s="420" t="n">
        <f aca="false">S819-Débit*pas</f>
        <v>1.4843</v>
      </c>
      <c r="T820" s="418" t="n">
        <f aca="false">m*g</f>
        <v>14.560983</v>
      </c>
      <c r="U820" s="422" t="n">
        <f aca="false">IF(pos_xz&lt;L_rampe,Poids*COS(Beta),0)</f>
        <v>0</v>
      </c>
      <c r="V820" s="419" t="n">
        <f aca="false">Rho_moyen*(20000-Alt_rampe-pos_z)/(20000+Alt_rampe+pos_z)</f>
        <v>1.22595318003406</v>
      </c>
      <c r="W820" s="418" t="n">
        <f aca="false">1/2*Rho*Sref*Cx*vit_xz^2</f>
        <v>5.58700713886767</v>
      </c>
      <c r="X820" s="402"/>
      <c r="Y820" s="423" t="str">
        <f aca="false">IF(AND(pos_z&lt;=0,K819&gt;0),"Impact balistique","") &amp; IF(AND(H821&lt;0,vit_z&gt;=0),"Apogée","") &amp; IF(AND(Poussee=0,Q819&gt;0),"Fin de propulsion","") &amp; IF(AND(L821&gt;L_rampe,pos_xz&lt;=L_rampe),"Sortie de rampe","")</f>
        <v/>
      </c>
      <c r="Z820" s="424" t="str">
        <f aca="false">IF(ABS(t-T_para)&lt;pas/2,"Para","")</f>
        <v/>
      </c>
      <c r="AA820" s="425" t="str">
        <f aca="false">IF(ABS(t-T_satellite)&lt;pas/2,"Satellite","")</f>
        <v/>
      </c>
      <c r="AB820" s="413"/>
      <c r="AC820" s="421" t="e">
        <f aca="false">IF(ABS(t-ROUND(t,0))&lt;0.001,t,NA())</f>
        <v>#N/A</v>
      </c>
      <c r="AD820" s="426" t="e">
        <f aca="false">IF(ABS(t-ROUND(t,0))&lt;0.001,pos_x,NA())</f>
        <v>#N/A</v>
      </c>
      <c r="AE820" s="427" t="e">
        <f aca="false">IF(t&lt;T_para, pos_z, NA())</f>
        <v>#N/A</v>
      </c>
      <c r="AF820" s="413"/>
      <c r="AG820" s="419" t="n">
        <f aca="false">IF(AND(L819&lt;L_rampe,Poussee&lt;Poids*SIN(M819)),0,(-W819+Poussee)/m-Poids*SIN(M819)/m)</f>
        <v>5.94556866518833</v>
      </c>
      <c r="AH820" s="418" t="n">
        <f aca="false">IF(AND(L819&lt;L_rampe,Poussee&lt;Poids*SIN(M819)), g*SIN(M819), (-W819+Poussee)/m)</f>
        <v>-3.7640037498724</v>
      </c>
    </row>
    <row r="821" customFormat="false" ht="12" hidden="false" customHeight="false" outlineLevel="0" collapsed="false">
      <c r="A821" s="417" t="n">
        <f aca="false">IF(B820+0.01&lt;=T_ini+ROUNDUP(Temps_fin_propu,0), 0.01, IF(K820&gt;0, 0.1, 0.0001))</f>
        <v>0.0001</v>
      </c>
      <c r="B821" s="418" t="n">
        <f aca="false">B820+pas</f>
        <v>16.5471999999999</v>
      </c>
      <c r="C821" s="402"/>
      <c r="D821" s="419" t="n">
        <f aca="false">IF(AND(L820&lt;L_rampe,Poussee&lt;Poids*SIN(M820)),0,(-W820+Poussee)/m*COS(M820)-U820/m*SIN(M820))</f>
        <v>-0.537210294345897</v>
      </c>
      <c r="E821" s="420" t="n">
        <f aca="false">IF(AND(L820&lt;L_rampe,Poussee&lt;Poids*SIN(M820)),0,(-W820+Poussee)/m*SIN(M820)+U820/m*COS(M820)-Poids/m)</f>
        <v>-6.08446405024473</v>
      </c>
      <c r="F821" s="418" t="n">
        <f aca="false">SQRT(acc_x^2+acc_z^2)</f>
        <v>6.10813373126946</v>
      </c>
      <c r="G821" s="419" t="n">
        <f aca="false">G820+acc_x*pas</f>
        <v>10.2619007988696</v>
      </c>
      <c r="H821" s="420" t="n">
        <f aca="false">H820+acc_z*pas</f>
        <v>-71.1669298684239</v>
      </c>
      <c r="I821" s="418" t="n">
        <f aca="false">SQRT(vit_x^2+vit_z^2)</f>
        <v>71.9029798749886</v>
      </c>
      <c r="J821" s="419" t="n">
        <f aca="false">J820+0.5*(vit_x+G820)*pas*(K820&gt;=0)</f>
        <v>211.791153319536</v>
      </c>
      <c r="K821" s="420" t="n">
        <f aca="false">K820+0.5*(vit_z+H820)*pas</f>
        <v>-7.78515209646285</v>
      </c>
      <c r="L821" s="418" t="n">
        <f aca="false">SQRT(pos_x^2+pos_z^2)</f>
        <v>211.934190770589</v>
      </c>
      <c r="M821" s="419" t="n">
        <f aca="false">IF(AND(L820&gt;L_rampe,G821&gt;0),ATAN2(G821,H821),$M$4)</f>
        <v>-1.42758862017396</v>
      </c>
      <c r="N821" s="418" t="n">
        <f aca="false">DEGREES(Beta)</f>
        <v>-81.7948028168727</v>
      </c>
      <c r="O821" s="402"/>
      <c r="P821" s="421" t="n">
        <f aca="false">MATCH(t-pas/2-T_ini,CdP_t)</f>
        <v>23</v>
      </c>
      <c r="Q821" s="418" t="n">
        <f aca="false">(INDEX(CdP,2,i_P+1)-INDEX(CdP,2,i_P+0))/(INDEX(CdP,1,i_P+1)-INDEX(CdP,1,i_P+0))*(t-pas/2-T_ini-INDEX(CdP,1,i_P+0))+INDEX(CdP,2,i_P+0)</f>
        <v>0</v>
      </c>
      <c r="R821" s="419" t="n">
        <f aca="false">Poussee/(g*ISP)</f>
        <v>0</v>
      </c>
      <c r="S821" s="420" t="n">
        <f aca="false">S820-Débit*pas</f>
        <v>1.4843</v>
      </c>
      <c r="T821" s="418" t="n">
        <f aca="false">m*g</f>
        <v>14.560983</v>
      </c>
      <c r="U821" s="422" t="n">
        <f aca="false">IF(pos_xz&lt;L_rampe,Poids*COS(Beta),0)</f>
        <v>0</v>
      </c>
      <c r="V821" s="419" t="n">
        <f aca="false">Rho_moyen*(20000-Alt_rampe-pos_z)/(20000+Alt_rampe+pos_z)</f>
        <v>1.22595405250401</v>
      </c>
      <c r="W821" s="418" t="n">
        <f aca="false">1/2*Rho*Sref*Cx*vit_xz^2</f>
        <v>5.58710351176545</v>
      </c>
      <c r="X821" s="402"/>
      <c r="Y821" s="423" t="str">
        <f aca="false">IF(AND(pos_z&lt;=0,K820&gt;0),"Impact balistique","") &amp; IF(AND(H822&lt;0,vit_z&gt;=0),"Apogée","") &amp; IF(AND(Poussee=0,Q820&gt;0),"Fin de propulsion","") &amp; IF(AND(L822&gt;L_rampe,pos_xz&lt;=L_rampe),"Sortie de rampe","")</f>
        <v/>
      </c>
      <c r="Z821" s="424" t="str">
        <f aca="false">IF(ABS(t-T_para)&lt;pas/2,"Para","")</f>
        <v/>
      </c>
      <c r="AA821" s="425" t="str">
        <f aca="false">IF(ABS(t-T_satellite)&lt;pas/2,"Satellite","")</f>
        <v/>
      </c>
      <c r="AB821" s="413"/>
      <c r="AC821" s="421" t="e">
        <f aca="false">IF(ABS(t-ROUND(t,0))&lt;0.001,t,NA())</f>
        <v>#N/A</v>
      </c>
      <c r="AD821" s="426" t="e">
        <f aca="false">IF(ABS(t-ROUND(t,0))&lt;0.001,pos_x,NA())</f>
        <v>#N/A</v>
      </c>
      <c r="AE821" s="427" t="e">
        <f aca="false">IF(t&lt;T_para, pos_z, NA())</f>
        <v>#N/A</v>
      </c>
      <c r="AF821" s="413"/>
      <c r="AG821" s="419" t="n">
        <f aca="false">IF(AND(L820&lt;L_rampe,Poussee&lt;Poids*SIN(M820)),0,(-W820+Poussee)/m-Poids*SIN(M820)/m)</f>
        <v>5.94550646330672</v>
      </c>
      <c r="AH821" s="418" t="n">
        <f aca="false">IF(AND(L820&lt;L_rampe,Poussee&lt;Poids*SIN(M820)), g*SIN(M820), (-W820+Poussee)/m)</f>
        <v>-3.76406867807564</v>
      </c>
    </row>
    <row r="822" customFormat="false" ht="12" hidden="false" customHeight="false" outlineLevel="0" collapsed="false">
      <c r="A822" s="417" t="n">
        <f aca="false">IF(B821+0.01&lt;=T_ini+ROUNDUP(Temps_fin_propu,0), 0.01, IF(K821&gt;0, 0.1, 0.0001))</f>
        <v>0.0001</v>
      </c>
      <c r="B822" s="418" t="n">
        <f aca="false">B821+pas</f>
        <v>16.5472999999999</v>
      </c>
      <c r="C822" s="402"/>
      <c r="D822" s="419" t="n">
        <f aca="false">IF(AND(L821&lt;L_rampe,Poussee&lt;Poids*SIN(M821)),0,(-W821+Poussee)/m*COS(M821)-U821/m*SIN(M821))</f>
        <v>-0.537212306475279</v>
      </c>
      <c r="E822" s="420" t="n">
        <f aca="false">IF(AND(L821&lt;L_rampe,Poussee&lt;Poids*SIN(M821)),0,(-W821+Poussee)/m*SIN(M821)+U821/m*COS(M821)-Poids/m)</f>
        <v>-6.08439874067076</v>
      </c>
      <c r="F822" s="418" t="n">
        <f aca="false">SQRT(acc_x^2+acc_z^2)</f>
        <v>6.10806885174884</v>
      </c>
      <c r="G822" s="419" t="n">
        <f aca="false">G821+acc_x*pas</f>
        <v>10.261847077639</v>
      </c>
      <c r="H822" s="420" t="n">
        <f aca="false">H821+acc_z*pas</f>
        <v>-71.167538308298</v>
      </c>
      <c r="I822" s="418" t="n">
        <f aca="false">SQRT(vit_x^2+vit_z^2)</f>
        <v>71.903574419551</v>
      </c>
      <c r="J822" s="419" t="n">
        <f aca="false">J821+0.5*(vit_x+G821)*pas*(K821&gt;=0)</f>
        <v>211.791153319536</v>
      </c>
      <c r="K822" s="420" t="n">
        <f aca="false">K821+0.5*(vit_z+H821)*pas</f>
        <v>-7.79226881987168</v>
      </c>
      <c r="L822" s="418" t="n">
        <f aca="false">SQRT(pos_x^2+pos_z^2)</f>
        <v>211.934452314343</v>
      </c>
      <c r="M822" s="419" t="n">
        <f aca="false">IF(AND(L821&gt;L_rampe,G822&gt;0),ATAN2(G822,H822),$M$4)</f>
        <v>-1.42759056732414</v>
      </c>
      <c r="N822" s="418" t="n">
        <f aca="false">DEGREES(Beta)</f>
        <v>-81.7949143803603</v>
      </c>
      <c r="O822" s="402"/>
      <c r="P822" s="421" t="n">
        <f aca="false">MATCH(t-pas/2-T_ini,CdP_t)</f>
        <v>23</v>
      </c>
      <c r="Q822" s="418" t="n">
        <f aca="false">(INDEX(CdP,2,i_P+1)-INDEX(CdP,2,i_P+0))/(INDEX(CdP,1,i_P+1)-INDEX(CdP,1,i_P+0))*(t-pas/2-T_ini-INDEX(CdP,1,i_P+0))+INDEX(CdP,2,i_P+0)</f>
        <v>0</v>
      </c>
      <c r="R822" s="419" t="n">
        <f aca="false">Poussee/(g*ISP)</f>
        <v>0</v>
      </c>
      <c r="S822" s="420" t="n">
        <f aca="false">S821-Débit*pas</f>
        <v>1.4843</v>
      </c>
      <c r="T822" s="418" t="n">
        <f aca="false">m*g</f>
        <v>14.560983</v>
      </c>
      <c r="U822" s="422" t="n">
        <f aca="false">IF(pos_xz&lt;L_rampe,Poids*COS(Beta),0)</f>
        <v>0</v>
      </c>
      <c r="V822" s="419" t="n">
        <f aca="false">Rho_moyen*(20000-Alt_rampe-pos_z)/(20000+Alt_rampe+pos_z)</f>
        <v>1.22595492498204</v>
      </c>
      <c r="W822" s="418" t="n">
        <f aca="false">1/2*Rho*Sref*Cx*vit_xz^2</f>
        <v>5.5871998846289</v>
      </c>
      <c r="X822" s="402"/>
      <c r="Y822" s="423" t="str">
        <f aca="false">IF(AND(pos_z&lt;=0,K821&gt;0),"Impact balistique","") &amp; IF(AND(H823&lt;0,vit_z&gt;=0),"Apogée","") &amp; IF(AND(Poussee=0,Q821&gt;0),"Fin de propulsion","") &amp; IF(AND(L823&gt;L_rampe,pos_xz&lt;=L_rampe),"Sortie de rampe","")</f>
        <v/>
      </c>
      <c r="Z822" s="424" t="str">
        <f aca="false">IF(ABS(t-T_para)&lt;pas/2,"Para","")</f>
        <v/>
      </c>
      <c r="AA822" s="425" t="str">
        <f aca="false">IF(ABS(t-T_satellite)&lt;pas/2,"Satellite","")</f>
        <v/>
      </c>
      <c r="AB822" s="413"/>
      <c r="AC822" s="421" t="e">
        <f aca="false">IF(ABS(t-ROUND(t,0))&lt;0.001,t,NA())</f>
        <v>#N/A</v>
      </c>
      <c r="AD822" s="426" t="e">
        <f aca="false">IF(ABS(t-ROUND(t,0))&lt;0.001,pos_x,NA())</f>
        <v>#N/A</v>
      </c>
      <c r="AE822" s="427" t="e">
        <f aca="false">IF(t&lt;T_para, pos_z, NA())</f>
        <v>#N/A</v>
      </c>
      <c r="AF822" s="413"/>
      <c r="AG822" s="419" t="n">
        <f aca="false">IF(AND(L821&lt;L_rampe,Poussee&lt;Poids*SIN(M821)),0,(-W821+Poussee)/m-Poids*SIN(M821)/m)</f>
        <v>5.94544426135203</v>
      </c>
      <c r="AH822" s="418" t="n">
        <f aca="false">IF(AND(L821&lt;L_rampe,Poussee&lt;Poids*SIN(M821)), g*SIN(M821), (-W821+Poussee)/m)</f>
        <v>-3.76413360625578</v>
      </c>
    </row>
    <row r="823" customFormat="false" ht="12" hidden="false" customHeight="false" outlineLevel="0" collapsed="false">
      <c r="A823" s="417" t="n">
        <f aca="false">IF(B822+0.01&lt;=T_ini+ROUNDUP(Temps_fin_propu,0), 0.01, IF(K822&gt;0, 0.1, 0.0001))</f>
        <v>0.0001</v>
      </c>
      <c r="B823" s="418" t="n">
        <f aca="false">B822+pas</f>
        <v>16.5473999999999</v>
      </c>
      <c r="C823" s="402"/>
      <c r="D823" s="419" t="n">
        <f aca="false">IF(AND(L822&lt;L_rampe,Poussee&lt;Poids*SIN(M822)),0,(-W822+Poussee)/m*COS(M822)-U822/m*SIN(M822))</f>
        <v>-0.537214318507005</v>
      </c>
      <c r="E823" s="420" t="n">
        <f aca="false">IF(AND(L822&lt;L_rampe,Poussee&lt;Poids*SIN(M822)),0,(-W822+Poussee)/m*SIN(M822)+U822/m*COS(M822)-Poids/m)</f>
        <v>-6.08433343112048</v>
      </c>
      <c r="F823" s="418" t="n">
        <f aca="false">SQRT(acc_x^2+acc_z^2)</f>
        <v>6.10800397225307</v>
      </c>
      <c r="G823" s="419" t="n">
        <f aca="false">G822+acc_x*pas</f>
        <v>10.2617933562071</v>
      </c>
      <c r="H823" s="420" t="n">
        <f aca="false">H822+acc_z*pas</f>
        <v>-71.1681467416411</v>
      </c>
      <c r="I823" s="418" t="n">
        <f aca="false">SQRT(vit_x^2+vit_z^2)</f>
        <v>71.9041689578932</v>
      </c>
      <c r="J823" s="419" t="n">
        <f aca="false">J822+0.5*(vit_x+G822)*pas*(K822&gt;=0)</f>
        <v>211.791153319536</v>
      </c>
      <c r="K823" s="420" t="n">
        <f aca="false">K822+0.5*(vit_z+H822)*pas</f>
        <v>-7.79938560412418</v>
      </c>
      <c r="L823" s="418" t="n">
        <f aca="false">SQRT(pos_x^2+pos_z^2)</f>
        <v>211.934714098991</v>
      </c>
      <c r="M823" s="419" t="n">
        <f aca="false">IF(AND(L822&gt;L_rampe,G823&gt;0),ATAN2(G823,H823),$M$4)</f>
        <v>-1.42759251443193</v>
      </c>
      <c r="N823" s="418" t="n">
        <f aca="false">DEGREES(Beta)</f>
        <v>-81.7950259414189</v>
      </c>
      <c r="O823" s="402"/>
      <c r="P823" s="421" t="n">
        <f aca="false">MATCH(t-pas/2-T_ini,CdP_t)</f>
        <v>23</v>
      </c>
      <c r="Q823" s="418" t="n">
        <f aca="false">(INDEX(CdP,2,i_P+1)-INDEX(CdP,2,i_P+0))/(INDEX(CdP,1,i_P+1)-INDEX(CdP,1,i_P+0))*(t-pas/2-T_ini-INDEX(CdP,1,i_P+0))+INDEX(CdP,2,i_P+0)</f>
        <v>0</v>
      </c>
      <c r="R823" s="419" t="n">
        <f aca="false">Poussee/(g*ISP)</f>
        <v>0</v>
      </c>
      <c r="S823" s="420" t="n">
        <f aca="false">S822-Débit*pas</f>
        <v>1.4843</v>
      </c>
      <c r="T823" s="418" t="n">
        <f aca="false">m*g</f>
        <v>14.560983</v>
      </c>
      <c r="U823" s="422" t="n">
        <f aca="false">IF(pos_xz&lt;L_rampe,Poids*COS(Beta),0)</f>
        <v>0</v>
      </c>
      <c r="V823" s="419" t="n">
        <f aca="false">Rho_moyen*(20000-Alt_rampe-pos_z)/(20000+Alt_rampe+pos_z)</f>
        <v>1.22595579746816</v>
      </c>
      <c r="W823" s="418" t="n">
        <f aca="false">1/2*Rho*Sref*Cx*vit_xz^2</f>
        <v>5.58729625745802</v>
      </c>
      <c r="X823" s="402"/>
      <c r="Y823" s="423" t="str">
        <f aca="false">IF(AND(pos_z&lt;=0,K822&gt;0),"Impact balistique","") &amp; IF(AND(H824&lt;0,vit_z&gt;=0),"Apogée","") &amp; IF(AND(Poussee=0,Q822&gt;0),"Fin de propulsion","") &amp; IF(AND(L824&gt;L_rampe,pos_xz&lt;=L_rampe),"Sortie de rampe","")</f>
        <v/>
      </c>
      <c r="Z823" s="424" t="str">
        <f aca="false">IF(ABS(t-T_para)&lt;pas/2,"Para","")</f>
        <v/>
      </c>
      <c r="AA823" s="425" t="str">
        <f aca="false">IF(ABS(t-T_satellite)&lt;pas/2,"Satellite","")</f>
        <v/>
      </c>
      <c r="AB823" s="413"/>
      <c r="AC823" s="421" t="e">
        <f aca="false">IF(ABS(t-ROUND(t,0))&lt;0.001,t,NA())</f>
        <v>#N/A</v>
      </c>
      <c r="AD823" s="426" t="e">
        <f aca="false">IF(ABS(t-ROUND(t,0))&lt;0.001,pos_x,NA())</f>
        <v>#N/A</v>
      </c>
      <c r="AE823" s="427" t="e">
        <f aca="false">IF(t&lt;T_para, pos_z, NA())</f>
        <v>#N/A</v>
      </c>
      <c r="AF823" s="413"/>
      <c r="AG823" s="419" t="n">
        <f aca="false">IF(AND(L822&lt;L_rampe,Poussee&lt;Poids*SIN(M822)),0,(-W822+Poussee)/m-Poids*SIN(M822)/m)</f>
        <v>5.9453820593243</v>
      </c>
      <c r="AH823" s="418" t="n">
        <f aca="false">IF(AND(L822&lt;L_rampe,Poussee&lt;Poids*SIN(M822)), g*SIN(M822), (-W822+Poussee)/m)</f>
        <v>-3.7641985344128</v>
      </c>
    </row>
    <row r="824" customFormat="false" ht="12" hidden="false" customHeight="false" outlineLevel="0" collapsed="false">
      <c r="A824" s="417" t="n">
        <f aca="false">IF(B823+0.01&lt;=T_ini+ROUNDUP(Temps_fin_propu,0), 0.01, IF(K823&gt;0, 0.1, 0.0001))</f>
        <v>0.0001</v>
      </c>
      <c r="B824" s="418" t="n">
        <f aca="false">B823+pas</f>
        <v>16.5474999999999</v>
      </c>
      <c r="C824" s="402"/>
      <c r="D824" s="419" t="n">
        <f aca="false">IF(AND(L823&lt;L_rampe,Poussee&lt;Poids*SIN(M823)),0,(-W823+Poussee)/m*COS(M823)-U823/m*SIN(M823))</f>
        <v>-0.537216330441078</v>
      </c>
      <c r="E824" s="420" t="n">
        <f aca="false">IF(AND(L823&lt;L_rampe,Poussee&lt;Poids*SIN(M823)),0,(-W823+Poussee)/m*SIN(M823)+U823/m*COS(M823)-Poids/m)</f>
        <v>-6.08426812159392</v>
      </c>
      <c r="F824" s="418" t="n">
        <f aca="false">SQRT(acc_x^2+acc_z^2)</f>
        <v>6.10793909278216</v>
      </c>
      <c r="G824" s="419" t="n">
        <f aca="false">G823+acc_x*pas</f>
        <v>10.2617396345741</v>
      </c>
      <c r="H824" s="420" t="n">
        <f aca="false">H823+acc_z*pas</f>
        <v>-71.1687551684533</v>
      </c>
      <c r="I824" s="418" t="n">
        <f aca="false">SQRT(vit_x^2+vit_z^2)</f>
        <v>71.9047634900153</v>
      </c>
      <c r="J824" s="419" t="n">
        <f aca="false">J823+0.5*(vit_x+G823)*pas*(K823&gt;=0)</f>
        <v>211.791153319536</v>
      </c>
      <c r="K824" s="420" t="n">
        <f aca="false">K823+0.5*(vit_z+H823)*pas</f>
        <v>-7.80650244921968</v>
      </c>
      <c r="L824" s="418" t="n">
        <f aca="false">SQRT(pos_x^2+pos_z^2)</f>
        <v>211.934976124539</v>
      </c>
      <c r="M824" s="419" t="n">
        <f aca="false">IF(AND(L823&gt;L_rampe,G824&gt;0),ATAN2(G824,H824),$M$4)</f>
        <v>-1.42759446149733</v>
      </c>
      <c r="N824" s="418" t="n">
        <f aca="false">DEGREES(Beta)</f>
        <v>-81.7951375000487</v>
      </c>
      <c r="O824" s="402"/>
      <c r="P824" s="421" t="n">
        <f aca="false">MATCH(t-pas/2-T_ini,CdP_t)</f>
        <v>23</v>
      </c>
      <c r="Q824" s="418" t="n">
        <f aca="false">(INDEX(CdP,2,i_P+1)-INDEX(CdP,2,i_P+0))/(INDEX(CdP,1,i_P+1)-INDEX(CdP,1,i_P+0))*(t-pas/2-T_ini-INDEX(CdP,1,i_P+0))+INDEX(CdP,2,i_P+0)</f>
        <v>0</v>
      </c>
      <c r="R824" s="419" t="n">
        <f aca="false">Poussee/(g*ISP)</f>
        <v>0</v>
      </c>
      <c r="S824" s="420" t="n">
        <f aca="false">S823-Débit*pas</f>
        <v>1.4843</v>
      </c>
      <c r="T824" s="418" t="n">
        <f aca="false">m*g</f>
        <v>14.560983</v>
      </c>
      <c r="U824" s="422" t="n">
        <f aca="false">IF(pos_xz&lt;L_rampe,Poids*COS(Beta),0)</f>
        <v>0</v>
      </c>
      <c r="V824" s="419" t="n">
        <f aca="false">Rho_moyen*(20000-Alt_rampe-pos_z)/(20000+Alt_rampe+pos_z)</f>
        <v>1.22595666996235</v>
      </c>
      <c r="W824" s="418" t="n">
        <f aca="false">1/2*Rho*Sref*Cx*vit_xz^2</f>
        <v>5.58739263025277</v>
      </c>
      <c r="X824" s="402"/>
      <c r="Y824" s="423" t="str">
        <f aca="false">IF(AND(pos_z&lt;=0,K823&gt;0),"Impact balistique","") &amp; IF(AND(H825&lt;0,vit_z&gt;=0),"Apogée","") &amp; IF(AND(Poussee=0,Q823&gt;0),"Fin de propulsion","") &amp; IF(AND(L825&gt;L_rampe,pos_xz&lt;=L_rampe),"Sortie de rampe","")</f>
        <v/>
      </c>
      <c r="Z824" s="424" t="str">
        <f aca="false">IF(ABS(t-T_para)&lt;pas/2,"Para","")</f>
        <v/>
      </c>
      <c r="AA824" s="425" t="str">
        <f aca="false">IF(ABS(t-T_satellite)&lt;pas/2,"Satellite","")</f>
        <v/>
      </c>
      <c r="AB824" s="413"/>
      <c r="AC824" s="421" t="e">
        <f aca="false">IF(ABS(t-ROUND(t,0))&lt;0.001,t,NA())</f>
        <v>#N/A</v>
      </c>
      <c r="AD824" s="426" t="e">
        <f aca="false">IF(ABS(t-ROUND(t,0))&lt;0.001,pos_x,NA())</f>
        <v>#N/A</v>
      </c>
      <c r="AE824" s="427" t="e">
        <f aca="false">IF(t&lt;T_para, pos_z, NA())</f>
        <v>#N/A</v>
      </c>
      <c r="AF824" s="413"/>
      <c r="AG824" s="419" t="n">
        <f aca="false">IF(AND(L823&lt;L_rampe,Poussee&lt;Poids*SIN(M823)),0,(-W823+Poussee)/m-Poids*SIN(M823)/m)</f>
        <v>5.94531985722354</v>
      </c>
      <c r="AH824" s="418" t="n">
        <f aca="false">IF(AND(L823&lt;L_rampe,Poussee&lt;Poids*SIN(M823)), g*SIN(M823), (-W823+Poussee)/m)</f>
        <v>-3.76426346254667</v>
      </c>
    </row>
    <row r="825" customFormat="false" ht="12" hidden="false" customHeight="false" outlineLevel="0" collapsed="false">
      <c r="A825" s="417" t="n">
        <f aca="false">IF(B824+0.01&lt;=T_ini+ROUNDUP(Temps_fin_propu,0), 0.01, IF(K824&gt;0, 0.1, 0.0001))</f>
        <v>0.0001</v>
      </c>
      <c r="B825" s="418" t="n">
        <f aca="false">B824+pas</f>
        <v>16.5475999999999</v>
      </c>
      <c r="C825" s="402"/>
      <c r="D825" s="419" t="n">
        <f aca="false">IF(AND(L824&lt;L_rampe,Poussee&lt;Poids*SIN(M824)),0,(-W824+Poussee)/m*COS(M824)-U824/m*SIN(M824))</f>
        <v>-0.537218342277497</v>
      </c>
      <c r="E825" s="420" t="n">
        <f aca="false">IF(AND(L824&lt;L_rampe,Poussee&lt;Poids*SIN(M824)),0,(-W824+Poussee)/m*SIN(M824)+U824/m*COS(M824)-Poids/m)</f>
        <v>-6.08420281209109</v>
      </c>
      <c r="F825" s="418" t="n">
        <f aca="false">SQRT(acc_x^2+acc_z^2)</f>
        <v>6.10787421333613</v>
      </c>
      <c r="G825" s="419" t="n">
        <f aca="false">G824+acc_x*pas</f>
        <v>10.2616859127398</v>
      </c>
      <c r="H825" s="420" t="n">
        <f aca="false">H824+acc_z*pas</f>
        <v>-71.1693635887345</v>
      </c>
      <c r="I825" s="418" t="n">
        <f aca="false">SQRT(vit_x^2+vit_z^2)</f>
        <v>71.9053580159171</v>
      </c>
      <c r="J825" s="419" t="n">
        <f aca="false">J824+0.5*(vit_x+G824)*pas*(K824&gt;=0)</f>
        <v>211.791153319536</v>
      </c>
      <c r="K825" s="420" t="n">
        <f aca="false">K824+0.5*(vit_z+H824)*pas</f>
        <v>-7.81361935515754</v>
      </c>
      <c r="L825" s="418" t="n">
        <f aca="false">SQRT(pos_x^2+pos_z^2)</f>
        <v>211.935238390992</v>
      </c>
      <c r="M825" s="419" t="n">
        <f aca="false">IF(AND(L824&gt;L_rampe,G825&gt;0),ATAN2(G825,H825),$M$4)</f>
        <v>-1.42759640852034</v>
      </c>
      <c r="N825" s="418" t="n">
        <f aca="false">DEGREES(Beta)</f>
        <v>-81.7952490562497</v>
      </c>
      <c r="O825" s="402"/>
      <c r="P825" s="421" t="n">
        <f aca="false">MATCH(t-pas/2-T_ini,CdP_t)</f>
        <v>23</v>
      </c>
      <c r="Q825" s="418" t="n">
        <f aca="false">(INDEX(CdP,2,i_P+1)-INDEX(CdP,2,i_P+0))/(INDEX(CdP,1,i_P+1)-INDEX(CdP,1,i_P+0))*(t-pas/2-T_ini-INDEX(CdP,1,i_P+0))+INDEX(CdP,2,i_P+0)</f>
        <v>0</v>
      </c>
      <c r="R825" s="419" t="n">
        <f aca="false">Poussee/(g*ISP)</f>
        <v>0</v>
      </c>
      <c r="S825" s="420" t="n">
        <f aca="false">S824-Débit*pas</f>
        <v>1.4843</v>
      </c>
      <c r="T825" s="418" t="n">
        <f aca="false">m*g</f>
        <v>14.560983</v>
      </c>
      <c r="U825" s="422" t="n">
        <f aca="false">IF(pos_xz&lt;L_rampe,Poids*COS(Beta),0)</f>
        <v>0</v>
      </c>
      <c r="V825" s="419" t="n">
        <f aca="false">Rho_moyen*(20000-Alt_rampe-pos_z)/(20000+Alt_rampe+pos_z)</f>
        <v>1.22595754246462</v>
      </c>
      <c r="W825" s="418" t="n">
        <f aca="false">1/2*Rho*Sref*Cx*vit_xz^2</f>
        <v>5.58748900301313</v>
      </c>
      <c r="X825" s="402"/>
      <c r="Y825" s="423" t="str">
        <f aca="false">IF(AND(pos_z&lt;=0,K824&gt;0),"Impact balistique","") &amp; IF(AND(H826&lt;0,vit_z&gt;=0),"Apogée","") &amp; IF(AND(Poussee=0,Q824&gt;0),"Fin de propulsion","") &amp; IF(AND(L826&gt;L_rampe,pos_xz&lt;=L_rampe),"Sortie de rampe","")</f>
        <v/>
      </c>
      <c r="Z825" s="424" t="str">
        <f aca="false">IF(ABS(t-T_para)&lt;pas/2,"Para","")</f>
        <v/>
      </c>
      <c r="AA825" s="425" t="str">
        <f aca="false">IF(ABS(t-T_satellite)&lt;pas/2,"Satellite","")</f>
        <v/>
      </c>
      <c r="AB825" s="413"/>
      <c r="AC825" s="421" t="e">
        <f aca="false">IF(ABS(t-ROUND(t,0))&lt;0.001,t,NA())</f>
        <v>#N/A</v>
      </c>
      <c r="AD825" s="426" t="e">
        <f aca="false">IF(ABS(t-ROUND(t,0))&lt;0.001,pos_x,NA())</f>
        <v>#N/A</v>
      </c>
      <c r="AE825" s="427" t="e">
        <f aca="false">IF(t&lt;T_para, pos_z, NA())</f>
        <v>#N/A</v>
      </c>
      <c r="AF825" s="413"/>
      <c r="AG825" s="419" t="n">
        <f aca="false">IF(AND(L824&lt;L_rampe,Poussee&lt;Poids*SIN(M824)),0,(-W824+Poussee)/m-Poids*SIN(M824)/m)</f>
        <v>5.94525765504977</v>
      </c>
      <c r="AH825" s="418" t="n">
        <f aca="false">IF(AND(L824&lt;L_rampe,Poussee&lt;Poids*SIN(M824)), g*SIN(M824), (-W824+Poussee)/m)</f>
        <v>-3.7643283906574</v>
      </c>
    </row>
    <row r="826" customFormat="false" ht="12" hidden="false" customHeight="false" outlineLevel="0" collapsed="false">
      <c r="A826" s="417" t="n">
        <f aca="false">IF(B825+0.01&lt;=T_ini+ROUNDUP(Temps_fin_propu,0), 0.01, IF(K825&gt;0, 0.1, 0.0001))</f>
        <v>0.0001</v>
      </c>
      <c r="B826" s="418" t="n">
        <f aca="false">B825+pas</f>
        <v>16.5476999999999</v>
      </c>
      <c r="C826" s="402"/>
      <c r="D826" s="419" t="n">
        <f aca="false">IF(AND(L825&lt;L_rampe,Poussee&lt;Poids*SIN(M825)),0,(-W825+Poussee)/m*COS(M825)-U825/m*SIN(M825))</f>
        <v>-0.537220354016263</v>
      </c>
      <c r="E826" s="420" t="n">
        <f aca="false">IF(AND(L825&lt;L_rampe,Poussee&lt;Poids*SIN(M825)),0,(-W825+Poussee)/m*SIN(M825)+U825/m*COS(M825)-Poids/m)</f>
        <v>-6.08413750261201</v>
      </c>
      <c r="F826" s="418" t="n">
        <f aca="false">SQRT(acc_x^2+acc_z^2)</f>
        <v>6.107809333915</v>
      </c>
      <c r="G826" s="419" t="n">
        <f aca="false">G825+acc_x*pas</f>
        <v>10.2616321907044</v>
      </c>
      <c r="H826" s="420" t="n">
        <f aca="false">H825+acc_z*pas</f>
        <v>-71.1699720024847</v>
      </c>
      <c r="I826" s="418" t="n">
        <f aca="false">SQRT(vit_x^2+vit_z^2)</f>
        <v>71.9059525355986</v>
      </c>
      <c r="J826" s="419" t="n">
        <f aca="false">J825+0.5*(vit_x+G825)*pas*(K825&gt;=0)</f>
        <v>211.791153319536</v>
      </c>
      <c r="K826" s="420" t="n">
        <f aca="false">K825+0.5*(vit_z+H825)*pas</f>
        <v>-7.8207363219371</v>
      </c>
      <c r="L826" s="418" t="n">
        <f aca="false">SQRT(pos_x^2+pos_z^2)</f>
        <v>211.935500898355</v>
      </c>
      <c r="M826" s="419" t="n">
        <f aca="false">IF(AND(L825&gt;L_rampe,G826&gt;0),ATAN2(G826,H826),$M$4)</f>
        <v>-1.42759835550096</v>
      </c>
      <c r="N826" s="418" t="n">
        <f aca="false">DEGREES(Beta)</f>
        <v>-81.7953606100219</v>
      </c>
      <c r="O826" s="402"/>
      <c r="P826" s="421" t="n">
        <f aca="false">MATCH(t-pas/2-T_ini,CdP_t)</f>
        <v>23</v>
      </c>
      <c r="Q826" s="418" t="n">
        <f aca="false">(INDEX(CdP,2,i_P+1)-INDEX(CdP,2,i_P+0))/(INDEX(CdP,1,i_P+1)-INDEX(CdP,1,i_P+0))*(t-pas/2-T_ini-INDEX(CdP,1,i_P+0))+INDEX(CdP,2,i_P+0)</f>
        <v>0</v>
      </c>
      <c r="R826" s="419" t="n">
        <f aca="false">Poussee/(g*ISP)</f>
        <v>0</v>
      </c>
      <c r="S826" s="420" t="n">
        <f aca="false">S825-Débit*pas</f>
        <v>1.4843</v>
      </c>
      <c r="T826" s="418" t="n">
        <f aca="false">m*g</f>
        <v>14.560983</v>
      </c>
      <c r="U826" s="422" t="n">
        <f aca="false">IF(pos_xz&lt;L_rampe,Poids*COS(Beta),0)</f>
        <v>0</v>
      </c>
      <c r="V826" s="419" t="n">
        <f aca="false">Rho_moyen*(20000-Alt_rampe-pos_z)/(20000+Alt_rampe+pos_z)</f>
        <v>1.22595841497498</v>
      </c>
      <c r="W826" s="418" t="n">
        <f aca="false">1/2*Rho*Sref*Cx*vit_xz^2</f>
        <v>5.58758537573907</v>
      </c>
      <c r="X826" s="402"/>
      <c r="Y826" s="423" t="str">
        <f aca="false">IF(AND(pos_z&lt;=0,K825&gt;0),"Impact balistique","") &amp; IF(AND(H827&lt;0,vit_z&gt;=0),"Apogée","") &amp; IF(AND(Poussee=0,Q825&gt;0),"Fin de propulsion","") &amp; IF(AND(L827&gt;L_rampe,pos_xz&lt;=L_rampe),"Sortie de rampe","")</f>
        <v/>
      </c>
      <c r="Z826" s="424" t="str">
        <f aca="false">IF(ABS(t-T_para)&lt;pas/2,"Para","")</f>
        <v/>
      </c>
      <c r="AA826" s="425" t="str">
        <f aca="false">IF(ABS(t-T_satellite)&lt;pas/2,"Satellite","")</f>
        <v/>
      </c>
      <c r="AB826" s="413"/>
      <c r="AC826" s="421" t="e">
        <f aca="false">IF(ABS(t-ROUND(t,0))&lt;0.001,t,NA())</f>
        <v>#N/A</v>
      </c>
      <c r="AD826" s="426" t="e">
        <f aca="false">IF(ABS(t-ROUND(t,0))&lt;0.001,pos_x,NA())</f>
        <v>#N/A</v>
      </c>
      <c r="AE826" s="427" t="e">
        <f aca="false">IF(t&lt;T_para, pos_z, NA())</f>
        <v>#N/A</v>
      </c>
      <c r="AF826" s="413"/>
      <c r="AG826" s="419" t="n">
        <f aca="false">IF(AND(L825&lt;L_rampe,Poussee&lt;Poids*SIN(M825)),0,(-W825+Poussee)/m-Poids*SIN(M825)/m)</f>
        <v>5.94519545280302</v>
      </c>
      <c r="AH826" s="418" t="n">
        <f aca="false">IF(AND(L825&lt;L_rampe,Poussee&lt;Poids*SIN(M825)), g*SIN(M825), (-W825+Poussee)/m)</f>
        <v>-3.76439331874496</v>
      </c>
    </row>
    <row r="827" customFormat="false" ht="12" hidden="false" customHeight="false" outlineLevel="0" collapsed="false">
      <c r="A827" s="417" t="n">
        <f aca="false">IF(B826+0.01&lt;=T_ini+ROUNDUP(Temps_fin_propu,0), 0.01, IF(K826&gt;0, 0.1, 0.0001))</f>
        <v>0.0001</v>
      </c>
      <c r="B827" s="418" t="n">
        <f aca="false">B826+pas</f>
        <v>16.5477999999999</v>
      </c>
      <c r="C827" s="402"/>
      <c r="D827" s="419" t="n">
        <f aca="false">IF(AND(L826&lt;L_rampe,Poussee&lt;Poids*SIN(M826)),0,(-W826+Poussee)/m*COS(M826)-U826/m*SIN(M826))</f>
        <v>-0.537222365657377</v>
      </c>
      <c r="E827" s="420" t="n">
        <f aca="false">IF(AND(L826&lt;L_rampe,Poussee&lt;Poids*SIN(M826)),0,(-W826+Poussee)/m*SIN(M826)+U826/m*COS(M826)-Poids/m)</f>
        <v>-6.08407219315669</v>
      </c>
      <c r="F827" s="418" t="n">
        <f aca="false">SQRT(acc_x^2+acc_z^2)</f>
        <v>6.10774445451878</v>
      </c>
      <c r="G827" s="419" t="n">
        <f aca="false">G826+acc_x*pas</f>
        <v>10.2615784684679</v>
      </c>
      <c r="H827" s="420" t="n">
        <f aca="false">H826+acc_z*pas</f>
        <v>-71.170580409704</v>
      </c>
      <c r="I827" s="418" t="n">
        <f aca="false">SQRT(vit_x^2+vit_z^2)</f>
        <v>71.90654704906</v>
      </c>
      <c r="J827" s="419" t="n">
        <f aca="false">J826+0.5*(vit_x+G826)*pas*(K826&gt;=0)</f>
        <v>211.791153319536</v>
      </c>
      <c r="K827" s="420" t="n">
        <f aca="false">K826+0.5*(vit_z+H826)*pas</f>
        <v>-7.82785334955771</v>
      </c>
      <c r="L827" s="418" t="n">
        <f aca="false">SQRT(pos_x^2+pos_z^2)</f>
        <v>211.935763646633</v>
      </c>
      <c r="M827" s="419" t="n">
        <f aca="false">IF(AND(L826&gt;L_rampe,G827&gt;0),ATAN2(G827,H827),$M$4)</f>
        <v>-1.42760030243919</v>
      </c>
      <c r="N827" s="418" t="n">
        <f aca="false">DEGREES(Beta)</f>
        <v>-81.7954721613656</v>
      </c>
      <c r="O827" s="402"/>
      <c r="P827" s="421" t="n">
        <f aca="false">MATCH(t-pas/2-T_ini,CdP_t)</f>
        <v>23</v>
      </c>
      <c r="Q827" s="418" t="n">
        <f aca="false">(INDEX(CdP,2,i_P+1)-INDEX(CdP,2,i_P+0))/(INDEX(CdP,1,i_P+1)-INDEX(CdP,1,i_P+0))*(t-pas/2-T_ini-INDEX(CdP,1,i_P+0))+INDEX(CdP,2,i_P+0)</f>
        <v>0</v>
      </c>
      <c r="R827" s="419" t="n">
        <f aca="false">Poussee/(g*ISP)</f>
        <v>0</v>
      </c>
      <c r="S827" s="420" t="n">
        <f aca="false">S826-Débit*pas</f>
        <v>1.4843</v>
      </c>
      <c r="T827" s="418" t="n">
        <f aca="false">m*g</f>
        <v>14.560983</v>
      </c>
      <c r="U827" s="422" t="n">
        <f aca="false">IF(pos_xz&lt;L_rampe,Poids*COS(Beta),0)</f>
        <v>0</v>
      </c>
      <c r="V827" s="419" t="n">
        <f aca="false">Rho_moyen*(20000-Alt_rampe-pos_z)/(20000+Alt_rampe+pos_z)</f>
        <v>1.22595928749341</v>
      </c>
      <c r="W827" s="418" t="n">
        <f aca="false">1/2*Rho*Sref*Cx*vit_xz^2</f>
        <v>5.58768174843058</v>
      </c>
      <c r="X827" s="402"/>
      <c r="Y827" s="423" t="str">
        <f aca="false">IF(AND(pos_z&lt;=0,K826&gt;0),"Impact balistique","") &amp; IF(AND(H828&lt;0,vit_z&gt;=0),"Apogée","") &amp; IF(AND(Poussee=0,Q826&gt;0),"Fin de propulsion","") &amp; IF(AND(L828&gt;L_rampe,pos_xz&lt;=L_rampe),"Sortie de rampe","")</f>
        <v/>
      </c>
      <c r="Z827" s="424" t="str">
        <f aca="false">IF(ABS(t-T_para)&lt;pas/2,"Para","")</f>
        <v/>
      </c>
      <c r="AA827" s="425" t="str">
        <f aca="false">IF(ABS(t-T_satellite)&lt;pas/2,"Satellite","")</f>
        <v/>
      </c>
      <c r="AB827" s="413"/>
      <c r="AC827" s="421" t="e">
        <f aca="false">IF(ABS(t-ROUND(t,0))&lt;0.001,t,NA())</f>
        <v>#N/A</v>
      </c>
      <c r="AD827" s="426" t="e">
        <f aca="false">IF(ABS(t-ROUND(t,0))&lt;0.001,pos_x,NA())</f>
        <v>#N/A</v>
      </c>
      <c r="AE827" s="427" t="e">
        <f aca="false">IF(t&lt;T_para, pos_z, NA())</f>
        <v>#N/A</v>
      </c>
      <c r="AF827" s="413"/>
      <c r="AG827" s="419" t="n">
        <f aca="false">IF(AND(L826&lt;L_rampe,Poussee&lt;Poids*SIN(M826)),0,(-W826+Poussee)/m-Poids*SIN(M826)/m)</f>
        <v>5.9451332504833</v>
      </c>
      <c r="AH827" s="418" t="n">
        <f aca="false">IF(AND(L826&lt;L_rampe,Poussee&lt;Poids*SIN(M826)), g*SIN(M826), (-W826+Poussee)/m)</f>
        <v>-3.76445824680933</v>
      </c>
    </row>
    <row r="828" customFormat="false" ht="12" hidden="false" customHeight="false" outlineLevel="0" collapsed="false">
      <c r="A828" s="417" t="n">
        <f aca="false">IF(B827+0.01&lt;=T_ini+ROUNDUP(Temps_fin_propu,0), 0.01, IF(K827&gt;0, 0.1, 0.0001))</f>
        <v>0.0001</v>
      </c>
      <c r="B828" s="418" t="n">
        <f aca="false">B827+pas</f>
        <v>16.5478999999999</v>
      </c>
      <c r="C828" s="402"/>
      <c r="D828" s="419" t="n">
        <f aca="false">IF(AND(L827&lt;L_rampe,Poussee&lt;Poids*SIN(M827)),0,(-W827+Poussee)/m*COS(M827)-U827/m*SIN(M827))</f>
        <v>-0.53722437720084</v>
      </c>
      <c r="E828" s="420" t="n">
        <f aca="false">IF(AND(L827&lt;L_rampe,Poussee&lt;Poids*SIN(M827)),0,(-W827+Poussee)/m*SIN(M827)+U827/m*COS(M827)-Poids/m)</f>
        <v>-6.08400688372515</v>
      </c>
      <c r="F828" s="418" t="n">
        <f aca="false">SQRT(acc_x^2+acc_z^2)</f>
        <v>6.10767957514749</v>
      </c>
      <c r="G828" s="419" t="n">
        <f aca="false">G827+acc_x*pas</f>
        <v>10.2615247460302</v>
      </c>
      <c r="H828" s="420" t="n">
        <f aca="false">H827+acc_z*pas</f>
        <v>-71.1711888103924</v>
      </c>
      <c r="I828" s="418" t="n">
        <f aca="false">SQRT(vit_x^2+vit_z^2)</f>
        <v>71.907141556301</v>
      </c>
      <c r="J828" s="419" t="n">
        <f aca="false">J827+0.5*(vit_x+G827)*pas*(K827&gt;=0)</f>
        <v>211.791153319536</v>
      </c>
      <c r="K828" s="420" t="n">
        <f aca="false">K827+0.5*(vit_z+H827)*pas</f>
        <v>-7.83497043801872</v>
      </c>
      <c r="L828" s="418" t="n">
        <f aca="false">SQRT(pos_x^2+pos_z^2)</f>
        <v>211.936026635832</v>
      </c>
      <c r="M828" s="419" t="n">
        <f aca="false">IF(AND(L827&gt;L_rampe,G828&gt;0),ATAN2(G828,H828),$M$4)</f>
        <v>-1.42760224933504</v>
      </c>
      <c r="N828" s="418" t="n">
        <f aca="false">DEGREES(Beta)</f>
        <v>-81.7955837102806</v>
      </c>
      <c r="O828" s="402"/>
      <c r="P828" s="421" t="n">
        <f aca="false">MATCH(t-pas/2-T_ini,CdP_t)</f>
        <v>23</v>
      </c>
      <c r="Q828" s="418" t="n">
        <f aca="false">(INDEX(CdP,2,i_P+1)-INDEX(CdP,2,i_P+0))/(INDEX(CdP,1,i_P+1)-INDEX(CdP,1,i_P+0))*(t-pas/2-T_ini-INDEX(CdP,1,i_P+0))+INDEX(CdP,2,i_P+0)</f>
        <v>0</v>
      </c>
      <c r="R828" s="419" t="n">
        <f aca="false">Poussee/(g*ISP)</f>
        <v>0</v>
      </c>
      <c r="S828" s="420" t="n">
        <f aca="false">S827-Débit*pas</f>
        <v>1.4843</v>
      </c>
      <c r="T828" s="418" t="n">
        <f aca="false">m*g</f>
        <v>14.560983</v>
      </c>
      <c r="U828" s="422" t="n">
        <f aca="false">IF(pos_xz&lt;L_rampe,Poids*COS(Beta),0)</f>
        <v>0</v>
      </c>
      <c r="V828" s="419" t="n">
        <f aca="false">Rho_moyen*(20000-Alt_rampe-pos_z)/(20000+Alt_rampe+pos_z)</f>
        <v>1.22596016001993</v>
      </c>
      <c r="W828" s="418" t="n">
        <f aca="false">1/2*Rho*Sref*Cx*vit_xz^2</f>
        <v>5.58777812108762</v>
      </c>
      <c r="X828" s="402"/>
      <c r="Y828" s="423" t="str">
        <f aca="false">IF(AND(pos_z&lt;=0,K827&gt;0),"Impact balistique","") &amp; IF(AND(H829&lt;0,vit_z&gt;=0),"Apogée","") &amp; IF(AND(Poussee=0,Q827&gt;0),"Fin de propulsion","") &amp; IF(AND(L829&gt;L_rampe,pos_xz&lt;=L_rampe),"Sortie de rampe","")</f>
        <v/>
      </c>
      <c r="Z828" s="424" t="str">
        <f aca="false">IF(ABS(t-T_para)&lt;pas/2,"Para","")</f>
        <v/>
      </c>
      <c r="AA828" s="425" t="str">
        <f aca="false">IF(ABS(t-T_satellite)&lt;pas/2,"Satellite","")</f>
        <v/>
      </c>
      <c r="AB828" s="413"/>
      <c r="AC828" s="421" t="e">
        <f aca="false">IF(ABS(t-ROUND(t,0))&lt;0.001,t,NA())</f>
        <v>#N/A</v>
      </c>
      <c r="AD828" s="426" t="e">
        <f aca="false">IF(ABS(t-ROUND(t,0))&lt;0.001,pos_x,NA())</f>
        <v>#N/A</v>
      </c>
      <c r="AE828" s="427" t="e">
        <f aca="false">IF(t&lt;T_para, pos_z, NA())</f>
        <v>#N/A</v>
      </c>
      <c r="AF828" s="413"/>
      <c r="AG828" s="419" t="n">
        <f aca="false">IF(AND(L827&lt;L_rampe,Poussee&lt;Poids*SIN(M827)),0,(-W827+Poussee)/m-Poids*SIN(M827)/m)</f>
        <v>5.94507104809063</v>
      </c>
      <c r="AH828" s="418" t="n">
        <f aca="false">IF(AND(L827&lt;L_rampe,Poussee&lt;Poids*SIN(M827)), g*SIN(M827), (-W827+Poussee)/m)</f>
        <v>-3.76452317485049</v>
      </c>
    </row>
    <row r="829" customFormat="false" ht="12" hidden="false" customHeight="false" outlineLevel="0" collapsed="false">
      <c r="A829" s="417" t="n">
        <f aca="false">IF(B828+0.01&lt;=T_ini+ROUNDUP(Temps_fin_propu,0), 0.01, IF(K828&gt;0, 0.1, 0.0001))</f>
        <v>0.0001</v>
      </c>
      <c r="B829" s="418" t="n">
        <f aca="false">B828+pas</f>
        <v>16.5479999999999</v>
      </c>
      <c r="C829" s="402"/>
      <c r="D829" s="419" t="n">
        <f aca="false">IF(AND(L828&lt;L_rampe,Poussee&lt;Poids*SIN(M828)),0,(-W828+Poussee)/m*COS(M828)-U828/m*SIN(M828))</f>
        <v>-0.537226388646653</v>
      </c>
      <c r="E829" s="420" t="n">
        <f aca="false">IF(AND(L828&lt;L_rampe,Poussee&lt;Poids*SIN(M828)),0,(-W828+Poussee)/m*SIN(M828)+U828/m*COS(M828)-Poids/m)</f>
        <v>-6.0839415743174</v>
      </c>
      <c r="F829" s="418" t="n">
        <f aca="false">SQRT(acc_x^2+acc_z^2)</f>
        <v>6.10761469580114</v>
      </c>
      <c r="G829" s="419" t="n">
        <f aca="false">G828+acc_x*pas</f>
        <v>10.2614710233913</v>
      </c>
      <c r="H829" s="420" t="n">
        <f aca="false">H828+acc_z*pas</f>
        <v>-71.1717972045499</v>
      </c>
      <c r="I829" s="418" t="n">
        <f aca="false">SQRT(vit_x^2+vit_z^2)</f>
        <v>71.9077360573219</v>
      </c>
      <c r="J829" s="419" t="n">
        <f aca="false">J828+0.5*(vit_x+G828)*pas*(K828&gt;=0)</f>
        <v>211.791153319536</v>
      </c>
      <c r="K829" s="420" t="n">
        <f aca="false">K828+0.5*(vit_z+H828)*pas</f>
        <v>-7.84208758731947</v>
      </c>
      <c r="L829" s="418" t="n">
        <f aca="false">SQRT(pos_x^2+pos_z^2)</f>
        <v>211.936289865956</v>
      </c>
      <c r="M829" s="419" t="n">
        <f aca="false">IF(AND(L828&gt;L_rampe,G829&gt;0),ATAN2(G829,H829),$M$4)</f>
        <v>-1.4276041961885</v>
      </c>
      <c r="N829" s="418" t="n">
        <f aca="false">DEGREES(Beta)</f>
        <v>-81.7956952567673</v>
      </c>
      <c r="O829" s="402"/>
      <c r="P829" s="421" t="n">
        <f aca="false">MATCH(t-pas/2-T_ini,CdP_t)</f>
        <v>23</v>
      </c>
      <c r="Q829" s="418" t="n">
        <f aca="false">(INDEX(CdP,2,i_P+1)-INDEX(CdP,2,i_P+0))/(INDEX(CdP,1,i_P+1)-INDEX(CdP,1,i_P+0))*(t-pas/2-T_ini-INDEX(CdP,1,i_P+0))+INDEX(CdP,2,i_P+0)</f>
        <v>0</v>
      </c>
      <c r="R829" s="419" t="n">
        <f aca="false">Poussee/(g*ISP)</f>
        <v>0</v>
      </c>
      <c r="S829" s="420" t="n">
        <f aca="false">S828-Débit*pas</f>
        <v>1.4843</v>
      </c>
      <c r="T829" s="418" t="n">
        <f aca="false">m*g</f>
        <v>14.560983</v>
      </c>
      <c r="U829" s="422" t="n">
        <f aca="false">IF(pos_xz&lt;L_rampe,Poids*COS(Beta),0)</f>
        <v>0</v>
      </c>
      <c r="V829" s="419" t="n">
        <f aca="false">Rho_moyen*(20000-Alt_rampe-pos_z)/(20000+Alt_rampe+pos_z)</f>
        <v>1.22596103255452</v>
      </c>
      <c r="W829" s="418" t="n">
        <f aca="false">1/2*Rho*Sref*Cx*vit_xz^2</f>
        <v>5.58787449371018</v>
      </c>
      <c r="X829" s="402"/>
      <c r="Y829" s="423" t="str">
        <f aca="false">IF(AND(pos_z&lt;=0,K828&gt;0),"Impact balistique","") &amp; IF(AND(H830&lt;0,vit_z&gt;=0),"Apogée","") &amp; IF(AND(Poussee=0,Q828&gt;0),"Fin de propulsion","") &amp; IF(AND(L830&gt;L_rampe,pos_xz&lt;=L_rampe),"Sortie de rampe","")</f>
        <v/>
      </c>
      <c r="Z829" s="424" t="str">
        <f aca="false">IF(ABS(t-T_para)&lt;pas/2,"Para","")</f>
        <v/>
      </c>
      <c r="AA829" s="425" t="str">
        <f aca="false">IF(ABS(t-T_satellite)&lt;pas/2,"Satellite","")</f>
        <v/>
      </c>
      <c r="AB829" s="413"/>
      <c r="AC829" s="421" t="e">
        <f aca="false">IF(ABS(t-ROUND(t,0))&lt;0.001,t,NA())</f>
        <v>#N/A</v>
      </c>
      <c r="AD829" s="426" t="e">
        <f aca="false">IF(ABS(t-ROUND(t,0))&lt;0.001,pos_x,NA())</f>
        <v>#N/A</v>
      </c>
      <c r="AE829" s="427" t="e">
        <f aca="false">IF(t&lt;T_para, pos_z, NA())</f>
        <v>#N/A</v>
      </c>
      <c r="AF829" s="413"/>
      <c r="AG829" s="419" t="n">
        <f aca="false">IF(AND(L828&lt;L_rampe,Poussee&lt;Poids*SIN(M828)),0,(-W828+Poussee)/m-Poids*SIN(M828)/m)</f>
        <v>5.94500884562504</v>
      </c>
      <c r="AH829" s="418" t="n">
        <f aca="false">IF(AND(L828&lt;L_rampe,Poussee&lt;Poids*SIN(M828)), g*SIN(M828), (-W828+Poussee)/m)</f>
        <v>-3.76458810286844</v>
      </c>
    </row>
    <row r="830" customFormat="false" ht="12" hidden="false" customHeight="false" outlineLevel="0" collapsed="false">
      <c r="A830" s="417" t="n">
        <f aca="false">IF(B829+0.01&lt;=T_ini+ROUNDUP(Temps_fin_propu,0), 0.01, IF(K829&gt;0, 0.1, 0.0001))</f>
        <v>0.0001</v>
      </c>
      <c r="B830" s="418" t="n">
        <f aca="false">B829+pas</f>
        <v>16.5480999999999</v>
      </c>
      <c r="C830" s="402"/>
      <c r="D830" s="419" t="n">
        <f aca="false">IF(AND(L829&lt;L_rampe,Poussee&lt;Poids*SIN(M829)),0,(-W829+Poussee)/m*COS(M829)-U829/m*SIN(M829))</f>
        <v>-0.537228399994815</v>
      </c>
      <c r="E830" s="420" t="n">
        <f aca="false">IF(AND(L829&lt;L_rampe,Poussee&lt;Poids*SIN(M829)),0,(-W829+Poussee)/m*SIN(M829)+U829/m*COS(M829)-Poids/m)</f>
        <v>-6.08387626493347</v>
      </c>
      <c r="F830" s="418" t="n">
        <f aca="false">SQRT(acc_x^2+acc_z^2)</f>
        <v>6.10754981647975</v>
      </c>
      <c r="G830" s="419" t="n">
        <f aca="false">G829+acc_x*pas</f>
        <v>10.2614173005513</v>
      </c>
      <c r="H830" s="420" t="n">
        <f aca="false">H829+acc_z*pas</f>
        <v>-71.1724055921764</v>
      </c>
      <c r="I830" s="418" t="n">
        <f aca="false">SQRT(vit_x^2+vit_z^2)</f>
        <v>71.9083305521225</v>
      </c>
      <c r="J830" s="419" t="n">
        <f aca="false">J829+0.5*(vit_x+G829)*pas*(K829&gt;=0)</f>
        <v>211.791153319536</v>
      </c>
      <c r="K830" s="420" t="n">
        <f aca="false">K829+0.5*(vit_z+H829)*pas</f>
        <v>-7.8492047974593</v>
      </c>
      <c r="L830" s="418" t="n">
        <f aca="false">SQRT(pos_x^2+pos_z^2)</f>
        <v>211.936553337011</v>
      </c>
      <c r="M830" s="419" t="n">
        <f aca="false">IF(AND(L829&gt;L_rampe,G830&gt;0),ATAN2(G830,H830),$M$4)</f>
        <v>-1.42760614299957</v>
      </c>
      <c r="N830" s="418" t="n">
        <f aca="false">DEGREES(Beta)</f>
        <v>-81.7958068008255</v>
      </c>
      <c r="O830" s="402"/>
      <c r="P830" s="421" t="n">
        <f aca="false">MATCH(t-pas/2-T_ini,CdP_t)</f>
        <v>23</v>
      </c>
      <c r="Q830" s="418" t="n">
        <f aca="false">(INDEX(CdP,2,i_P+1)-INDEX(CdP,2,i_P+0))/(INDEX(CdP,1,i_P+1)-INDEX(CdP,1,i_P+0))*(t-pas/2-T_ini-INDEX(CdP,1,i_P+0))+INDEX(CdP,2,i_P+0)</f>
        <v>0</v>
      </c>
      <c r="R830" s="419" t="n">
        <f aca="false">Poussee/(g*ISP)</f>
        <v>0</v>
      </c>
      <c r="S830" s="420" t="n">
        <f aca="false">S829-Débit*pas</f>
        <v>1.4843</v>
      </c>
      <c r="T830" s="418" t="n">
        <f aca="false">m*g</f>
        <v>14.560983</v>
      </c>
      <c r="U830" s="422" t="n">
        <f aca="false">IF(pos_xz&lt;L_rampe,Poids*COS(Beta),0)</f>
        <v>0</v>
      </c>
      <c r="V830" s="419" t="n">
        <f aca="false">Rho_moyen*(20000-Alt_rampe-pos_z)/(20000+Alt_rampe+pos_z)</f>
        <v>1.22596190509719</v>
      </c>
      <c r="W830" s="418" t="n">
        <f aca="false">1/2*Rho*Sref*Cx*vit_xz^2</f>
        <v>5.58797086629822</v>
      </c>
      <c r="X830" s="402"/>
      <c r="Y830" s="423" t="str">
        <f aca="false">IF(AND(pos_z&lt;=0,K829&gt;0),"Impact balistique","") &amp; IF(AND(H831&lt;0,vit_z&gt;=0),"Apogée","") &amp; IF(AND(Poussee=0,Q829&gt;0),"Fin de propulsion","") &amp; IF(AND(L831&gt;L_rampe,pos_xz&lt;=L_rampe),"Sortie de rampe","")</f>
        <v/>
      </c>
      <c r="Z830" s="424" t="str">
        <f aca="false">IF(ABS(t-T_para)&lt;pas/2,"Para","")</f>
        <v/>
      </c>
      <c r="AA830" s="425" t="str">
        <f aca="false">IF(ABS(t-T_satellite)&lt;pas/2,"Satellite","")</f>
        <v/>
      </c>
      <c r="AB830" s="413"/>
      <c r="AC830" s="421" t="e">
        <f aca="false">IF(ABS(t-ROUND(t,0))&lt;0.001,t,NA())</f>
        <v>#N/A</v>
      </c>
      <c r="AD830" s="426" t="e">
        <f aca="false">IF(ABS(t-ROUND(t,0))&lt;0.001,pos_x,NA())</f>
        <v>#N/A</v>
      </c>
      <c r="AE830" s="427" t="e">
        <f aca="false">IF(t&lt;T_para, pos_z, NA())</f>
        <v>#N/A</v>
      </c>
      <c r="AF830" s="413"/>
      <c r="AG830" s="419" t="n">
        <f aca="false">IF(AND(L829&lt;L_rampe,Poussee&lt;Poids*SIN(M829)),0,(-W829+Poussee)/m-Poids*SIN(M829)/m)</f>
        <v>5.94494664308655</v>
      </c>
      <c r="AH830" s="418" t="n">
        <f aca="false">IF(AND(L829&lt;L_rampe,Poussee&lt;Poids*SIN(M829)), g*SIN(M829), (-W829+Poussee)/m)</f>
        <v>-3.76465303086316</v>
      </c>
    </row>
    <row r="831" customFormat="false" ht="12" hidden="false" customHeight="false" outlineLevel="0" collapsed="false">
      <c r="A831" s="417" t="n">
        <f aca="false">IF(B830+0.01&lt;=T_ini+ROUNDUP(Temps_fin_propu,0), 0.01, IF(K830&gt;0, 0.1, 0.0001))</f>
        <v>0.0001</v>
      </c>
      <c r="B831" s="418" t="n">
        <f aca="false">B830+pas</f>
        <v>16.5481999999999</v>
      </c>
      <c r="C831" s="402"/>
      <c r="D831" s="419" t="n">
        <f aca="false">IF(AND(L830&lt;L_rampe,Poussee&lt;Poids*SIN(M830)),0,(-W830+Poussee)/m*COS(M830)-U830/m*SIN(M830))</f>
        <v>-0.537230411245328</v>
      </c>
      <c r="E831" s="420" t="n">
        <f aca="false">IF(AND(L830&lt;L_rampe,Poussee&lt;Poids*SIN(M830)),0,(-W830+Poussee)/m*SIN(M830)+U830/m*COS(M830)-Poids/m)</f>
        <v>-6.08381095557336</v>
      </c>
      <c r="F831" s="418" t="n">
        <f aca="false">SQRT(acc_x^2+acc_z^2)</f>
        <v>6.10748493718333</v>
      </c>
      <c r="G831" s="419" t="n">
        <f aca="false">G830+acc_x*pas</f>
        <v>10.2613635775102</v>
      </c>
      <c r="H831" s="420" t="n">
        <f aca="false">H830+acc_z*pas</f>
        <v>-71.1730139732719</v>
      </c>
      <c r="I831" s="418" t="n">
        <f aca="false">SQRT(vit_x^2+vit_z^2)</f>
        <v>71.9089250407028</v>
      </c>
      <c r="J831" s="419" t="n">
        <f aca="false">J830+0.5*(vit_x+G830)*pas*(K830&gt;=0)</f>
        <v>211.791153319536</v>
      </c>
      <c r="K831" s="420" t="n">
        <f aca="false">K830+0.5*(vit_z+H830)*pas</f>
        <v>-7.85632206843757</v>
      </c>
      <c r="L831" s="418" t="n">
        <f aca="false">SQRT(pos_x^2+pos_z^2)</f>
        <v>211.936817049002</v>
      </c>
      <c r="M831" s="419" t="n">
        <f aca="false">IF(AND(L830&gt;L_rampe,G831&gt;0),ATAN2(G831,H831),$M$4)</f>
        <v>-1.42760808976827</v>
      </c>
      <c r="N831" s="418" t="n">
        <f aca="false">DEGREES(Beta)</f>
        <v>-81.7959183424555</v>
      </c>
      <c r="O831" s="402"/>
      <c r="P831" s="421" t="n">
        <f aca="false">MATCH(t-pas/2-T_ini,CdP_t)</f>
        <v>23</v>
      </c>
      <c r="Q831" s="418" t="n">
        <f aca="false">(INDEX(CdP,2,i_P+1)-INDEX(CdP,2,i_P+0))/(INDEX(CdP,1,i_P+1)-INDEX(CdP,1,i_P+0))*(t-pas/2-T_ini-INDEX(CdP,1,i_P+0))+INDEX(CdP,2,i_P+0)</f>
        <v>0</v>
      </c>
      <c r="R831" s="419" t="n">
        <f aca="false">Poussee/(g*ISP)</f>
        <v>0</v>
      </c>
      <c r="S831" s="420" t="n">
        <f aca="false">S830-Débit*pas</f>
        <v>1.4843</v>
      </c>
      <c r="T831" s="418" t="n">
        <f aca="false">m*g</f>
        <v>14.560983</v>
      </c>
      <c r="U831" s="422" t="n">
        <f aca="false">IF(pos_xz&lt;L_rampe,Poids*COS(Beta),0)</f>
        <v>0</v>
      </c>
      <c r="V831" s="419" t="n">
        <f aca="false">Rho_moyen*(20000-Alt_rampe-pos_z)/(20000+Alt_rampe+pos_z)</f>
        <v>1.22596277764795</v>
      </c>
      <c r="W831" s="418" t="n">
        <f aca="false">1/2*Rho*Sref*Cx*vit_xz^2</f>
        <v>5.58806723885173</v>
      </c>
      <c r="X831" s="402"/>
      <c r="Y831" s="423" t="str">
        <f aca="false">IF(AND(pos_z&lt;=0,K830&gt;0),"Impact balistique","") &amp; IF(AND(H832&lt;0,vit_z&gt;=0),"Apogée","") &amp; IF(AND(Poussee=0,Q830&gt;0),"Fin de propulsion","") &amp; IF(AND(L832&gt;L_rampe,pos_xz&lt;=L_rampe),"Sortie de rampe","")</f>
        <v/>
      </c>
      <c r="Z831" s="424" t="str">
        <f aca="false">IF(ABS(t-T_para)&lt;pas/2,"Para","")</f>
        <v/>
      </c>
      <c r="AA831" s="425" t="str">
        <f aca="false">IF(ABS(t-T_satellite)&lt;pas/2,"Satellite","")</f>
        <v/>
      </c>
      <c r="AB831" s="413"/>
      <c r="AC831" s="421" t="e">
        <f aca="false">IF(ABS(t-ROUND(t,0))&lt;0.001,t,NA())</f>
        <v>#N/A</v>
      </c>
      <c r="AD831" s="426" t="e">
        <f aca="false">IF(ABS(t-ROUND(t,0))&lt;0.001,pos_x,NA())</f>
        <v>#N/A</v>
      </c>
      <c r="AE831" s="427" t="e">
        <f aca="false">IF(t&lt;T_para, pos_z, NA())</f>
        <v>#N/A</v>
      </c>
      <c r="AF831" s="413"/>
      <c r="AG831" s="419" t="n">
        <f aca="false">IF(AND(L830&lt;L_rampe,Poussee&lt;Poids*SIN(M830)),0,(-W830+Poussee)/m-Poids*SIN(M830)/m)</f>
        <v>5.94488444047517</v>
      </c>
      <c r="AH831" s="418" t="n">
        <f aca="false">IF(AND(L830&lt;L_rampe,Poussee&lt;Poids*SIN(M830)), g*SIN(M830), (-W830+Poussee)/m)</f>
        <v>-3.76471795883462</v>
      </c>
    </row>
    <row r="832" customFormat="false" ht="12" hidden="false" customHeight="false" outlineLevel="0" collapsed="false">
      <c r="A832" s="417" t="n">
        <f aca="false">IF(B831+0.01&lt;=T_ini+ROUNDUP(Temps_fin_propu,0), 0.01, IF(K831&gt;0, 0.1, 0.0001))</f>
        <v>0.0001</v>
      </c>
      <c r="B832" s="418" t="n">
        <f aca="false">B831+pas</f>
        <v>16.5482999999999</v>
      </c>
      <c r="C832" s="402"/>
      <c r="D832" s="419" t="n">
        <f aca="false">IF(AND(L831&lt;L_rampe,Poussee&lt;Poids*SIN(M831)),0,(-W831+Poussee)/m*COS(M831)-U831/m*SIN(M831))</f>
        <v>-0.537232422398192</v>
      </c>
      <c r="E832" s="420" t="n">
        <f aca="false">IF(AND(L831&lt;L_rampe,Poussee&lt;Poids*SIN(M831)),0,(-W831+Poussee)/m*SIN(M831)+U831/m*COS(M831)-Poids/m)</f>
        <v>-6.0837456462371</v>
      </c>
      <c r="F832" s="418" t="n">
        <f aca="false">SQRT(acc_x^2+acc_z^2)</f>
        <v>6.10742005791191</v>
      </c>
      <c r="G832" s="419" t="n">
        <f aca="false">G831+acc_x*pas</f>
        <v>10.2613098542679</v>
      </c>
      <c r="H832" s="420" t="n">
        <f aca="false">H831+acc_z*pas</f>
        <v>-71.1736223478365</v>
      </c>
      <c r="I832" s="418" t="n">
        <f aca="false">SQRT(vit_x^2+vit_z^2)</f>
        <v>71.9095195230628</v>
      </c>
      <c r="J832" s="419" t="n">
        <f aca="false">J831+0.5*(vit_x+G831)*pas*(K831&gt;=0)</f>
        <v>211.791153319536</v>
      </c>
      <c r="K832" s="420" t="n">
        <f aca="false">K831+0.5*(vit_z+H831)*pas</f>
        <v>-7.86343940025363</v>
      </c>
      <c r="L832" s="418" t="n">
        <f aca="false">SQRT(pos_x^2+pos_z^2)</f>
        <v>211.937081001935</v>
      </c>
      <c r="M832" s="419" t="n">
        <f aca="false">IF(AND(L831&gt;L_rampe,G832&gt;0),ATAN2(G832,H832),$M$4)</f>
        <v>-1.42761003649459</v>
      </c>
      <c r="N832" s="418" t="n">
        <f aca="false">DEGREES(Beta)</f>
        <v>-81.7960298816572</v>
      </c>
      <c r="O832" s="402"/>
      <c r="P832" s="421" t="n">
        <f aca="false">MATCH(t-pas/2-T_ini,CdP_t)</f>
        <v>23</v>
      </c>
      <c r="Q832" s="418" t="n">
        <f aca="false">(INDEX(CdP,2,i_P+1)-INDEX(CdP,2,i_P+0))/(INDEX(CdP,1,i_P+1)-INDEX(CdP,1,i_P+0))*(t-pas/2-T_ini-INDEX(CdP,1,i_P+0))+INDEX(CdP,2,i_P+0)</f>
        <v>0</v>
      </c>
      <c r="R832" s="419" t="n">
        <f aca="false">Poussee/(g*ISP)</f>
        <v>0</v>
      </c>
      <c r="S832" s="420" t="n">
        <f aca="false">S831-Débit*pas</f>
        <v>1.4843</v>
      </c>
      <c r="T832" s="418" t="n">
        <f aca="false">m*g</f>
        <v>14.560983</v>
      </c>
      <c r="U832" s="422" t="n">
        <f aca="false">IF(pos_xz&lt;L_rampe,Poids*COS(Beta),0)</f>
        <v>0</v>
      </c>
      <c r="V832" s="419" t="n">
        <f aca="false">Rho_moyen*(20000-Alt_rampe-pos_z)/(20000+Alt_rampe+pos_z)</f>
        <v>1.22596365020678</v>
      </c>
      <c r="W832" s="418" t="n">
        <f aca="false">1/2*Rho*Sref*Cx*vit_xz^2</f>
        <v>5.58816361137068</v>
      </c>
      <c r="X832" s="402"/>
      <c r="Y832" s="423" t="str">
        <f aca="false">IF(AND(pos_z&lt;=0,K831&gt;0),"Impact balistique","") &amp; IF(AND(H833&lt;0,vit_z&gt;=0),"Apogée","") &amp; IF(AND(Poussee=0,Q831&gt;0),"Fin de propulsion","") &amp; IF(AND(L833&gt;L_rampe,pos_xz&lt;=L_rampe),"Sortie de rampe","")</f>
        <v/>
      </c>
      <c r="Z832" s="424" t="str">
        <f aca="false">IF(ABS(t-T_para)&lt;pas/2,"Para","")</f>
        <v/>
      </c>
      <c r="AA832" s="425" t="str">
        <f aca="false">IF(ABS(t-T_satellite)&lt;pas/2,"Satellite","")</f>
        <v/>
      </c>
      <c r="AB832" s="413"/>
      <c r="AC832" s="421" t="e">
        <f aca="false">IF(ABS(t-ROUND(t,0))&lt;0.001,t,NA())</f>
        <v>#N/A</v>
      </c>
      <c r="AD832" s="426" t="e">
        <f aca="false">IF(ABS(t-ROUND(t,0))&lt;0.001,pos_x,NA())</f>
        <v>#N/A</v>
      </c>
      <c r="AE832" s="427" t="e">
        <f aca="false">IF(t&lt;T_para, pos_z, NA())</f>
        <v>#N/A</v>
      </c>
      <c r="AF832" s="413"/>
      <c r="AG832" s="419" t="n">
        <f aca="false">IF(AND(L831&lt;L_rampe,Poussee&lt;Poids*SIN(M831)),0,(-W831+Poussee)/m-Poids*SIN(M831)/m)</f>
        <v>5.94482223779093</v>
      </c>
      <c r="AH832" s="418" t="n">
        <f aca="false">IF(AND(L831&lt;L_rampe,Poussee&lt;Poids*SIN(M831)), g*SIN(M831), (-W831+Poussee)/m)</f>
        <v>-3.76478288678282</v>
      </c>
    </row>
    <row r="833" customFormat="false" ht="12" hidden="false" customHeight="false" outlineLevel="0" collapsed="false">
      <c r="A833" s="417" t="n">
        <f aca="false">IF(B832+0.01&lt;=T_ini+ROUNDUP(Temps_fin_propu,0), 0.01, IF(K832&gt;0, 0.1, 0.0001))</f>
        <v>0.0001</v>
      </c>
      <c r="B833" s="418" t="n">
        <f aca="false">B832+pas</f>
        <v>16.5483999999999</v>
      </c>
      <c r="C833" s="402"/>
      <c r="D833" s="419" t="n">
        <f aca="false">IF(AND(L832&lt;L_rampe,Poussee&lt;Poids*SIN(M832)),0,(-W832+Poussee)/m*COS(M832)-U832/m*SIN(M832))</f>
        <v>-0.537234433453409</v>
      </c>
      <c r="E833" s="420" t="n">
        <f aca="false">IF(AND(L832&lt;L_rampe,Poussee&lt;Poids*SIN(M832)),0,(-W832+Poussee)/m*SIN(M832)+U832/m*COS(M832)-Poids/m)</f>
        <v>-6.0836803369247</v>
      </c>
      <c r="F833" s="418" t="n">
        <f aca="false">SQRT(acc_x^2+acc_z^2)</f>
        <v>6.1073551786655</v>
      </c>
      <c r="G833" s="419" t="n">
        <f aca="false">G832+acc_x*pas</f>
        <v>10.2612561308246</v>
      </c>
      <c r="H833" s="420" t="n">
        <f aca="false">H832+acc_z*pas</f>
        <v>-71.1742307158702</v>
      </c>
      <c r="I833" s="418" t="n">
        <f aca="false">SQRT(vit_x^2+vit_z^2)</f>
        <v>71.9101139992026</v>
      </c>
      <c r="J833" s="419" t="n">
        <f aca="false">J832+0.5*(vit_x+G832)*pas*(K832&gt;=0)</f>
        <v>211.791153319536</v>
      </c>
      <c r="K833" s="420" t="n">
        <f aca="false">K832+0.5*(vit_z+H832)*pas</f>
        <v>-7.87055679290682</v>
      </c>
      <c r="L833" s="418" t="n">
        <f aca="false">SQRT(pos_x^2+pos_z^2)</f>
        <v>211.937345195814</v>
      </c>
      <c r="M833" s="419" t="n">
        <f aca="false">IF(AND(L832&gt;L_rampe,G833&gt;0),ATAN2(G833,H833),$M$4)</f>
        <v>-1.42761198317852</v>
      </c>
      <c r="N833" s="418" t="n">
        <f aca="false">DEGREES(Beta)</f>
        <v>-81.7961414184308</v>
      </c>
      <c r="O833" s="402"/>
      <c r="P833" s="421" t="n">
        <f aca="false">MATCH(t-pas/2-T_ini,CdP_t)</f>
        <v>23</v>
      </c>
      <c r="Q833" s="418" t="n">
        <f aca="false">(INDEX(CdP,2,i_P+1)-INDEX(CdP,2,i_P+0))/(INDEX(CdP,1,i_P+1)-INDEX(CdP,1,i_P+0))*(t-pas/2-T_ini-INDEX(CdP,1,i_P+0))+INDEX(CdP,2,i_P+0)</f>
        <v>0</v>
      </c>
      <c r="R833" s="419" t="n">
        <f aca="false">Poussee/(g*ISP)</f>
        <v>0</v>
      </c>
      <c r="S833" s="420" t="n">
        <f aca="false">S832-Débit*pas</f>
        <v>1.4843</v>
      </c>
      <c r="T833" s="418" t="n">
        <f aca="false">m*g</f>
        <v>14.560983</v>
      </c>
      <c r="U833" s="422" t="n">
        <f aca="false">IF(pos_xz&lt;L_rampe,Poids*COS(Beta),0)</f>
        <v>0</v>
      </c>
      <c r="V833" s="419" t="n">
        <f aca="false">Rho_moyen*(20000-Alt_rampe-pos_z)/(20000+Alt_rampe+pos_z)</f>
        <v>1.22596452277369</v>
      </c>
      <c r="W833" s="418" t="n">
        <f aca="false">1/2*Rho*Sref*Cx*vit_xz^2</f>
        <v>5.58825998385505</v>
      </c>
      <c r="X833" s="402"/>
      <c r="Y833" s="423" t="str">
        <f aca="false">IF(AND(pos_z&lt;=0,K832&gt;0),"Impact balistique","") &amp; IF(AND(H834&lt;0,vit_z&gt;=0),"Apogée","") &amp; IF(AND(Poussee=0,Q832&gt;0),"Fin de propulsion","") &amp; IF(AND(L834&gt;L_rampe,pos_xz&lt;=L_rampe),"Sortie de rampe","")</f>
        <v/>
      </c>
      <c r="Z833" s="424" t="str">
        <f aca="false">IF(ABS(t-T_para)&lt;pas/2,"Para","")</f>
        <v/>
      </c>
      <c r="AA833" s="425" t="str">
        <f aca="false">IF(ABS(t-T_satellite)&lt;pas/2,"Satellite","")</f>
        <v/>
      </c>
      <c r="AB833" s="413"/>
      <c r="AC833" s="421" t="e">
        <f aca="false">IF(ABS(t-ROUND(t,0))&lt;0.001,t,NA())</f>
        <v>#N/A</v>
      </c>
      <c r="AD833" s="426" t="e">
        <f aca="false">IF(ABS(t-ROUND(t,0))&lt;0.001,pos_x,NA())</f>
        <v>#N/A</v>
      </c>
      <c r="AE833" s="427" t="e">
        <f aca="false">IF(t&lt;T_para, pos_z, NA())</f>
        <v>#N/A</v>
      </c>
      <c r="AF833" s="413"/>
      <c r="AG833" s="419" t="n">
        <f aca="false">IF(AND(L832&lt;L_rampe,Poussee&lt;Poids*SIN(M832)),0,(-W832+Poussee)/m-Poids*SIN(M832)/m)</f>
        <v>5.94476003503385</v>
      </c>
      <c r="AH833" s="418" t="n">
        <f aca="false">IF(AND(L832&lt;L_rampe,Poussee&lt;Poids*SIN(M832)), g*SIN(M832), (-W832+Poussee)/m)</f>
        <v>-3.76484781470773</v>
      </c>
    </row>
    <row r="834" customFormat="false" ht="12" hidden="false" customHeight="false" outlineLevel="0" collapsed="false">
      <c r="A834" s="417" t="n">
        <f aca="false">IF(B833+0.01&lt;=T_ini+ROUNDUP(Temps_fin_propu,0), 0.01, IF(K833&gt;0, 0.1, 0.0001))</f>
        <v>0.0001</v>
      </c>
      <c r="B834" s="418" t="n">
        <f aca="false">B833+pas</f>
        <v>16.5484999999999</v>
      </c>
      <c r="C834" s="402"/>
      <c r="D834" s="419" t="n">
        <f aca="false">IF(AND(L833&lt;L_rampe,Poussee&lt;Poids*SIN(M833)),0,(-W833+Poussee)/m*COS(M833)-U833/m*SIN(M833))</f>
        <v>-0.537236444410979</v>
      </c>
      <c r="E834" s="420" t="n">
        <f aca="false">IF(AND(L833&lt;L_rampe,Poussee&lt;Poids*SIN(M833)),0,(-W833+Poussee)/m*SIN(M833)+U833/m*COS(M833)-Poids/m)</f>
        <v>-6.08361502763618</v>
      </c>
      <c r="F834" s="418" t="n">
        <f aca="false">SQRT(acc_x^2+acc_z^2)</f>
        <v>6.10729029944411</v>
      </c>
      <c r="G834" s="419" t="n">
        <f aca="false">G833+acc_x*pas</f>
        <v>10.2612024071801</v>
      </c>
      <c r="H834" s="420" t="n">
        <f aca="false">H833+acc_z*pas</f>
        <v>-71.174839077373</v>
      </c>
      <c r="I834" s="418" t="n">
        <f aca="false">SQRT(vit_x^2+vit_z^2)</f>
        <v>71.910708469122</v>
      </c>
      <c r="J834" s="419" t="n">
        <f aca="false">J833+0.5*(vit_x+G833)*pas*(K833&gt;=0)</f>
        <v>211.791153319536</v>
      </c>
      <c r="K834" s="420" t="n">
        <f aca="false">K833+0.5*(vit_z+H833)*pas</f>
        <v>-7.87767424639648</v>
      </c>
      <c r="L834" s="418" t="n">
        <f aca="false">SQRT(pos_x^2+pos_z^2)</f>
        <v>211.937609630645</v>
      </c>
      <c r="M834" s="419" t="n">
        <f aca="false">IF(AND(L833&gt;L_rampe,G834&gt;0),ATAN2(G834,H834),$M$4)</f>
        <v>-1.42761392982008</v>
      </c>
      <c r="N834" s="418" t="n">
        <f aca="false">DEGREES(Beta)</f>
        <v>-81.7962529527763</v>
      </c>
      <c r="O834" s="402"/>
      <c r="P834" s="421" t="n">
        <f aca="false">MATCH(t-pas/2-T_ini,CdP_t)</f>
        <v>23</v>
      </c>
      <c r="Q834" s="418" t="n">
        <f aca="false">(INDEX(CdP,2,i_P+1)-INDEX(CdP,2,i_P+0))/(INDEX(CdP,1,i_P+1)-INDEX(CdP,1,i_P+0))*(t-pas/2-T_ini-INDEX(CdP,1,i_P+0))+INDEX(CdP,2,i_P+0)</f>
        <v>0</v>
      </c>
      <c r="R834" s="419" t="n">
        <f aca="false">Poussee/(g*ISP)</f>
        <v>0</v>
      </c>
      <c r="S834" s="420" t="n">
        <f aca="false">S833-Débit*pas</f>
        <v>1.4843</v>
      </c>
      <c r="T834" s="418" t="n">
        <f aca="false">m*g</f>
        <v>14.560983</v>
      </c>
      <c r="U834" s="422" t="n">
        <f aca="false">IF(pos_xz&lt;L_rampe,Poids*COS(Beta),0)</f>
        <v>0</v>
      </c>
      <c r="V834" s="419" t="n">
        <f aca="false">Rho_moyen*(20000-Alt_rampe-pos_z)/(20000+Alt_rampe+pos_z)</f>
        <v>1.22596539534869</v>
      </c>
      <c r="W834" s="418" t="n">
        <f aca="false">1/2*Rho*Sref*Cx*vit_xz^2</f>
        <v>5.58835635630481</v>
      </c>
      <c r="X834" s="402"/>
      <c r="Y834" s="423" t="str">
        <f aca="false">IF(AND(pos_z&lt;=0,K833&gt;0),"Impact balistique","") &amp; IF(AND(H835&lt;0,vit_z&gt;=0),"Apogée","") &amp; IF(AND(Poussee=0,Q833&gt;0),"Fin de propulsion","") &amp; IF(AND(L835&gt;L_rampe,pos_xz&lt;=L_rampe),"Sortie de rampe","")</f>
        <v/>
      </c>
      <c r="Z834" s="424" t="str">
        <f aca="false">IF(ABS(t-T_para)&lt;pas/2,"Para","")</f>
        <v/>
      </c>
      <c r="AA834" s="425" t="str">
        <f aca="false">IF(ABS(t-T_satellite)&lt;pas/2,"Satellite","")</f>
        <v/>
      </c>
      <c r="AB834" s="413"/>
      <c r="AC834" s="421" t="e">
        <f aca="false">IF(ABS(t-ROUND(t,0))&lt;0.001,t,NA())</f>
        <v>#N/A</v>
      </c>
      <c r="AD834" s="426" t="e">
        <f aca="false">IF(ABS(t-ROUND(t,0))&lt;0.001,pos_x,NA())</f>
        <v>#N/A</v>
      </c>
      <c r="AE834" s="427" t="e">
        <f aca="false">IF(t&lt;T_para, pos_z, NA())</f>
        <v>#N/A</v>
      </c>
      <c r="AF834" s="413"/>
      <c r="AG834" s="419" t="n">
        <f aca="false">IF(AND(L833&lt;L_rampe,Poussee&lt;Poids*SIN(M833)),0,(-W833+Poussee)/m-Poids*SIN(M833)/m)</f>
        <v>5.94469783220395</v>
      </c>
      <c r="AH834" s="418" t="n">
        <f aca="false">IF(AND(L833&lt;L_rampe,Poussee&lt;Poids*SIN(M833)), g*SIN(M833), (-W833+Poussee)/m)</f>
        <v>-3.76491274260935</v>
      </c>
    </row>
    <row r="835" customFormat="false" ht="12" hidden="false" customHeight="false" outlineLevel="0" collapsed="false">
      <c r="A835" s="417" t="n">
        <f aca="false">IF(B834+0.01&lt;=T_ini+ROUNDUP(Temps_fin_propu,0), 0.01, IF(K834&gt;0, 0.1, 0.0001))</f>
        <v>0.0001</v>
      </c>
      <c r="B835" s="418" t="n">
        <f aca="false">B834+pas</f>
        <v>16.5485999999999</v>
      </c>
      <c r="C835" s="402"/>
      <c r="D835" s="419" t="n">
        <f aca="false">IF(AND(L834&lt;L_rampe,Poussee&lt;Poids*SIN(M834)),0,(-W834+Poussee)/m*COS(M834)-U834/m*SIN(M834))</f>
        <v>-0.537238455270903</v>
      </c>
      <c r="E835" s="420" t="n">
        <f aca="false">IF(AND(L834&lt;L_rampe,Poussee&lt;Poids*SIN(M834)),0,(-W834+Poussee)/m*SIN(M834)+U834/m*COS(M834)-Poids/m)</f>
        <v>-6.08354971837155</v>
      </c>
      <c r="F835" s="418" t="n">
        <f aca="false">SQRT(acc_x^2+acc_z^2)</f>
        <v>6.10722542024776</v>
      </c>
      <c r="G835" s="419" t="n">
        <f aca="false">G834+acc_x*pas</f>
        <v>10.2611486833346</v>
      </c>
      <c r="H835" s="420" t="n">
        <f aca="false">H834+acc_z*pas</f>
        <v>-71.1754474323448</v>
      </c>
      <c r="I835" s="418" t="n">
        <f aca="false">SQRT(vit_x^2+vit_z^2)</f>
        <v>71.9113029328212</v>
      </c>
      <c r="J835" s="419" t="n">
        <f aca="false">J834+0.5*(vit_x+G834)*pas*(K834&gt;=0)</f>
        <v>211.791153319536</v>
      </c>
      <c r="K835" s="420" t="n">
        <f aca="false">K834+0.5*(vit_z+H834)*pas</f>
        <v>-7.88479176072196</v>
      </c>
      <c r="L835" s="418" t="n">
        <f aca="false">SQRT(pos_x^2+pos_z^2)</f>
        <v>211.937874306433</v>
      </c>
      <c r="M835" s="419" t="n">
        <f aca="false">IF(AND(L834&gt;L_rampe,G835&gt;0),ATAN2(G835,H835),$M$4)</f>
        <v>-1.42761587641926</v>
      </c>
      <c r="N835" s="418" t="n">
        <f aca="false">DEGREES(Beta)</f>
        <v>-81.7963644846938</v>
      </c>
      <c r="O835" s="402"/>
      <c r="P835" s="421" t="n">
        <f aca="false">MATCH(t-pas/2-T_ini,CdP_t)</f>
        <v>23</v>
      </c>
      <c r="Q835" s="418" t="n">
        <f aca="false">(INDEX(CdP,2,i_P+1)-INDEX(CdP,2,i_P+0))/(INDEX(CdP,1,i_P+1)-INDEX(CdP,1,i_P+0))*(t-pas/2-T_ini-INDEX(CdP,1,i_P+0))+INDEX(CdP,2,i_P+0)</f>
        <v>0</v>
      </c>
      <c r="R835" s="419" t="n">
        <f aca="false">Poussee/(g*ISP)</f>
        <v>0</v>
      </c>
      <c r="S835" s="420" t="n">
        <f aca="false">S834-Débit*pas</f>
        <v>1.4843</v>
      </c>
      <c r="T835" s="418" t="n">
        <f aca="false">m*g</f>
        <v>14.560983</v>
      </c>
      <c r="U835" s="422" t="n">
        <f aca="false">IF(pos_xz&lt;L_rampe,Poids*COS(Beta),0)</f>
        <v>0</v>
      </c>
      <c r="V835" s="419" t="n">
        <f aca="false">Rho_moyen*(20000-Alt_rampe-pos_z)/(20000+Alt_rampe+pos_z)</f>
        <v>1.22596626793176</v>
      </c>
      <c r="W835" s="418" t="n">
        <f aca="false">1/2*Rho*Sref*Cx*vit_xz^2</f>
        <v>5.58845272871994</v>
      </c>
      <c r="X835" s="402"/>
      <c r="Y835" s="423" t="str">
        <f aca="false">IF(AND(pos_z&lt;=0,K834&gt;0),"Impact balistique","") &amp; IF(AND(H836&lt;0,vit_z&gt;=0),"Apogée","") &amp; IF(AND(Poussee=0,Q834&gt;0),"Fin de propulsion","") &amp; IF(AND(L836&gt;L_rampe,pos_xz&lt;=L_rampe),"Sortie de rampe","")</f>
        <v/>
      </c>
      <c r="Z835" s="424" t="str">
        <f aca="false">IF(ABS(t-T_para)&lt;pas/2,"Para","")</f>
        <v/>
      </c>
      <c r="AA835" s="425" t="str">
        <f aca="false">IF(ABS(t-T_satellite)&lt;pas/2,"Satellite","")</f>
        <v/>
      </c>
      <c r="AB835" s="413"/>
      <c r="AC835" s="421" t="e">
        <f aca="false">IF(ABS(t-ROUND(t,0))&lt;0.001,t,NA())</f>
        <v>#N/A</v>
      </c>
      <c r="AD835" s="426" t="e">
        <f aca="false">IF(ABS(t-ROUND(t,0))&lt;0.001,pos_x,NA())</f>
        <v>#N/A</v>
      </c>
      <c r="AE835" s="427" t="e">
        <f aca="false">IF(t&lt;T_para, pos_z, NA())</f>
        <v>#N/A</v>
      </c>
      <c r="AF835" s="413"/>
      <c r="AG835" s="419" t="n">
        <f aca="false">IF(AND(L834&lt;L_rampe,Poussee&lt;Poids*SIN(M834)),0,(-W834+Poussee)/m-Poids*SIN(M834)/m)</f>
        <v>5.94463562930124</v>
      </c>
      <c r="AH835" s="418" t="n">
        <f aca="false">IF(AND(L834&lt;L_rampe,Poussee&lt;Poids*SIN(M834)), g*SIN(M834), (-W834+Poussee)/m)</f>
        <v>-3.76497767048765</v>
      </c>
    </row>
    <row r="836" customFormat="false" ht="12" hidden="false" customHeight="false" outlineLevel="0" collapsed="false">
      <c r="A836" s="417" t="n">
        <f aca="false">IF(B835+0.01&lt;=T_ini+ROUNDUP(Temps_fin_propu,0), 0.01, IF(K835&gt;0, 0.1, 0.0001))</f>
        <v>0.0001</v>
      </c>
      <c r="B836" s="418" t="n">
        <f aca="false">B835+pas</f>
        <v>16.5486999999999</v>
      </c>
      <c r="C836" s="402"/>
      <c r="D836" s="419" t="n">
        <f aca="false">IF(AND(L835&lt;L_rampe,Poussee&lt;Poids*SIN(M835)),0,(-W835+Poussee)/m*COS(M835)-U835/m*SIN(M835))</f>
        <v>-0.53724046603318</v>
      </c>
      <c r="E836" s="420" t="n">
        <f aca="false">IF(AND(L835&lt;L_rampe,Poussee&lt;Poids*SIN(M835)),0,(-W835+Poussee)/m*SIN(M835)+U835/m*COS(M835)-Poids/m)</f>
        <v>-6.08348440913083</v>
      </c>
      <c r="F836" s="418" t="n">
        <f aca="false">SQRT(acc_x^2+acc_z^2)</f>
        <v>6.10716054107647</v>
      </c>
      <c r="G836" s="419" t="n">
        <f aca="false">G835+acc_x*pas</f>
        <v>10.261094959288</v>
      </c>
      <c r="H836" s="420" t="n">
        <f aca="false">H835+acc_z*pas</f>
        <v>-71.1760557807857</v>
      </c>
      <c r="I836" s="418" t="n">
        <f aca="false">SQRT(vit_x^2+vit_z^2)</f>
        <v>71.9118973903001</v>
      </c>
      <c r="J836" s="419" t="n">
        <f aca="false">J835+0.5*(vit_x+G835)*pas*(K835&gt;=0)</f>
        <v>211.791153319536</v>
      </c>
      <c r="K836" s="420" t="n">
        <f aca="false">K835+0.5*(vit_z+H835)*pas</f>
        <v>-7.89190933588262</v>
      </c>
      <c r="L836" s="418" t="n">
        <f aca="false">SQRT(pos_x^2+pos_z^2)</f>
        <v>211.938139223182</v>
      </c>
      <c r="M836" s="419" t="n">
        <f aca="false">IF(AND(L835&gt;L_rampe,G836&gt;0),ATAN2(G836,H836),$M$4)</f>
        <v>-1.42761782297607</v>
      </c>
      <c r="N836" s="418" t="n">
        <f aca="false">DEGREES(Beta)</f>
        <v>-81.7964760141835</v>
      </c>
      <c r="O836" s="402"/>
      <c r="P836" s="421" t="n">
        <f aca="false">MATCH(t-pas/2-T_ini,CdP_t)</f>
        <v>23</v>
      </c>
      <c r="Q836" s="418" t="n">
        <f aca="false">(INDEX(CdP,2,i_P+1)-INDEX(CdP,2,i_P+0))/(INDEX(CdP,1,i_P+1)-INDEX(CdP,1,i_P+0))*(t-pas/2-T_ini-INDEX(CdP,1,i_P+0))+INDEX(CdP,2,i_P+0)</f>
        <v>0</v>
      </c>
      <c r="R836" s="419" t="n">
        <f aca="false">Poussee/(g*ISP)</f>
        <v>0</v>
      </c>
      <c r="S836" s="420" t="n">
        <f aca="false">S835-Débit*pas</f>
        <v>1.4843</v>
      </c>
      <c r="T836" s="418" t="n">
        <f aca="false">m*g</f>
        <v>14.560983</v>
      </c>
      <c r="U836" s="422" t="n">
        <f aca="false">IF(pos_xz&lt;L_rampe,Poids*COS(Beta),0)</f>
        <v>0</v>
      </c>
      <c r="V836" s="419" t="n">
        <f aca="false">Rho_moyen*(20000-Alt_rampe-pos_z)/(20000+Alt_rampe+pos_z)</f>
        <v>1.22596714052291</v>
      </c>
      <c r="W836" s="418" t="n">
        <f aca="false">1/2*Rho*Sref*Cx*vit_xz^2</f>
        <v>5.58854910110041</v>
      </c>
      <c r="X836" s="402"/>
      <c r="Y836" s="423" t="str">
        <f aca="false">IF(AND(pos_z&lt;=0,K835&gt;0),"Impact balistique","") &amp; IF(AND(H837&lt;0,vit_z&gt;=0),"Apogée","") &amp; IF(AND(Poussee=0,Q835&gt;0),"Fin de propulsion","") &amp; IF(AND(L837&gt;L_rampe,pos_xz&lt;=L_rampe),"Sortie de rampe","")</f>
        <v/>
      </c>
      <c r="Z836" s="424" t="str">
        <f aca="false">IF(ABS(t-T_para)&lt;pas/2,"Para","")</f>
        <v/>
      </c>
      <c r="AA836" s="425" t="str">
        <f aca="false">IF(ABS(t-T_satellite)&lt;pas/2,"Satellite","")</f>
        <v/>
      </c>
      <c r="AB836" s="413"/>
      <c r="AC836" s="421" t="e">
        <f aca="false">IF(ABS(t-ROUND(t,0))&lt;0.001,t,NA())</f>
        <v>#N/A</v>
      </c>
      <c r="AD836" s="426" t="e">
        <f aca="false">IF(ABS(t-ROUND(t,0))&lt;0.001,pos_x,NA())</f>
        <v>#N/A</v>
      </c>
      <c r="AE836" s="427" t="e">
        <f aca="false">IF(t&lt;T_para, pos_z, NA())</f>
        <v>#N/A</v>
      </c>
      <c r="AF836" s="413"/>
      <c r="AG836" s="419" t="n">
        <f aca="false">IF(AND(L835&lt;L_rampe,Poussee&lt;Poids*SIN(M835)),0,(-W835+Poussee)/m-Poids*SIN(M835)/m)</f>
        <v>5.94457342632576</v>
      </c>
      <c r="AH836" s="418" t="n">
        <f aca="false">IF(AND(L835&lt;L_rampe,Poussee&lt;Poids*SIN(M835)), g*SIN(M835), (-W835+Poussee)/m)</f>
        <v>-3.76504259834262</v>
      </c>
    </row>
    <row r="837" customFormat="false" ht="12" hidden="false" customHeight="false" outlineLevel="0" collapsed="false">
      <c r="A837" s="417" t="n">
        <f aca="false">IF(B836+0.01&lt;=T_ini+ROUNDUP(Temps_fin_propu,0), 0.01, IF(K836&gt;0, 0.1, 0.0001))</f>
        <v>0.0001</v>
      </c>
      <c r="B837" s="418" t="n">
        <f aca="false">B836+pas</f>
        <v>16.5487999999999</v>
      </c>
      <c r="C837" s="402"/>
      <c r="D837" s="419" t="n">
        <f aca="false">IF(AND(L836&lt;L_rampe,Poussee&lt;Poids*SIN(M836)),0,(-W836+Poussee)/m*COS(M836)-U836/m*SIN(M836))</f>
        <v>-0.537242476697813</v>
      </c>
      <c r="E837" s="420" t="n">
        <f aca="false">IF(AND(L836&lt;L_rampe,Poussee&lt;Poids*SIN(M836)),0,(-W836+Poussee)/m*SIN(M836)+U836/m*COS(M836)-Poids/m)</f>
        <v>-6.08341909991404</v>
      </c>
      <c r="F837" s="418" t="n">
        <f aca="false">SQRT(acc_x^2+acc_z^2)</f>
        <v>6.10709566193026</v>
      </c>
      <c r="G837" s="419" t="n">
        <f aca="false">G836+acc_x*pas</f>
        <v>10.2610412350403</v>
      </c>
      <c r="H837" s="420" t="n">
        <f aca="false">H836+acc_z*pas</f>
        <v>-71.1766641226957</v>
      </c>
      <c r="I837" s="418" t="n">
        <f aca="false">SQRT(vit_x^2+vit_z^2)</f>
        <v>71.9124918415587</v>
      </c>
      <c r="J837" s="419" t="n">
        <f aca="false">J836+0.5*(vit_x+G836)*pas*(K836&gt;=0)</f>
        <v>211.791153319536</v>
      </c>
      <c r="K837" s="420" t="n">
        <f aca="false">K836+0.5*(vit_z+H836)*pas</f>
        <v>-7.89902697187779</v>
      </c>
      <c r="L837" s="418" t="n">
        <f aca="false">SQRT(pos_x^2+pos_z^2)</f>
        <v>211.9384043809</v>
      </c>
      <c r="M837" s="419" t="n">
        <f aca="false">IF(AND(L836&gt;L_rampe,G837&gt;0),ATAN2(G837,H837),$M$4)</f>
        <v>-1.4276197694905</v>
      </c>
      <c r="N837" s="418" t="n">
        <f aca="false">DEGREES(Beta)</f>
        <v>-81.7965875412454</v>
      </c>
      <c r="O837" s="402"/>
      <c r="P837" s="421" t="n">
        <f aca="false">MATCH(t-pas/2-T_ini,CdP_t)</f>
        <v>23</v>
      </c>
      <c r="Q837" s="418" t="n">
        <f aca="false">(INDEX(CdP,2,i_P+1)-INDEX(CdP,2,i_P+0))/(INDEX(CdP,1,i_P+1)-INDEX(CdP,1,i_P+0))*(t-pas/2-T_ini-INDEX(CdP,1,i_P+0))+INDEX(CdP,2,i_P+0)</f>
        <v>0</v>
      </c>
      <c r="R837" s="419" t="n">
        <f aca="false">Poussee/(g*ISP)</f>
        <v>0</v>
      </c>
      <c r="S837" s="420" t="n">
        <f aca="false">S836-Débit*pas</f>
        <v>1.4843</v>
      </c>
      <c r="T837" s="418" t="n">
        <f aca="false">m*g</f>
        <v>14.560983</v>
      </c>
      <c r="U837" s="422" t="n">
        <f aca="false">IF(pos_xz&lt;L_rampe,Poids*COS(Beta),0)</f>
        <v>0</v>
      </c>
      <c r="V837" s="419" t="n">
        <f aca="false">Rho_moyen*(20000-Alt_rampe-pos_z)/(20000+Alt_rampe+pos_z)</f>
        <v>1.22596801312214</v>
      </c>
      <c r="W837" s="418" t="n">
        <f aca="false">1/2*Rho*Sref*Cx*vit_xz^2</f>
        <v>5.58864547344621</v>
      </c>
      <c r="X837" s="402"/>
      <c r="Y837" s="423" t="str">
        <f aca="false">IF(AND(pos_z&lt;=0,K836&gt;0),"Impact balistique","") &amp; IF(AND(H838&lt;0,vit_z&gt;=0),"Apogée","") &amp; IF(AND(Poussee=0,Q836&gt;0),"Fin de propulsion","") &amp; IF(AND(L838&gt;L_rampe,pos_xz&lt;=L_rampe),"Sortie de rampe","")</f>
        <v/>
      </c>
      <c r="Z837" s="424" t="str">
        <f aca="false">IF(ABS(t-T_para)&lt;pas/2,"Para","")</f>
        <v/>
      </c>
      <c r="AA837" s="425" t="str">
        <f aca="false">IF(ABS(t-T_satellite)&lt;pas/2,"Satellite","")</f>
        <v/>
      </c>
      <c r="AB837" s="413"/>
      <c r="AC837" s="421" t="e">
        <f aca="false">IF(ABS(t-ROUND(t,0))&lt;0.001,t,NA())</f>
        <v>#N/A</v>
      </c>
      <c r="AD837" s="426" t="e">
        <f aca="false">IF(ABS(t-ROUND(t,0))&lt;0.001,pos_x,NA())</f>
        <v>#N/A</v>
      </c>
      <c r="AE837" s="427" t="e">
        <f aca="false">IF(t&lt;T_para, pos_z, NA())</f>
        <v>#N/A</v>
      </c>
      <c r="AF837" s="413"/>
      <c r="AG837" s="419" t="n">
        <f aca="false">IF(AND(L836&lt;L_rampe,Poussee&lt;Poids*SIN(M836)),0,(-W836+Poussee)/m-Poids*SIN(M836)/m)</f>
        <v>5.94451122327751</v>
      </c>
      <c r="AH837" s="418" t="n">
        <f aca="false">IF(AND(L836&lt;L_rampe,Poussee&lt;Poids*SIN(M836)), g*SIN(M836), (-W836+Poussee)/m)</f>
        <v>-3.76510752617424</v>
      </c>
    </row>
    <row r="838" customFormat="false" ht="12" hidden="false" customHeight="false" outlineLevel="0" collapsed="false">
      <c r="A838" s="417" t="n">
        <f aca="false">IF(B837+0.01&lt;=T_ini+ROUNDUP(Temps_fin_propu,0), 0.01, IF(K837&gt;0, 0.1, 0.0001))</f>
        <v>0.0001</v>
      </c>
      <c r="B838" s="418" t="n">
        <f aca="false">B837+pas</f>
        <v>16.5488999999999</v>
      </c>
      <c r="C838" s="402"/>
      <c r="D838" s="419" t="n">
        <f aca="false">IF(AND(L837&lt;L_rampe,Poussee&lt;Poids*SIN(M837)),0,(-W837+Poussee)/m*COS(M837)-U837/m*SIN(M837))</f>
        <v>-0.537244487264802</v>
      </c>
      <c r="E838" s="420" t="n">
        <f aca="false">IF(AND(L837&lt;L_rampe,Poussee&lt;Poids*SIN(M837)),0,(-W837+Poussee)/m*SIN(M837)+U837/m*COS(M837)-Poids/m)</f>
        <v>-6.08335379072119</v>
      </c>
      <c r="F838" s="418" t="n">
        <f aca="false">SQRT(acc_x^2+acc_z^2)</f>
        <v>6.10703078280913</v>
      </c>
      <c r="G838" s="419" t="n">
        <f aca="false">G837+acc_x*pas</f>
        <v>10.2609875105916</v>
      </c>
      <c r="H838" s="420" t="n">
        <f aca="false">H837+acc_z*pas</f>
        <v>-71.1772724580748</v>
      </c>
      <c r="I838" s="418" t="n">
        <f aca="false">SQRT(vit_x^2+vit_z^2)</f>
        <v>71.9130862865969</v>
      </c>
      <c r="J838" s="419" t="n">
        <f aca="false">J837+0.5*(vit_x+G837)*pas*(K837&gt;=0)</f>
        <v>211.791153319536</v>
      </c>
      <c r="K838" s="420" t="n">
        <f aca="false">K837+0.5*(vit_z+H837)*pas</f>
        <v>-7.90614466870683</v>
      </c>
      <c r="L838" s="418" t="n">
        <f aca="false">SQRT(pos_x^2+pos_z^2)</f>
        <v>211.938669779589</v>
      </c>
      <c r="M838" s="419" t="n">
        <f aca="false">IF(AND(L837&gt;L_rampe,G838&gt;0),ATAN2(G838,H838),$M$4)</f>
        <v>-1.42762171596257</v>
      </c>
      <c r="N838" s="418" t="n">
        <f aca="false">DEGREES(Beta)</f>
        <v>-81.7966990658795</v>
      </c>
      <c r="O838" s="402"/>
      <c r="P838" s="421" t="n">
        <f aca="false">MATCH(t-pas/2-T_ini,CdP_t)</f>
        <v>23</v>
      </c>
      <c r="Q838" s="418" t="n">
        <f aca="false">(INDEX(CdP,2,i_P+1)-INDEX(CdP,2,i_P+0))/(INDEX(CdP,1,i_P+1)-INDEX(CdP,1,i_P+0))*(t-pas/2-T_ini-INDEX(CdP,1,i_P+0))+INDEX(CdP,2,i_P+0)</f>
        <v>0</v>
      </c>
      <c r="R838" s="419" t="n">
        <f aca="false">Poussee/(g*ISP)</f>
        <v>0</v>
      </c>
      <c r="S838" s="420" t="n">
        <f aca="false">S837-Débit*pas</f>
        <v>1.4843</v>
      </c>
      <c r="T838" s="418" t="n">
        <f aca="false">m*g</f>
        <v>14.560983</v>
      </c>
      <c r="U838" s="422" t="n">
        <f aca="false">IF(pos_xz&lt;L_rampe,Poids*COS(Beta),0)</f>
        <v>0</v>
      </c>
      <c r="V838" s="419" t="n">
        <f aca="false">Rho_moyen*(20000-Alt_rampe-pos_z)/(20000+Alt_rampe+pos_z)</f>
        <v>1.22596888572945</v>
      </c>
      <c r="W838" s="418" t="n">
        <f aca="false">1/2*Rho*Sref*Cx*vit_xz^2</f>
        <v>5.58874184575731</v>
      </c>
      <c r="X838" s="402"/>
      <c r="Y838" s="423" t="str">
        <f aca="false">IF(AND(pos_z&lt;=0,K837&gt;0),"Impact balistique","") &amp; IF(AND(H839&lt;0,vit_z&gt;=0),"Apogée","") &amp; IF(AND(Poussee=0,Q837&gt;0),"Fin de propulsion","") &amp; IF(AND(L839&gt;L_rampe,pos_xz&lt;=L_rampe),"Sortie de rampe","")</f>
        <v/>
      </c>
      <c r="Z838" s="424" t="str">
        <f aca="false">IF(ABS(t-T_para)&lt;pas/2,"Para","")</f>
        <v/>
      </c>
      <c r="AA838" s="425" t="str">
        <f aca="false">IF(ABS(t-T_satellite)&lt;pas/2,"Satellite","")</f>
        <v/>
      </c>
      <c r="AB838" s="413"/>
      <c r="AC838" s="421" t="e">
        <f aca="false">IF(ABS(t-ROUND(t,0))&lt;0.001,t,NA())</f>
        <v>#N/A</v>
      </c>
      <c r="AD838" s="426" t="e">
        <f aca="false">IF(ABS(t-ROUND(t,0))&lt;0.001,pos_x,NA())</f>
        <v>#N/A</v>
      </c>
      <c r="AE838" s="427" t="e">
        <f aca="false">IF(t&lt;T_para, pos_z, NA())</f>
        <v>#N/A</v>
      </c>
      <c r="AF838" s="413"/>
      <c r="AG838" s="419" t="n">
        <f aca="false">IF(AND(L837&lt;L_rampe,Poussee&lt;Poids*SIN(M837)),0,(-W837+Poussee)/m-Poids*SIN(M837)/m)</f>
        <v>5.94444902015653</v>
      </c>
      <c r="AH838" s="418" t="n">
        <f aca="false">IF(AND(L837&lt;L_rampe,Poussee&lt;Poids*SIN(M837)), g*SIN(M837), (-W837+Poussee)/m)</f>
        <v>-3.7651724539825</v>
      </c>
    </row>
    <row r="839" customFormat="false" ht="12" hidden="false" customHeight="false" outlineLevel="0" collapsed="false">
      <c r="A839" s="417" t="n">
        <f aca="false">IF(B838+0.01&lt;=T_ini+ROUNDUP(Temps_fin_propu,0), 0.01, IF(K838&gt;0, 0.1, 0.0001))</f>
        <v>0.0001</v>
      </c>
      <c r="B839" s="418" t="n">
        <f aca="false">B838+pas</f>
        <v>16.5489999999999</v>
      </c>
      <c r="C839" s="402"/>
      <c r="D839" s="419" t="n">
        <f aca="false">IF(AND(L838&lt;L_rampe,Poussee&lt;Poids*SIN(M838)),0,(-W838+Poussee)/m*COS(M838)-U838/m*SIN(M838))</f>
        <v>-0.537246497734147</v>
      </c>
      <c r="E839" s="420" t="n">
        <f aca="false">IF(AND(L838&lt;L_rampe,Poussee&lt;Poids*SIN(M838)),0,(-W838+Poussee)/m*SIN(M838)+U838/m*COS(M838)-Poids/m)</f>
        <v>-6.08328848155229</v>
      </c>
      <c r="F839" s="418" t="n">
        <f aca="false">SQRT(acc_x^2+acc_z^2)</f>
        <v>6.1069659037131</v>
      </c>
      <c r="G839" s="419" t="n">
        <f aca="false">G838+acc_x*pas</f>
        <v>10.2609337859418</v>
      </c>
      <c r="H839" s="420" t="n">
        <f aca="false">H838+acc_z*pas</f>
        <v>-71.177880786923</v>
      </c>
      <c r="I839" s="418" t="n">
        <f aca="false">SQRT(vit_x^2+vit_z^2)</f>
        <v>71.9136807254148</v>
      </c>
      <c r="J839" s="419" t="n">
        <f aca="false">J838+0.5*(vit_x+G838)*pas*(K838&gt;=0)</f>
        <v>211.791153319536</v>
      </c>
      <c r="K839" s="420" t="n">
        <f aca="false">K838+0.5*(vit_z+H838)*pas</f>
        <v>-7.91326242636908</v>
      </c>
      <c r="L839" s="418" t="n">
        <f aca="false">SQRT(pos_x^2+pos_z^2)</f>
        <v>211.938935419257</v>
      </c>
      <c r="M839" s="419" t="n">
        <f aca="false">IF(AND(L838&gt;L_rampe,G839&gt;0),ATAN2(G839,H839),$M$4)</f>
        <v>-1.42762366239226</v>
      </c>
      <c r="N839" s="418" t="n">
        <f aca="false">DEGREES(Beta)</f>
        <v>-81.796810588086</v>
      </c>
      <c r="O839" s="402"/>
      <c r="P839" s="421" t="n">
        <f aca="false">MATCH(t-pas/2-T_ini,CdP_t)</f>
        <v>23</v>
      </c>
      <c r="Q839" s="418" t="n">
        <f aca="false">(INDEX(CdP,2,i_P+1)-INDEX(CdP,2,i_P+0))/(INDEX(CdP,1,i_P+1)-INDEX(CdP,1,i_P+0))*(t-pas/2-T_ini-INDEX(CdP,1,i_P+0))+INDEX(CdP,2,i_P+0)</f>
        <v>0</v>
      </c>
      <c r="R839" s="419" t="n">
        <f aca="false">Poussee/(g*ISP)</f>
        <v>0</v>
      </c>
      <c r="S839" s="420" t="n">
        <f aca="false">S838-Débit*pas</f>
        <v>1.4843</v>
      </c>
      <c r="T839" s="418" t="n">
        <f aca="false">m*g</f>
        <v>14.560983</v>
      </c>
      <c r="U839" s="422" t="n">
        <f aca="false">IF(pos_xz&lt;L_rampe,Poids*COS(Beta),0)</f>
        <v>0</v>
      </c>
      <c r="V839" s="419" t="n">
        <f aca="false">Rho_moyen*(20000-Alt_rampe-pos_z)/(20000+Alt_rampe+pos_z)</f>
        <v>1.22596975834484</v>
      </c>
      <c r="W839" s="418" t="n">
        <f aca="false">1/2*Rho*Sref*Cx*vit_xz^2</f>
        <v>5.58883821803367</v>
      </c>
      <c r="X839" s="402"/>
      <c r="Y839" s="423" t="str">
        <f aca="false">IF(AND(pos_z&lt;=0,K838&gt;0),"Impact balistique","") &amp; IF(AND(H840&lt;0,vit_z&gt;=0),"Apogée","") &amp; IF(AND(Poussee=0,Q838&gt;0),"Fin de propulsion","") &amp; IF(AND(L840&gt;L_rampe,pos_xz&lt;=L_rampe),"Sortie de rampe","")</f>
        <v/>
      </c>
      <c r="Z839" s="424" t="str">
        <f aca="false">IF(ABS(t-T_para)&lt;pas/2,"Para","")</f>
        <v/>
      </c>
      <c r="AA839" s="425" t="str">
        <f aca="false">IF(ABS(t-T_satellite)&lt;pas/2,"Satellite","")</f>
        <v/>
      </c>
      <c r="AB839" s="413"/>
      <c r="AC839" s="421" t="e">
        <f aca="false">IF(ABS(t-ROUND(t,0))&lt;0.001,t,NA())</f>
        <v>#N/A</v>
      </c>
      <c r="AD839" s="426" t="e">
        <f aca="false">IF(ABS(t-ROUND(t,0))&lt;0.001,pos_x,NA())</f>
        <v>#N/A</v>
      </c>
      <c r="AE839" s="427" t="e">
        <f aca="false">IF(t&lt;T_para, pos_z, NA())</f>
        <v>#N/A</v>
      </c>
      <c r="AF839" s="413"/>
      <c r="AG839" s="419" t="n">
        <f aca="false">IF(AND(L838&lt;L_rampe,Poussee&lt;Poids*SIN(M838)),0,(-W838+Poussee)/m-Poids*SIN(M838)/m)</f>
        <v>5.94438681696282</v>
      </c>
      <c r="AH839" s="418" t="n">
        <f aca="false">IF(AND(L838&lt;L_rampe,Poussee&lt;Poids*SIN(M838)), g*SIN(M838), (-W838+Poussee)/m)</f>
        <v>-3.76523738176737</v>
      </c>
    </row>
    <row r="840" customFormat="false" ht="12" hidden="false" customHeight="false" outlineLevel="0" collapsed="false">
      <c r="A840" s="417" t="n">
        <f aca="false">IF(B839+0.01&lt;=T_ini+ROUNDUP(Temps_fin_propu,0), 0.01, IF(K839&gt;0, 0.1, 0.0001))</f>
        <v>0.0001</v>
      </c>
      <c r="B840" s="418" t="n">
        <f aca="false">B839+pas</f>
        <v>16.5490999999999</v>
      </c>
      <c r="C840" s="402"/>
      <c r="D840" s="419" t="n">
        <f aca="false">IF(AND(L839&lt;L_rampe,Poussee&lt;Poids*SIN(M839)),0,(-W839+Poussee)/m*COS(M839)-U839/m*SIN(M839))</f>
        <v>-0.537248508105849</v>
      </c>
      <c r="E840" s="420" t="n">
        <f aca="false">IF(AND(L839&lt;L_rampe,Poussee&lt;Poids*SIN(M839)),0,(-W839+Poussee)/m*SIN(M839)+U839/m*COS(M839)-Poids/m)</f>
        <v>-6.08322317240737</v>
      </c>
      <c r="F840" s="418" t="n">
        <f aca="false">SQRT(acc_x^2+acc_z^2)</f>
        <v>6.1069010246422</v>
      </c>
      <c r="G840" s="419" t="n">
        <f aca="false">G839+acc_x*pas</f>
        <v>10.260880061091</v>
      </c>
      <c r="H840" s="420" t="n">
        <f aca="false">H839+acc_z*pas</f>
        <v>-71.1784891092402</v>
      </c>
      <c r="I840" s="418" t="n">
        <f aca="false">SQRT(vit_x^2+vit_z^2)</f>
        <v>71.9142751580124</v>
      </c>
      <c r="J840" s="419" t="n">
        <f aca="false">J839+0.5*(vit_x+G839)*pas*(K839&gt;=0)</f>
        <v>211.791153319536</v>
      </c>
      <c r="K840" s="420" t="n">
        <f aca="false">K839+0.5*(vit_z+H839)*pas</f>
        <v>-7.92038024486389</v>
      </c>
      <c r="L840" s="418" t="n">
        <f aca="false">SQRT(pos_x^2+pos_z^2)</f>
        <v>211.939201299907</v>
      </c>
      <c r="M840" s="419" t="n">
        <f aca="false">IF(AND(L839&gt;L_rampe,G840&gt;0),ATAN2(G840,H840),$M$4)</f>
        <v>-1.42762560877958</v>
      </c>
      <c r="N840" s="418" t="n">
        <f aca="false">DEGREES(Beta)</f>
        <v>-81.7969221078649</v>
      </c>
      <c r="O840" s="402"/>
      <c r="P840" s="421" t="n">
        <f aca="false">MATCH(t-pas/2-T_ini,CdP_t)</f>
        <v>23</v>
      </c>
      <c r="Q840" s="418" t="n">
        <f aca="false">(INDEX(CdP,2,i_P+1)-INDEX(CdP,2,i_P+0))/(INDEX(CdP,1,i_P+1)-INDEX(CdP,1,i_P+0))*(t-pas/2-T_ini-INDEX(CdP,1,i_P+0))+INDEX(CdP,2,i_P+0)</f>
        <v>0</v>
      </c>
      <c r="R840" s="419" t="n">
        <f aca="false">Poussee/(g*ISP)</f>
        <v>0</v>
      </c>
      <c r="S840" s="420" t="n">
        <f aca="false">S839-Débit*pas</f>
        <v>1.4843</v>
      </c>
      <c r="T840" s="418" t="n">
        <f aca="false">m*g</f>
        <v>14.560983</v>
      </c>
      <c r="U840" s="422" t="n">
        <f aca="false">IF(pos_xz&lt;L_rampe,Poids*COS(Beta),0)</f>
        <v>0</v>
      </c>
      <c r="V840" s="419" t="n">
        <f aca="false">Rho_moyen*(20000-Alt_rampe-pos_z)/(20000+Alt_rampe+pos_z)</f>
        <v>1.22597063096831</v>
      </c>
      <c r="W840" s="418" t="n">
        <f aca="false">1/2*Rho*Sref*Cx*vit_xz^2</f>
        <v>5.58893459027529</v>
      </c>
      <c r="X840" s="402"/>
      <c r="Y840" s="423" t="str">
        <f aca="false">IF(AND(pos_z&lt;=0,K839&gt;0),"Impact balistique","") &amp; IF(AND(H841&lt;0,vit_z&gt;=0),"Apogée","") &amp; IF(AND(Poussee=0,Q839&gt;0),"Fin de propulsion","") &amp; IF(AND(L841&gt;L_rampe,pos_xz&lt;=L_rampe),"Sortie de rampe","")</f>
        <v/>
      </c>
      <c r="Z840" s="424" t="str">
        <f aca="false">IF(ABS(t-T_para)&lt;pas/2,"Para","")</f>
        <v/>
      </c>
      <c r="AA840" s="425" t="str">
        <f aca="false">IF(ABS(t-T_satellite)&lt;pas/2,"Satellite","")</f>
        <v/>
      </c>
      <c r="AB840" s="413"/>
      <c r="AC840" s="421" t="e">
        <f aca="false">IF(ABS(t-ROUND(t,0))&lt;0.001,t,NA())</f>
        <v>#N/A</v>
      </c>
      <c r="AD840" s="426" t="e">
        <f aca="false">IF(ABS(t-ROUND(t,0))&lt;0.001,pos_x,NA())</f>
        <v>#N/A</v>
      </c>
      <c r="AE840" s="427" t="e">
        <f aca="false">IF(t&lt;T_para, pos_z, NA())</f>
        <v>#N/A</v>
      </c>
      <c r="AF840" s="413"/>
      <c r="AG840" s="419" t="n">
        <f aca="false">IF(AND(L839&lt;L_rampe,Poussee&lt;Poids*SIN(M839)),0,(-W839+Poussee)/m-Poids*SIN(M839)/m)</f>
        <v>5.94432461369642</v>
      </c>
      <c r="AH840" s="418" t="n">
        <f aca="false">IF(AND(L839&lt;L_rampe,Poussee&lt;Poids*SIN(M839)), g*SIN(M839), (-W839+Poussee)/m)</f>
        <v>-3.76530230952885</v>
      </c>
    </row>
    <row r="841" customFormat="false" ht="12" hidden="false" customHeight="false" outlineLevel="0" collapsed="false">
      <c r="A841" s="417" t="n">
        <f aca="false">IF(B840+0.01&lt;=T_ini+ROUNDUP(Temps_fin_propu,0), 0.01, IF(K840&gt;0, 0.1, 0.0001))</f>
        <v>0.0001</v>
      </c>
      <c r="B841" s="418" t="n">
        <f aca="false">B840+pas</f>
        <v>16.5491999999999</v>
      </c>
      <c r="C841" s="402"/>
      <c r="D841" s="419" t="n">
        <f aca="false">IF(AND(L840&lt;L_rampe,Poussee&lt;Poids*SIN(M840)),0,(-W840+Poussee)/m*COS(M840)-U840/m*SIN(M840))</f>
        <v>-0.537250518379909</v>
      </c>
      <c r="E841" s="420" t="n">
        <f aca="false">IF(AND(L840&lt;L_rampe,Poussee&lt;Poids*SIN(M840)),0,(-W840+Poussee)/m*SIN(M840)+U840/m*COS(M840)-Poids/m)</f>
        <v>-6.08315786328645</v>
      </c>
      <c r="F841" s="418" t="n">
        <f aca="false">SQRT(acc_x^2+acc_z^2)</f>
        <v>6.10683614559644</v>
      </c>
      <c r="G841" s="419" t="n">
        <f aca="false">G840+acc_x*pas</f>
        <v>10.2608263360392</v>
      </c>
      <c r="H841" s="420" t="n">
        <f aca="false">H840+acc_z*pas</f>
        <v>-71.1790974250265</v>
      </c>
      <c r="I841" s="418" t="n">
        <f aca="false">SQRT(vit_x^2+vit_z^2)</f>
        <v>71.9148695843897</v>
      </c>
      <c r="J841" s="419" t="n">
        <f aca="false">J840+0.5*(vit_x+G840)*pas*(K840&gt;=0)</f>
        <v>211.791153319536</v>
      </c>
      <c r="K841" s="420" t="n">
        <f aca="false">K840+0.5*(vit_z+H840)*pas</f>
        <v>-7.92749812419061</v>
      </c>
      <c r="L841" s="418" t="n">
        <f aca="false">SQRT(pos_x^2+pos_z^2)</f>
        <v>211.939467421545</v>
      </c>
      <c r="M841" s="419" t="n">
        <f aca="false">IF(AND(L840&gt;L_rampe,G841&gt;0),ATAN2(G841,H841),$M$4)</f>
        <v>-1.42762755512454</v>
      </c>
      <c r="N841" s="418" t="n">
        <f aca="false">DEGREES(Beta)</f>
        <v>-81.7970336252163</v>
      </c>
      <c r="O841" s="402"/>
      <c r="P841" s="421" t="n">
        <f aca="false">MATCH(t-pas/2-T_ini,CdP_t)</f>
        <v>23</v>
      </c>
      <c r="Q841" s="418" t="n">
        <f aca="false">(INDEX(CdP,2,i_P+1)-INDEX(CdP,2,i_P+0))/(INDEX(CdP,1,i_P+1)-INDEX(CdP,1,i_P+0))*(t-pas/2-T_ini-INDEX(CdP,1,i_P+0))+INDEX(CdP,2,i_P+0)</f>
        <v>0</v>
      </c>
      <c r="R841" s="419" t="n">
        <f aca="false">Poussee/(g*ISP)</f>
        <v>0</v>
      </c>
      <c r="S841" s="420" t="n">
        <f aca="false">S840-Débit*pas</f>
        <v>1.4843</v>
      </c>
      <c r="T841" s="418" t="n">
        <f aca="false">m*g</f>
        <v>14.560983</v>
      </c>
      <c r="U841" s="422" t="n">
        <f aca="false">IF(pos_xz&lt;L_rampe,Poids*COS(Beta),0)</f>
        <v>0</v>
      </c>
      <c r="V841" s="419" t="n">
        <f aca="false">Rho_moyen*(20000-Alt_rampe-pos_z)/(20000+Alt_rampe+pos_z)</f>
        <v>1.22597150359986</v>
      </c>
      <c r="W841" s="418" t="n">
        <f aca="false">1/2*Rho*Sref*Cx*vit_xz^2</f>
        <v>5.58903096248212</v>
      </c>
      <c r="X841" s="402"/>
      <c r="Y841" s="423" t="str">
        <f aca="false">IF(AND(pos_z&lt;=0,K840&gt;0),"Impact balistique","") &amp; IF(AND(H842&lt;0,vit_z&gt;=0),"Apogée","") &amp; IF(AND(Poussee=0,Q840&gt;0),"Fin de propulsion","") &amp; IF(AND(L842&gt;L_rampe,pos_xz&lt;=L_rampe),"Sortie de rampe","")</f>
        <v/>
      </c>
      <c r="Z841" s="424" t="str">
        <f aca="false">IF(ABS(t-T_para)&lt;pas/2,"Para","")</f>
        <v/>
      </c>
      <c r="AA841" s="425" t="str">
        <f aca="false">IF(ABS(t-T_satellite)&lt;pas/2,"Satellite","")</f>
        <v/>
      </c>
      <c r="AB841" s="413"/>
      <c r="AC841" s="421" t="e">
        <f aca="false">IF(ABS(t-ROUND(t,0))&lt;0.001,t,NA())</f>
        <v>#N/A</v>
      </c>
      <c r="AD841" s="426" t="e">
        <f aca="false">IF(ABS(t-ROUND(t,0))&lt;0.001,pos_x,NA())</f>
        <v>#N/A</v>
      </c>
      <c r="AE841" s="427" t="e">
        <f aca="false">IF(t&lt;T_para, pos_z, NA())</f>
        <v>#N/A</v>
      </c>
      <c r="AF841" s="413"/>
      <c r="AG841" s="419" t="n">
        <f aca="false">IF(AND(L840&lt;L_rampe,Poussee&lt;Poids*SIN(M840)),0,(-W840+Poussee)/m-Poids*SIN(M840)/m)</f>
        <v>5.94426241035734</v>
      </c>
      <c r="AH841" s="418" t="n">
        <f aca="false">IF(AND(L840&lt;L_rampe,Poussee&lt;Poids*SIN(M840)), g*SIN(M840), (-W840+Poussee)/m)</f>
        <v>-3.76536723726692</v>
      </c>
    </row>
    <row r="842" customFormat="false" ht="12" hidden="false" customHeight="false" outlineLevel="0" collapsed="false">
      <c r="A842" s="417" t="n">
        <f aca="false">IF(B841+0.01&lt;=T_ini+ROUNDUP(Temps_fin_propu,0), 0.01, IF(K841&gt;0, 0.1, 0.0001))</f>
        <v>0.0001</v>
      </c>
      <c r="B842" s="418" t="n">
        <f aca="false">B841+pas</f>
        <v>16.5492999999999</v>
      </c>
      <c r="C842" s="402"/>
      <c r="D842" s="419" t="n">
        <f aca="false">IF(AND(L841&lt;L_rampe,Poussee&lt;Poids*SIN(M841)),0,(-W841+Poussee)/m*COS(M841)-U841/m*SIN(M841))</f>
        <v>-0.537252528556328</v>
      </c>
      <c r="E842" s="420" t="n">
        <f aca="false">IF(AND(L841&lt;L_rampe,Poussee&lt;Poids*SIN(M841)),0,(-W841+Poussee)/m*SIN(M841)+U841/m*COS(M841)-Poids/m)</f>
        <v>-6.08309255418953</v>
      </c>
      <c r="F842" s="418" t="n">
        <f aca="false">SQRT(acc_x^2+acc_z^2)</f>
        <v>6.10677126657583</v>
      </c>
      <c r="G842" s="419" t="n">
        <f aca="false">G841+acc_x*pas</f>
        <v>10.2607726107863</v>
      </c>
      <c r="H842" s="420" t="n">
        <f aca="false">H841+acc_z*pas</f>
        <v>-71.1797057342819</v>
      </c>
      <c r="I842" s="418" t="n">
        <f aca="false">SQRT(vit_x^2+vit_z^2)</f>
        <v>71.9154640045466</v>
      </c>
      <c r="J842" s="419" t="n">
        <f aca="false">J841+0.5*(vit_x+G841)*pas*(K841&gt;=0)</f>
        <v>211.791153319536</v>
      </c>
      <c r="K842" s="420" t="n">
        <f aca="false">K841+0.5*(vit_z+H841)*pas</f>
        <v>-7.93461606434857</v>
      </c>
      <c r="L842" s="418" t="n">
        <f aca="false">SQRT(pos_x^2+pos_z^2)</f>
        <v>211.939733784177</v>
      </c>
      <c r="M842" s="419" t="n">
        <f aca="false">IF(AND(L841&gt;L_rampe,G842&gt;0),ATAN2(G842,H842),$M$4)</f>
        <v>-1.42762950142713</v>
      </c>
      <c r="N842" s="418" t="n">
        <f aca="false">DEGREES(Beta)</f>
        <v>-81.7971451401404</v>
      </c>
      <c r="O842" s="402"/>
      <c r="P842" s="421" t="n">
        <f aca="false">MATCH(t-pas/2-T_ini,CdP_t)</f>
        <v>23</v>
      </c>
      <c r="Q842" s="418" t="n">
        <f aca="false">(INDEX(CdP,2,i_P+1)-INDEX(CdP,2,i_P+0))/(INDEX(CdP,1,i_P+1)-INDEX(CdP,1,i_P+0))*(t-pas/2-T_ini-INDEX(CdP,1,i_P+0))+INDEX(CdP,2,i_P+0)</f>
        <v>0</v>
      </c>
      <c r="R842" s="419" t="n">
        <f aca="false">Poussee/(g*ISP)</f>
        <v>0</v>
      </c>
      <c r="S842" s="420" t="n">
        <f aca="false">S841-Débit*pas</f>
        <v>1.4843</v>
      </c>
      <c r="T842" s="418" t="n">
        <f aca="false">m*g</f>
        <v>14.560983</v>
      </c>
      <c r="U842" s="422" t="n">
        <f aca="false">IF(pos_xz&lt;L_rampe,Poids*COS(Beta),0)</f>
        <v>0</v>
      </c>
      <c r="V842" s="419" t="n">
        <f aca="false">Rho_moyen*(20000-Alt_rampe-pos_z)/(20000+Alt_rampe+pos_z)</f>
        <v>1.22597237623949</v>
      </c>
      <c r="W842" s="418" t="n">
        <f aca="false">1/2*Rho*Sref*Cx*vit_xz^2</f>
        <v>5.58912733465417</v>
      </c>
      <c r="X842" s="402"/>
      <c r="Y842" s="423" t="str">
        <f aca="false">IF(AND(pos_z&lt;=0,K841&gt;0),"Impact balistique","") &amp; IF(AND(H843&lt;0,vit_z&gt;=0),"Apogée","") &amp; IF(AND(Poussee=0,Q841&gt;0),"Fin de propulsion","") &amp; IF(AND(L843&gt;L_rampe,pos_xz&lt;=L_rampe),"Sortie de rampe","")</f>
        <v/>
      </c>
      <c r="Z842" s="424" t="str">
        <f aca="false">IF(ABS(t-T_para)&lt;pas/2,"Para","")</f>
        <v/>
      </c>
      <c r="AA842" s="425" t="str">
        <f aca="false">IF(ABS(t-T_satellite)&lt;pas/2,"Satellite","")</f>
        <v/>
      </c>
      <c r="AB842" s="413"/>
      <c r="AC842" s="421" t="e">
        <f aca="false">IF(ABS(t-ROUND(t,0))&lt;0.001,t,NA())</f>
        <v>#N/A</v>
      </c>
      <c r="AD842" s="426" t="e">
        <f aca="false">IF(ABS(t-ROUND(t,0))&lt;0.001,pos_x,NA())</f>
        <v>#N/A</v>
      </c>
      <c r="AE842" s="427" t="e">
        <f aca="false">IF(t&lt;T_para, pos_z, NA())</f>
        <v>#N/A</v>
      </c>
      <c r="AF842" s="413"/>
      <c r="AG842" s="419" t="n">
        <f aca="false">IF(AND(L841&lt;L_rampe,Poussee&lt;Poids*SIN(M841)),0,(-W841+Poussee)/m-Poids*SIN(M841)/m)</f>
        <v>5.9442002069456</v>
      </c>
      <c r="AH842" s="418" t="n">
        <f aca="false">IF(AND(L841&lt;L_rampe,Poussee&lt;Poids*SIN(M841)), g*SIN(M841), (-W841+Poussee)/m)</f>
        <v>-3.76543216498156</v>
      </c>
    </row>
    <row r="843" customFormat="false" ht="12" hidden="false" customHeight="false" outlineLevel="0" collapsed="false">
      <c r="A843" s="417" t="n">
        <f aca="false">IF(B842+0.01&lt;=T_ini+ROUNDUP(Temps_fin_propu,0), 0.01, IF(K842&gt;0, 0.1, 0.0001))</f>
        <v>0.0001</v>
      </c>
      <c r="B843" s="418" t="n">
        <f aca="false">B842+pas</f>
        <v>16.5493999999999</v>
      </c>
      <c r="C843" s="402"/>
      <c r="D843" s="419" t="n">
        <f aca="false">IF(AND(L842&lt;L_rampe,Poussee&lt;Poids*SIN(M842)),0,(-W842+Poussee)/m*COS(M842)-U842/m*SIN(M842))</f>
        <v>-0.537254538635105</v>
      </c>
      <c r="E843" s="420" t="n">
        <f aca="false">IF(AND(L842&lt;L_rampe,Poussee&lt;Poids*SIN(M842)),0,(-W842+Poussee)/m*SIN(M842)+U842/m*COS(M842)-Poids/m)</f>
        <v>-6.08302724511663</v>
      </c>
      <c r="F843" s="418" t="n">
        <f aca="false">SQRT(acc_x^2+acc_z^2)</f>
        <v>6.1067063875804</v>
      </c>
      <c r="G843" s="419" t="n">
        <f aca="false">G842+acc_x*pas</f>
        <v>10.2607188853325</v>
      </c>
      <c r="H843" s="420" t="n">
        <f aca="false">H842+acc_z*pas</f>
        <v>-71.1803140370064</v>
      </c>
      <c r="I843" s="418" t="n">
        <f aca="false">SQRT(vit_x^2+vit_z^2)</f>
        <v>71.9160584184831</v>
      </c>
      <c r="J843" s="419" t="n">
        <f aca="false">J842+0.5*(vit_x+G842)*pas*(K842&gt;=0)</f>
        <v>211.791153319536</v>
      </c>
      <c r="K843" s="420" t="n">
        <f aca="false">K842+0.5*(vit_z+H842)*pas</f>
        <v>-7.94173406533714</v>
      </c>
      <c r="L843" s="418" t="n">
        <f aca="false">SQRT(pos_x^2+pos_z^2)</f>
        <v>211.940000387807</v>
      </c>
      <c r="M843" s="419" t="n">
        <f aca="false">IF(AND(L842&gt;L_rampe,G843&gt;0),ATAN2(G843,H843),$M$4)</f>
        <v>-1.42763144768735</v>
      </c>
      <c r="N843" s="418" t="n">
        <f aca="false">DEGREES(Beta)</f>
        <v>-81.7972566526372</v>
      </c>
      <c r="O843" s="402"/>
      <c r="P843" s="421" t="n">
        <f aca="false">MATCH(t-pas/2-T_ini,CdP_t)</f>
        <v>23</v>
      </c>
      <c r="Q843" s="418" t="n">
        <f aca="false">(INDEX(CdP,2,i_P+1)-INDEX(CdP,2,i_P+0))/(INDEX(CdP,1,i_P+1)-INDEX(CdP,1,i_P+0))*(t-pas/2-T_ini-INDEX(CdP,1,i_P+0))+INDEX(CdP,2,i_P+0)</f>
        <v>0</v>
      </c>
      <c r="R843" s="419" t="n">
        <f aca="false">Poussee/(g*ISP)</f>
        <v>0</v>
      </c>
      <c r="S843" s="420" t="n">
        <f aca="false">S842-Débit*pas</f>
        <v>1.4843</v>
      </c>
      <c r="T843" s="418" t="n">
        <f aca="false">m*g</f>
        <v>14.560983</v>
      </c>
      <c r="U843" s="422" t="n">
        <f aca="false">IF(pos_xz&lt;L_rampe,Poids*COS(Beta),0)</f>
        <v>0</v>
      </c>
      <c r="V843" s="419" t="n">
        <f aca="false">Rho_moyen*(20000-Alt_rampe-pos_z)/(20000+Alt_rampe+pos_z)</f>
        <v>1.2259732488872</v>
      </c>
      <c r="W843" s="418" t="n">
        <f aca="false">1/2*Rho*Sref*Cx*vit_xz^2</f>
        <v>5.58922370679139</v>
      </c>
      <c r="X843" s="402"/>
      <c r="Y843" s="423" t="str">
        <f aca="false">IF(AND(pos_z&lt;=0,K842&gt;0),"Impact balistique","") &amp; IF(AND(H844&lt;0,vit_z&gt;=0),"Apogée","") &amp; IF(AND(Poussee=0,Q842&gt;0),"Fin de propulsion","") &amp; IF(AND(L844&gt;L_rampe,pos_xz&lt;=L_rampe),"Sortie de rampe","")</f>
        <v/>
      </c>
      <c r="Z843" s="424" t="str">
        <f aca="false">IF(ABS(t-T_para)&lt;pas/2,"Para","")</f>
        <v/>
      </c>
      <c r="AA843" s="425" t="str">
        <f aca="false">IF(ABS(t-T_satellite)&lt;pas/2,"Satellite","")</f>
        <v/>
      </c>
      <c r="AB843" s="413"/>
      <c r="AC843" s="421" t="e">
        <f aca="false">IF(ABS(t-ROUND(t,0))&lt;0.001,t,NA())</f>
        <v>#N/A</v>
      </c>
      <c r="AD843" s="426" t="e">
        <f aca="false">IF(ABS(t-ROUND(t,0))&lt;0.001,pos_x,NA())</f>
        <v>#N/A</v>
      </c>
      <c r="AE843" s="427" t="e">
        <f aca="false">IF(t&lt;T_para, pos_z, NA())</f>
        <v>#N/A</v>
      </c>
      <c r="AF843" s="413"/>
      <c r="AG843" s="419" t="n">
        <f aca="false">IF(AND(L842&lt;L_rampe,Poussee&lt;Poids*SIN(M842)),0,(-W842+Poussee)/m-Poids*SIN(M842)/m)</f>
        <v>5.94413800346123</v>
      </c>
      <c r="AH843" s="418" t="n">
        <f aca="false">IF(AND(L842&lt;L_rampe,Poussee&lt;Poids*SIN(M842)), g*SIN(M842), (-W842+Poussee)/m)</f>
        <v>-3.76549709267276</v>
      </c>
    </row>
    <row r="844" customFormat="false" ht="12" hidden="false" customHeight="false" outlineLevel="0" collapsed="false">
      <c r="A844" s="417" t="n">
        <f aca="false">IF(B843+0.01&lt;=T_ini+ROUNDUP(Temps_fin_propu,0), 0.01, IF(K843&gt;0, 0.1, 0.0001))</f>
        <v>0.0001</v>
      </c>
      <c r="B844" s="418" t="n">
        <f aca="false">B843+pas</f>
        <v>16.5494999999999</v>
      </c>
      <c r="C844" s="402"/>
      <c r="D844" s="419" t="n">
        <f aca="false">IF(AND(L843&lt;L_rampe,Poussee&lt;Poids*SIN(M843)),0,(-W843+Poussee)/m*COS(M843)-U843/m*SIN(M843))</f>
        <v>-0.537256548616244</v>
      </c>
      <c r="E844" s="420" t="n">
        <f aca="false">IF(AND(L843&lt;L_rampe,Poussee&lt;Poids*SIN(M843)),0,(-W843+Poussee)/m*SIN(M843)+U843/m*COS(M843)-Poids/m)</f>
        <v>-6.08296193606777</v>
      </c>
      <c r="F844" s="418" t="n">
        <f aca="false">SQRT(acc_x^2+acc_z^2)</f>
        <v>6.10664150861014</v>
      </c>
      <c r="G844" s="419" t="n">
        <f aca="false">G843+acc_x*pas</f>
        <v>10.2606651596776</v>
      </c>
      <c r="H844" s="420" t="n">
        <f aca="false">H843+acc_z*pas</f>
        <v>-71.1809223332</v>
      </c>
      <c r="I844" s="418" t="n">
        <f aca="false">SQRT(vit_x^2+vit_z^2)</f>
        <v>71.9166528261993</v>
      </c>
      <c r="J844" s="419" t="n">
        <f aca="false">J843+0.5*(vit_x+G843)*pas*(K843&gt;=0)</f>
        <v>211.791153319536</v>
      </c>
      <c r="K844" s="420" t="n">
        <f aca="false">K843+0.5*(vit_z+H843)*pas</f>
        <v>-7.94885212715565</v>
      </c>
      <c r="L844" s="418" t="n">
        <f aca="false">SQRT(pos_x^2+pos_z^2)</f>
        <v>211.940267232441</v>
      </c>
      <c r="M844" s="419" t="n">
        <f aca="false">IF(AND(L843&gt;L_rampe,G844&gt;0),ATAN2(G844,H844),$M$4)</f>
        <v>-1.42763339390522</v>
      </c>
      <c r="N844" s="418" t="n">
        <f aca="false">DEGREES(Beta)</f>
        <v>-81.7973681627067</v>
      </c>
      <c r="O844" s="402"/>
      <c r="P844" s="421" t="n">
        <f aca="false">MATCH(t-pas/2-T_ini,CdP_t)</f>
        <v>23</v>
      </c>
      <c r="Q844" s="418" t="n">
        <f aca="false">(INDEX(CdP,2,i_P+1)-INDEX(CdP,2,i_P+0))/(INDEX(CdP,1,i_P+1)-INDEX(CdP,1,i_P+0))*(t-pas/2-T_ini-INDEX(CdP,1,i_P+0))+INDEX(CdP,2,i_P+0)</f>
        <v>0</v>
      </c>
      <c r="R844" s="419" t="n">
        <f aca="false">Poussee/(g*ISP)</f>
        <v>0</v>
      </c>
      <c r="S844" s="420" t="n">
        <f aca="false">S843-Débit*pas</f>
        <v>1.4843</v>
      </c>
      <c r="T844" s="418" t="n">
        <f aca="false">m*g</f>
        <v>14.560983</v>
      </c>
      <c r="U844" s="422" t="n">
        <f aca="false">IF(pos_xz&lt;L_rampe,Poids*COS(Beta),0)</f>
        <v>0</v>
      </c>
      <c r="V844" s="419" t="n">
        <f aca="false">Rho_moyen*(20000-Alt_rampe-pos_z)/(20000+Alt_rampe+pos_z)</f>
        <v>1.22597412154298</v>
      </c>
      <c r="W844" s="418" t="n">
        <f aca="false">1/2*Rho*Sref*Cx*vit_xz^2</f>
        <v>5.58932007889376</v>
      </c>
      <c r="X844" s="402"/>
      <c r="Y844" s="423" t="str">
        <f aca="false">IF(AND(pos_z&lt;=0,K843&gt;0),"Impact balistique","") &amp; IF(AND(H845&lt;0,vit_z&gt;=0),"Apogée","") &amp; IF(AND(Poussee=0,Q843&gt;0),"Fin de propulsion","") &amp; IF(AND(L845&gt;L_rampe,pos_xz&lt;=L_rampe),"Sortie de rampe","")</f>
        <v/>
      </c>
      <c r="Z844" s="424" t="str">
        <f aca="false">IF(ABS(t-T_para)&lt;pas/2,"Para","")</f>
        <v/>
      </c>
      <c r="AA844" s="425" t="str">
        <f aca="false">IF(ABS(t-T_satellite)&lt;pas/2,"Satellite","")</f>
        <v/>
      </c>
      <c r="AB844" s="413"/>
      <c r="AC844" s="421" t="e">
        <f aca="false">IF(ABS(t-ROUND(t,0))&lt;0.001,t,NA())</f>
        <v>#N/A</v>
      </c>
      <c r="AD844" s="426" t="e">
        <f aca="false">IF(ABS(t-ROUND(t,0))&lt;0.001,pos_x,NA())</f>
        <v>#N/A</v>
      </c>
      <c r="AE844" s="427" t="e">
        <f aca="false">IF(t&lt;T_para, pos_z, NA())</f>
        <v>#N/A</v>
      </c>
      <c r="AF844" s="413"/>
      <c r="AG844" s="419" t="n">
        <f aca="false">IF(AND(L843&lt;L_rampe,Poussee&lt;Poids*SIN(M843)),0,(-W843+Poussee)/m-Poids*SIN(M843)/m)</f>
        <v>5.94407579990424</v>
      </c>
      <c r="AH844" s="418" t="n">
        <f aca="false">IF(AND(L843&lt;L_rampe,Poussee&lt;Poids*SIN(M843)), g*SIN(M843), (-W843+Poussee)/m)</f>
        <v>-3.76556202034049</v>
      </c>
    </row>
    <row r="845" customFormat="false" ht="12" hidden="false" customHeight="false" outlineLevel="0" collapsed="false">
      <c r="A845" s="417" t="n">
        <f aca="false">IF(B844+0.01&lt;=T_ini+ROUNDUP(Temps_fin_propu,0), 0.01, IF(K844&gt;0, 0.1, 0.0001))</f>
        <v>0.0001</v>
      </c>
      <c r="B845" s="418" t="n">
        <f aca="false">B844+pas</f>
        <v>16.5495999999999</v>
      </c>
      <c r="C845" s="402"/>
      <c r="D845" s="419" t="n">
        <f aca="false">IF(AND(L844&lt;L_rampe,Poussee&lt;Poids*SIN(M844)),0,(-W844+Poussee)/m*COS(M844)-U844/m*SIN(M844))</f>
        <v>-0.537258558499742</v>
      </c>
      <c r="E845" s="420" t="n">
        <f aca="false">IF(AND(L844&lt;L_rampe,Poussee&lt;Poids*SIN(M844)),0,(-W844+Poussee)/m*SIN(M844)+U844/m*COS(M844)-Poids/m)</f>
        <v>-6.08289662704297</v>
      </c>
      <c r="F845" s="418" t="n">
        <f aca="false">SQRT(acc_x^2+acc_z^2)</f>
        <v>6.1065766296651</v>
      </c>
      <c r="G845" s="419" t="n">
        <f aca="false">G844+acc_x*pas</f>
        <v>10.2606114338218</v>
      </c>
      <c r="H845" s="420" t="n">
        <f aca="false">H844+acc_z*pas</f>
        <v>-71.1815306228628</v>
      </c>
      <c r="I845" s="418" t="n">
        <f aca="false">SQRT(vit_x^2+vit_z^2)</f>
        <v>71.9172472276951</v>
      </c>
      <c r="J845" s="419" t="n">
        <f aca="false">J844+0.5*(vit_x+G844)*pas*(K844&gt;=0)</f>
        <v>211.791153319536</v>
      </c>
      <c r="K845" s="420" t="n">
        <f aca="false">K844+0.5*(vit_z+H844)*pas</f>
        <v>-7.95597024980345</v>
      </c>
      <c r="L845" s="418" t="n">
        <f aca="false">SQRT(pos_x^2+pos_z^2)</f>
        <v>211.940534318084</v>
      </c>
      <c r="M845" s="419" t="n">
        <f aca="false">IF(AND(L844&gt;L_rampe,G845&gt;0),ATAN2(G845,H845),$M$4)</f>
        <v>-1.42763534008072</v>
      </c>
      <c r="N845" s="418" t="n">
        <f aca="false">DEGREES(Beta)</f>
        <v>-81.797479670349</v>
      </c>
      <c r="O845" s="402"/>
      <c r="P845" s="421" t="n">
        <f aca="false">MATCH(t-pas/2-T_ini,CdP_t)</f>
        <v>23</v>
      </c>
      <c r="Q845" s="418" t="n">
        <f aca="false">(INDEX(CdP,2,i_P+1)-INDEX(CdP,2,i_P+0))/(INDEX(CdP,1,i_P+1)-INDEX(CdP,1,i_P+0))*(t-pas/2-T_ini-INDEX(CdP,1,i_P+0))+INDEX(CdP,2,i_P+0)</f>
        <v>0</v>
      </c>
      <c r="R845" s="419" t="n">
        <f aca="false">Poussee/(g*ISP)</f>
        <v>0</v>
      </c>
      <c r="S845" s="420" t="n">
        <f aca="false">S844-Débit*pas</f>
        <v>1.4843</v>
      </c>
      <c r="T845" s="418" t="n">
        <f aca="false">m*g</f>
        <v>14.560983</v>
      </c>
      <c r="U845" s="422" t="n">
        <f aca="false">IF(pos_xz&lt;L_rampe,Poids*COS(Beta),0)</f>
        <v>0</v>
      </c>
      <c r="V845" s="419" t="n">
        <f aca="false">Rho_moyen*(20000-Alt_rampe-pos_z)/(20000+Alt_rampe+pos_z)</f>
        <v>1.22597499420685</v>
      </c>
      <c r="W845" s="418" t="n">
        <f aca="false">1/2*Rho*Sref*Cx*vit_xz^2</f>
        <v>5.58941645096126</v>
      </c>
      <c r="X845" s="402"/>
      <c r="Y845" s="423" t="str">
        <f aca="false">IF(AND(pos_z&lt;=0,K844&gt;0),"Impact balistique","") &amp; IF(AND(H846&lt;0,vit_z&gt;=0),"Apogée","") &amp; IF(AND(Poussee=0,Q844&gt;0),"Fin de propulsion","") &amp; IF(AND(L846&gt;L_rampe,pos_xz&lt;=L_rampe),"Sortie de rampe","")</f>
        <v/>
      </c>
      <c r="Z845" s="424" t="str">
        <f aca="false">IF(ABS(t-T_para)&lt;pas/2,"Para","")</f>
        <v/>
      </c>
      <c r="AA845" s="425" t="str">
        <f aca="false">IF(ABS(t-T_satellite)&lt;pas/2,"Satellite","")</f>
        <v/>
      </c>
      <c r="AB845" s="413"/>
      <c r="AC845" s="421" t="e">
        <f aca="false">IF(ABS(t-ROUND(t,0))&lt;0.001,t,NA())</f>
        <v>#N/A</v>
      </c>
      <c r="AD845" s="426" t="e">
        <f aca="false">IF(ABS(t-ROUND(t,0))&lt;0.001,pos_x,NA())</f>
        <v>#N/A</v>
      </c>
      <c r="AE845" s="427" t="e">
        <f aca="false">IF(t&lt;T_para, pos_z, NA())</f>
        <v>#N/A</v>
      </c>
      <c r="AF845" s="413"/>
      <c r="AG845" s="419" t="n">
        <f aca="false">IF(AND(L844&lt;L_rampe,Poussee&lt;Poids*SIN(M844)),0,(-W844+Poussee)/m-Poids*SIN(M844)/m)</f>
        <v>5.94401359627466</v>
      </c>
      <c r="AH845" s="418" t="n">
        <f aca="false">IF(AND(L844&lt;L_rampe,Poussee&lt;Poids*SIN(M844)), g*SIN(M844), (-W844+Poussee)/m)</f>
        <v>-3.76562694798475</v>
      </c>
    </row>
    <row r="846" customFormat="false" ht="12" hidden="false" customHeight="false" outlineLevel="0" collapsed="false">
      <c r="A846" s="417" t="n">
        <f aca="false">IF(B845+0.01&lt;=T_ini+ROUNDUP(Temps_fin_propu,0), 0.01, IF(K845&gt;0, 0.1, 0.0001))</f>
        <v>0.0001</v>
      </c>
      <c r="B846" s="418" t="n">
        <f aca="false">B845+pas</f>
        <v>16.5496999999999</v>
      </c>
      <c r="C846" s="402"/>
      <c r="D846" s="419" t="n">
        <f aca="false">IF(AND(L845&lt;L_rampe,Poussee&lt;Poids*SIN(M845)),0,(-W845+Poussee)/m*COS(M845)-U845/m*SIN(M845))</f>
        <v>-0.537260568285602</v>
      </c>
      <c r="E846" s="420" t="n">
        <f aca="false">IF(AND(L845&lt;L_rampe,Poussee&lt;Poids*SIN(M845)),0,(-W845+Poussee)/m*SIN(M845)+U845/m*COS(M845)-Poids/m)</f>
        <v>-6.08283131804223</v>
      </c>
      <c r="F846" s="418" t="n">
        <f aca="false">SQRT(acc_x^2+acc_z^2)</f>
        <v>6.10651175074526</v>
      </c>
      <c r="G846" s="419" t="n">
        <f aca="false">G845+acc_x*pas</f>
        <v>10.2605577077649</v>
      </c>
      <c r="H846" s="420" t="n">
        <f aca="false">H845+acc_z*pas</f>
        <v>-71.1821389059946</v>
      </c>
      <c r="I846" s="418" t="n">
        <f aca="false">SQRT(vit_x^2+vit_z^2)</f>
        <v>71.9178416229706</v>
      </c>
      <c r="J846" s="419" t="n">
        <f aca="false">J845+0.5*(vit_x+G845)*pas*(K845&gt;=0)</f>
        <v>211.791153319536</v>
      </c>
      <c r="K846" s="420" t="n">
        <f aca="false">K845+0.5*(vit_z+H845)*pas</f>
        <v>-7.96308843327989</v>
      </c>
      <c r="L846" s="418" t="n">
        <f aca="false">SQRT(pos_x^2+pos_z^2)</f>
        <v>211.940801644741</v>
      </c>
      <c r="M846" s="419" t="n">
        <f aca="false">IF(AND(L845&gt;L_rampe,G846&gt;0),ATAN2(G846,H846),$M$4)</f>
        <v>-1.42763728621386</v>
      </c>
      <c r="N846" s="418" t="n">
        <f aca="false">DEGREES(Beta)</f>
        <v>-81.7975911755643</v>
      </c>
      <c r="O846" s="402"/>
      <c r="P846" s="421" t="n">
        <f aca="false">MATCH(t-pas/2-T_ini,CdP_t)</f>
        <v>23</v>
      </c>
      <c r="Q846" s="418" t="n">
        <f aca="false">(INDEX(CdP,2,i_P+1)-INDEX(CdP,2,i_P+0))/(INDEX(CdP,1,i_P+1)-INDEX(CdP,1,i_P+0))*(t-pas/2-T_ini-INDEX(CdP,1,i_P+0))+INDEX(CdP,2,i_P+0)</f>
        <v>0</v>
      </c>
      <c r="R846" s="419" t="n">
        <f aca="false">Poussee/(g*ISP)</f>
        <v>0</v>
      </c>
      <c r="S846" s="420" t="n">
        <f aca="false">S845-Débit*pas</f>
        <v>1.4843</v>
      </c>
      <c r="T846" s="418" t="n">
        <f aca="false">m*g</f>
        <v>14.560983</v>
      </c>
      <c r="U846" s="422" t="n">
        <f aca="false">IF(pos_xz&lt;L_rampe,Poids*COS(Beta),0)</f>
        <v>0</v>
      </c>
      <c r="V846" s="419" t="n">
        <f aca="false">Rho_moyen*(20000-Alt_rampe-pos_z)/(20000+Alt_rampe+pos_z)</f>
        <v>1.22597586687879</v>
      </c>
      <c r="W846" s="418" t="n">
        <f aca="false">1/2*Rho*Sref*Cx*vit_xz^2</f>
        <v>5.58951282299387</v>
      </c>
      <c r="X846" s="402"/>
      <c r="Y846" s="423" t="str">
        <f aca="false">IF(AND(pos_z&lt;=0,K845&gt;0),"Impact balistique","") &amp; IF(AND(H847&lt;0,vit_z&gt;=0),"Apogée","") &amp; IF(AND(Poussee=0,Q845&gt;0),"Fin de propulsion","") &amp; IF(AND(L847&gt;L_rampe,pos_xz&lt;=L_rampe),"Sortie de rampe","")</f>
        <v/>
      </c>
      <c r="Z846" s="424" t="str">
        <f aca="false">IF(ABS(t-T_para)&lt;pas/2,"Para","")</f>
        <v/>
      </c>
      <c r="AA846" s="425" t="str">
        <f aca="false">IF(ABS(t-T_satellite)&lt;pas/2,"Satellite","")</f>
        <v/>
      </c>
      <c r="AB846" s="413"/>
      <c r="AC846" s="421" t="e">
        <f aca="false">IF(ABS(t-ROUND(t,0))&lt;0.001,t,NA())</f>
        <v>#N/A</v>
      </c>
      <c r="AD846" s="426" t="e">
        <f aca="false">IF(ABS(t-ROUND(t,0))&lt;0.001,pos_x,NA())</f>
        <v>#N/A</v>
      </c>
      <c r="AE846" s="427" t="e">
        <f aca="false">IF(t&lt;T_para, pos_z, NA())</f>
        <v>#N/A</v>
      </c>
      <c r="AF846" s="413"/>
      <c r="AG846" s="419" t="n">
        <f aca="false">IF(AND(L845&lt;L_rampe,Poussee&lt;Poids*SIN(M845)),0,(-W845+Poussee)/m-Poids*SIN(M845)/m)</f>
        <v>5.9439513925725</v>
      </c>
      <c r="AH846" s="418" t="n">
        <f aca="false">IF(AND(L845&lt;L_rampe,Poussee&lt;Poids*SIN(M845)), g*SIN(M845), (-W845+Poussee)/m)</f>
        <v>-3.76569187560551</v>
      </c>
    </row>
    <row r="847" customFormat="false" ht="12" hidden="false" customHeight="false" outlineLevel="0" collapsed="false">
      <c r="A847" s="417" t="n">
        <f aca="false">IF(B846+0.01&lt;=T_ini+ROUNDUP(Temps_fin_propu,0), 0.01, IF(K846&gt;0, 0.1, 0.0001))</f>
        <v>0.0001</v>
      </c>
      <c r="B847" s="418" t="n">
        <f aca="false">B846+pas</f>
        <v>16.5497999999999</v>
      </c>
      <c r="C847" s="402"/>
      <c r="D847" s="419" t="n">
        <f aca="false">IF(AND(L846&lt;L_rampe,Poussee&lt;Poids*SIN(M846)),0,(-W846+Poussee)/m*COS(M846)-U846/m*SIN(M846))</f>
        <v>-0.537262577973825</v>
      </c>
      <c r="E847" s="420" t="n">
        <f aca="false">IF(AND(L846&lt;L_rampe,Poussee&lt;Poids*SIN(M846)),0,(-W846+Poussee)/m*SIN(M846)+U846/m*COS(M846)-Poids/m)</f>
        <v>-6.08276600906559</v>
      </c>
      <c r="F847" s="418" t="n">
        <f aca="false">SQRT(acc_x^2+acc_z^2)</f>
        <v>6.10644687185067</v>
      </c>
      <c r="G847" s="419" t="n">
        <f aca="false">G846+acc_x*pas</f>
        <v>10.2605039815071</v>
      </c>
      <c r="H847" s="420" t="n">
        <f aca="false">H846+acc_z*pas</f>
        <v>-71.1827471825955</v>
      </c>
      <c r="I847" s="418" t="n">
        <f aca="false">SQRT(vit_x^2+vit_z^2)</f>
        <v>71.9184360120256</v>
      </c>
      <c r="J847" s="419" t="n">
        <f aca="false">J846+0.5*(vit_x+G846)*pas*(K846&gt;=0)</f>
        <v>211.791153319536</v>
      </c>
      <c r="K847" s="420" t="n">
        <f aca="false">K846+0.5*(vit_z+H846)*pas</f>
        <v>-7.97020667758432</v>
      </c>
      <c r="L847" s="418" t="n">
        <f aca="false">SQRT(pos_x^2+pos_z^2)</f>
        <v>211.941069212417</v>
      </c>
      <c r="M847" s="419" t="n">
        <f aca="false">IF(AND(L846&gt;L_rampe,G847&gt;0),ATAN2(G847,H847),$M$4)</f>
        <v>-1.42763923230464</v>
      </c>
      <c r="N847" s="418" t="n">
        <f aca="false">DEGREES(Beta)</f>
        <v>-81.7977026783526</v>
      </c>
      <c r="O847" s="402"/>
      <c r="P847" s="421" t="n">
        <f aca="false">MATCH(t-pas/2-T_ini,CdP_t)</f>
        <v>23</v>
      </c>
      <c r="Q847" s="418" t="n">
        <f aca="false">(INDEX(CdP,2,i_P+1)-INDEX(CdP,2,i_P+0))/(INDEX(CdP,1,i_P+1)-INDEX(CdP,1,i_P+0))*(t-pas/2-T_ini-INDEX(CdP,1,i_P+0))+INDEX(CdP,2,i_P+0)</f>
        <v>0</v>
      </c>
      <c r="R847" s="419" t="n">
        <f aca="false">Poussee/(g*ISP)</f>
        <v>0</v>
      </c>
      <c r="S847" s="420" t="n">
        <f aca="false">S846-Débit*pas</f>
        <v>1.4843</v>
      </c>
      <c r="T847" s="418" t="n">
        <f aca="false">m*g</f>
        <v>14.560983</v>
      </c>
      <c r="U847" s="422" t="n">
        <f aca="false">IF(pos_xz&lt;L_rampe,Poids*COS(Beta),0)</f>
        <v>0</v>
      </c>
      <c r="V847" s="419" t="n">
        <f aca="false">Rho_moyen*(20000-Alt_rampe-pos_z)/(20000+Alt_rampe+pos_z)</f>
        <v>1.22597673955881</v>
      </c>
      <c r="W847" s="418" t="n">
        <f aca="false">1/2*Rho*Sref*Cx*vit_xz^2</f>
        <v>5.58960919499155</v>
      </c>
      <c r="X847" s="402"/>
      <c r="Y847" s="423" t="str">
        <f aca="false">IF(AND(pos_z&lt;=0,K846&gt;0),"Impact balistique","") &amp; IF(AND(H848&lt;0,vit_z&gt;=0),"Apogée","") &amp; IF(AND(Poussee=0,Q846&gt;0),"Fin de propulsion","") &amp; IF(AND(L848&gt;L_rampe,pos_xz&lt;=L_rampe),"Sortie de rampe","")</f>
        <v/>
      </c>
      <c r="Z847" s="424" t="str">
        <f aca="false">IF(ABS(t-T_para)&lt;pas/2,"Para","")</f>
        <v/>
      </c>
      <c r="AA847" s="425" t="str">
        <f aca="false">IF(ABS(t-T_satellite)&lt;pas/2,"Satellite","")</f>
        <v/>
      </c>
      <c r="AB847" s="413"/>
      <c r="AC847" s="421" t="e">
        <f aca="false">IF(ABS(t-ROUND(t,0))&lt;0.001,t,NA())</f>
        <v>#N/A</v>
      </c>
      <c r="AD847" s="426" t="e">
        <f aca="false">IF(ABS(t-ROUND(t,0))&lt;0.001,pos_x,NA())</f>
        <v>#N/A</v>
      </c>
      <c r="AE847" s="427" t="e">
        <f aca="false">IF(t&lt;T_para, pos_z, NA())</f>
        <v>#N/A</v>
      </c>
      <c r="AF847" s="413"/>
      <c r="AG847" s="419" t="n">
        <f aca="false">IF(AND(L846&lt;L_rampe,Poussee&lt;Poids*SIN(M846)),0,(-W846+Poussee)/m-Poids*SIN(M846)/m)</f>
        <v>5.94388918879778</v>
      </c>
      <c r="AH847" s="418" t="n">
        <f aca="false">IF(AND(L846&lt;L_rampe,Poussee&lt;Poids*SIN(M846)), g*SIN(M846), (-W846+Poussee)/m)</f>
        <v>-3.76575680320277</v>
      </c>
    </row>
    <row r="848" customFormat="false" ht="12" hidden="false" customHeight="false" outlineLevel="0" collapsed="false">
      <c r="A848" s="417" t="n">
        <f aca="false">IF(B847+0.01&lt;=T_ini+ROUNDUP(Temps_fin_propu,0), 0.01, IF(K847&gt;0, 0.1, 0.0001))</f>
        <v>0.0001</v>
      </c>
      <c r="B848" s="418" t="n">
        <f aca="false">B847+pas</f>
        <v>16.5498999999999</v>
      </c>
      <c r="C848" s="402"/>
      <c r="D848" s="419" t="n">
        <f aca="false">IF(AND(L847&lt;L_rampe,Poussee&lt;Poids*SIN(M847)),0,(-W847+Poussee)/m*COS(M847)-U847/m*SIN(M847))</f>
        <v>-0.53726458756441</v>
      </c>
      <c r="E848" s="420" t="n">
        <f aca="false">IF(AND(L847&lt;L_rampe,Poussee&lt;Poids*SIN(M847)),0,(-W847+Poussee)/m*SIN(M847)+U847/m*COS(M847)-Poids/m)</f>
        <v>-6.08270070011305</v>
      </c>
      <c r="F848" s="418" t="n">
        <f aca="false">SQRT(acc_x^2+acc_z^2)</f>
        <v>6.10638199298132</v>
      </c>
      <c r="G848" s="419" t="n">
        <f aca="false">G847+acc_x*pas</f>
        <v>10.2604502550484</v>
      </c>
      <c r="H848" s="420" t="n">
        <f aca="false">H847+acc_z*pas</f>
        <v>-71.1833554526655</v>
      </c>
      <c r="I848" s="418" t="n">
        <f aca="false">SQRT(vit_x^2+vit_z^2)</f>
        <v>71.9190303948603</v>
      </c>
      <c r="J848" s="419" t="n">
        <f aca="false">J847+0.5*(vit_x+G847)*pas*(K847&gt;=0)</f>
        <v>211.791153319536</v>
      </c>
      <c r="K848" s="420" t="n">
        <f aca="false">K847+0.5*(vit_z+H847)*pas</f>
        <v>-7.97732498271608</v>
      </c>
      <c r="L848" s="418" t="n">
        <f aca="false">SQRT(pos_x^2+pos_z^2)</f>
        <v>211.941337021118</v>
      </c>
      <c r="M848" s="419" t="n">
        <f aca="false">IF(AND(L847&gt;L_rampe,G848&gt;0),ATAN2(G848,H848),$M$4)</f>
        <v>-1.42764117835306</v>
      </c>
      <c r="N848" s="418" t="n">
        <f aca="false">DEGREES(Beta)</f>
        <v>-81.797814178714</v>
      </c>
      <c r="O848" s="402"/>
      <c r="P848" s="421" t="n">
        <f aca="false">MATCH(t-pas/2-T_ini,CdP_t)</f>
        <v>23</v>
      </c>
      <c r="Q848" s="418" t="n">
        <f aca="false">(INDEX(CdP,2,i_P+1)-INDEX(CdP,2,i_P+0))/(INDEX(CdP,1,i_P+1)-INDEX(CdP,1,i_P+0))*(t-pas/2-T_ini-INDEX(CdP,1,i_P+0))+INDEX(CdP,2,i_P+0)</f>
        <v>0</v>
      </c>
      <c r="R848" s="419" t="n">
        <f aca="false">Poussee/(g*ISP)</f>
        <v>0</v>
      </c>
      <c r="S848" s="420" t="n">
        <f aca="false">S847-Débit*pas</f>
        <v>1.4843</v>
      </c>
      <c r="T848" s="418" t="n">
        <f aca="false">m*g</f>
        <v>14.560983</v>
      </c>
      <c r="U848" s="422" t="n">
        <f aca="false">IF(pos_xz&lt;L_rampe,Poids*COS(Beta),0)</f>
        <v>0</v>
      </c>
      <c r="V848" s="419" t="n">
        <f aca="false">Rho_moyen*(20000-Alt_rampe-pos_z)/(20000+Alt_rampe+pos_z)</f>
        <v>1.22597761224691</v>
      </c>
      <c r="W848" s="418" t="n">
        <f aca="false">1/2*Rho*Sref*Cx*vit_xz^2</f>
        <v>5.58970556695429</v>
      </c>
      <c r="X848" s="402"/>
      <c r="Y848" s="423" t="str">
        <f aca="false">IF(AND(pos_z&lt;=0,K847&gt;0),"Impact balistique","") &amp; IF(AND(H849&lt;0,vit_z&gt;=0),"Apogée","") &amp; IF(AND(Poussee=0,Q847&gt;0),"Fin de propulsion","") &amp; IF(AND(L849&gt;L_rampe,pos_xz&lt;=L_rampe),"Sortie de rampe","")</f>
        <v/>
      </c>
      <c r="Z848" s="424" t="str">
        <f aca="false">IF(ABS(t-T_para)&lt;pas/2,"Para","")</f>
        <v/>
      </c>
      <c r="AA848" s="425" t="str">
        <f aca="false">IF(ABS(t-T_satellite)&lt;pas/2,"Satellite","")</f>
        <v/>
      </c>
      <c r="AB848" s="413"/>
      <c r="AC848" s="421" t="e">
        <f aca="false">IF(ABS(t-ROUND(t,0))&lt;0.001,t,NA())</f>
        <v>#N/A</v>
      </c>
      <c r="AD848" s="426" t="e">
        <f aca="false">IF(ABS(t-ROUND(t,0))&lt;0.001,pos_x,NA())</f>
        <v>#N/A</v>
      </c>
      <c r="AE848" s="427" t="e">
        <f aca="false">IF(t&lt;T_para, pos_z, NA())</f>
        <v>#N/A</v>
      </c>
      <c r="AF848" s="413"/>
      <c r="AG848" s="419" t="n">
        <f aca="false">IF(AND(L847&lt;L_rampe,Poussee&lt;Poids*SIN(M847)),0,(-W847+Poussee)/m-Poids*SIN(M847)/m)</f>
        <v>5.94382698495054</v>
      </c>
      <c r="AH848" s="418" t="n">
        <f aca="false">IF(AND(L847&lt;L_rampe,Poussee&lt;Poids*SIN(M847)), g*SIN(M847), (-W847+Poussee)/m)</f>
        <v>-3.7658217307765</v>
      </c>
    </row>
    <row r="849" customFormat="false" ht="12" hidden="false" customHeight="false" outlineLevel="0" collapsed="false">
      <c r="A849" s="417" t="n">
        <f aca="false">IF(B848+0.01&lt;=T_ini+ROUNDUP(Temps_fin_propu,0), 0.01, IF(K848&gt;0, 0.1, 0.0001))</f>
        <v>0.0001</v>
      </c>
      <c r="B849" s="418" t="n">
        <f aca="false">B848+pas</f>
        <v>16.5499999999999</v>
      </c>
      <c r="C849" s="402"/>
      <c r="D849" s="419" t="n">
        <f aca="false">IF(AND(L848&lt;L_rampe,Poussee&lt;Poids*SIN(M848)),0,(-W848+Poussee)/m*COS(M848)-U848/m*SIN(M848))</f>
        <v>-0.537266597057358</v>
      </c>
      <c r="E849" s="420" t="n">
        <f aca="false">IF(AND(L848&lt;L_rampe,Poussee&lt;Poids*SIN(M848)),0,(-W848+Poussee)/m*SIN(M848)+U848/m*COS(M848)-Poids/m)</f>
        <v>-6.08263539118463</v>
      </c>
      <c r="F849" s="418" t="n">
        <f aca="false">SQRT(acc_x^2+acc_z^2)</f>
        <v>6.10631711413725</v>
      </c>
      <c r="G849" s="419" t="n">
        <f aca="false">G848+acc_x*pas</f>
        <v>10.2603965283887</v>
      </c>
      <c r="H849" s="420" t="n">
        <f aca="false">H848+acc_z*pas</f>
        <v>-71.1839637162046</v>
      </c>
      <c r="I849" s="418" t="n">
        <f aca="false">SQRT(vit_x^2+vit_z^2)</f>
        <v>71.9196247714746</v>
      </c>
      <c r="J849" s="419" t="n">
        <f aca="false">J848+0.5*(vit_x+G848)*pas*(K848&gt;=0)</f>
        <v>211.791153319536</v>
      </c>
      <c r="K849" s="420" t="n">
        <f aca="false">K848+0.5*(vit_z+H848)*pas</f>
        <v>-7.98444334867453</v>
      </c>
      <c r="L849" s="418" t="n">
        <f aca="false">SQRT(pos_x^2+pos_z^2)</f>
        <v>211.941605070848</v>
      </c>
      <c r="M849" s="419" t="n">
        <f aca="false">IF(AND(L848&gt;L_rampe,G849&gt;0),ATAN2(G849,H849),$M$4)</f>
        <v>-1.42764312435913</v>
      </c>
      <c r="N849" s="418" t="n">
        <f aca="false">DEGREES(Beta)</f>
        <v>-81.7979256766486</v>
      </c>
      <c r="O849" s="402"/>
      <c r="P849" s="421" t="n">
        <f aca="false">MATCH(t-pas/2-T_ini,CdP_t)</f>
        <v>23</v>
      </c>
      <c r="Q849" s="418" t="n">
        <f aca="false">(INDEX(CdP,2,i_P+1)-INDEX(CdP,2,i_P+0))/(INDEX(CdP,1,i_P+1)-INDEX(CdP,1,i_P+0))*(t-pas/2-T_ini-INDEX(CdP,1,i_P+0))+INDEX(CdP,2,i_P+0)</f>
        <v>0</v>
      </c>
      <c r="R849" s="419" t="n">
        <f aca="false">Poussee/(g*ISP)</f>
        <v>0</v>
      </c>
      <c r="S849" s="420" t="n">
        <f aca="false">S848-Débit*pas</f>
        <v>1.4843</v>
      </c>
      <c r="T849" s="418" t="n">
        <f aca="false">m*g</f>
        <v>14.560983</v>
      </c>
      <c r="U849" s="422" t="n">
        <f aca="false">IF(pos_xz&lt;L_rampe,Poids*COS(Beta),0)</f>
        <v>0</v>
      </c>
      <c r="V849" s="419" t="n">
        <f aca="false">Rho_moyen*(20000-Alt_rampe-pos_z)/(20000+Alt_rampe+pos_z)</f>
        <v>1.22597848494309</v>
      </c>
      <c r="W849" s="418" t="n">
        <f aca="false">1/2*Rho*Sref*Cx*vit_xz^2</f>
        <v>5.58980193888207</v>
      </c>
      <c r="X849" s="402"/>
      <c r="Y849" s="423" t="str">
        <f aca="false">IF(AND(pos_z&lt;=0,K848&gt;0),"Impact balistique","") &amp; IF(AND(H850&lt;0,vit_z&gt;=0),"Apogée","") &amp; IF(AND(Poussee=0,Q848&gt;0),"Fin de propulsion","") &amp; IF(AND(L850&gt;L_rampe,pos_xz&lt;=L_rampe),"Sortie de rampe","")</f>
        <v/>
      </c>
      <c r="Z849" s="424" t="str">
        <f aca="false">IF(ABS(t-T_para)&lt;pas/2,"Para","")</f>
        <v/>
      </c>
      <c r="AA849" s="425" t="str">
        <f aca="false">IF(ABS(t-T_satellite)&lt;pas/2,"Satellite","")</f>
        <v/>
      </c>
      <c r="AB849" s="413"/>
      <c r="AC849" s="421" t="e">
        <f aca="false">IF(ABS(t-ROUND(t,0))&lt;0.001,t,NA())</f>
        <v>#N/A</v>
      </c>
      <c r="AD849" s="426" t="e">
        <f aca="false">IF(ABS(t-ROUND(t,0))&lt;0.001,pos_x,NA())</f>
        <v>#N/A</v>
      </c>
      <c r="AE849" s="427" t="e">
        <f aca="false">IF(t&lt;T_para, pos_z, NA())</f>
        <v>#N/A</v>
      </c>
      <c r="AF849" s="413"/>
      <c r="AG849" s="419" t="n">
        <f aca="false">IF(AND(L848&lt;L_rampe,Poussee&lt;Poids*SIN(M848)),0,(-W848+Poussee)/m-Poids*SIN(M848)/m)</f>
        <v>5.94376478103077</v>
      </c>
      <c r="AH849" s="418" t="n">
        <f aca="false">IF(AND(L848&lt;L_rampe,Poussee&lt;Poids*SIN(M848)), g*SIN(M848), (-W848+Poussee)/m)</f>
        <v>-3.76588665832669</v>
      </c>
    </row>
    <row r="850" customFormat="false" ht="12" hidden="false" customHeight="false" outlineLevel="0" collapsed="false">
      <c r="A850" s="417" t="n">
        <f aca="false">IF(B849+0.01&lt;=T_ini+ROUNDUP(Temps_fin_propu,0), 0.01, IF(K849&gt;0, 0.1, 0.0001))</f>
        <v>0.0001</v>
      </c>
      <c r="B850" s="418" t="n">
        <f aca="false">B849+pas</f>
        <v>16.5500999999999</v>
      </c>
      <c r="C850" s="402"/>
      <c r="D850" s="419" t="n">
        <f aca="false">IF(AND(L849&lt;L_rampe,Poussee&lt;Poids*SIN(M849)),0,(-W849+Poussee)/m*COS(M849)-U849/m*SIN(M849))</f>
        <v>-0.537268606452671</v>
      </c>
      <c r="E850" s="420" t="n">
        <f aca="false">IF(AND(L849&lt;L_rampe,Poussee&lt;Poids*SIN(M849)),0,(-W849+Poussee)/m*SIN(M849)+U849/m*COS(M849)-Poids/m)</f>
        <v>-6.08257008228035</v>
      </c>
      <c r="F850" s="418" t="n">
        <f aca="false">SQRT(acc_x^2+acc_z^2)</f>
        <v>6.10625223531845</v>
      </c>
      <c r="G850" s="419" t="n">
        <f aca="false">G849+acc_x*pas</f>
        <v>10.260342801528</v>
      </c>
      <c r="H850" s="420" t="n">
        <f aca="false">H849+acc_z*pas</f>
        <v>-71.1845719732128</v>
      </c>
      <c r="I850" s="418" t="n">
        <f aca="false">SQRT(vit_x^2+vit_z^2)</f>
        <v>71.9202191418685</v>
      </c>
      <c r="J850" s="419" t="n">
        <f aca="false">J849+0.5*(vit_x+G849)*pas*(K849&gt;=0)</f>
        <v>211.791153319536</v>
      </c>
      <c r="K850" s="420" t="n">
        <f aca="false">K849+0.5*(vit_z+H849)*pas</f>
        <v>-7.991561775459</v>
      </c>
      <c r="L850" s="418" t="n">
        <f aca="false">SQRT(pos_x^2+pos_z^2)</f>
        <v>211.941873361614</v>
      </c>
      <c r="M850" s="419" t="n">
        <f aca="false">IF(AND(L849&gt;L_rampe,G850&gt;0),ATAN2(G850,H850),$M$4)</f>
        <v>-1.42764507032284</v>
      </c>
      <c r="N850" s="418" t="n">
        <f aca="false">DEGREES(Beta)</f>
        <v>-81.7980371721564</v>
      </c>
      <c r="O850" s="402"/>
      <c r="P850" s="421" t="n">
        <f aca="false">MATCH(t-pas/2-T_ini,CdP_t)</f>
        <v>23</v>
      </c>
      <c r="Q850" s="418" t="n">
        <f aca="false">(INDEX(CdP,2,i_P+1)-INDEX(CdP,2,i_P+0))/(INDEX(CdP,1,i_P+1)-INDEX(CdP,1,i_P+0))*(t-pas/2-T_ini-INDEX(CdP,1,i_P+0))+INDEX(CdP,2,i_P+0)</f>
        <v>0</v>
      </c>
      <c r="R850" s="419" t="n">
        <f aca="false">Poussee/(g*ISP)</f>
        <v>0</v>
      </c>
      <c r="S850" s="420" t="n">
        <f aca="false">S849-Débit*pas</f>
        <v>1.4843</v>
      </c>
      <c r="T850" s="418" t="n">
        <f aca="false">m*g</f>
        <v>14.560983</v>
      </c>
      <c r="U850" s="422" t="n">
        <f aca="false">IF(pos_xz&lt;L_rampe,Poids*COS(Beta),0)</f>
        <v>0</v>
      </c>
      <c r="V850" s="419" t="n">
        <f aca="false">Rho_moyen*(20000-Alt_rampe-pos_z)/(20000+Alt_rampe+pos_z)</f>
        <v>1.22597935764735</v>
      </c>
      <c r="W850" s="418" t="n">
        <f aca="false">1/2*Rho*Sref*Cx*vit_xz^2</f>
        <v>5.58989831077486</v>
      </c>
      <c r="X850" s="402"/>
      <c r="Y850" s="423" t="str">
        <f aca="false">IF(AND(pos_z&lt;=0,K849&gt;0),"Impact balistique","") &amp; IF(AND(H851&lt;0,vit_z&gt;=0),"Apogée","") &amp; IF(AND(Poussee=0,Q849&gt;0),"Fin de propulsion","") &amp; IF(AND(L851&gt;L_rampe,pos_xz&lt;=L_rampe),"Sortie de rampe","")</f>
        <v/>
      </c>
      <c r="Z850" s="424" t="str">
        <f aca="false">IF(ABS(t-T_para)&lt;pas/2,"Para","")</f>
        <v/>
      </c>
      <c r="AA850" s="425" t="str">
        <f aca="false">IF(ABS(t-T_satellite)&lt;pas/2,"Satellite","")</f>
        <v/>
      </c>
      <c r="AB850" s="413"/>
      <c r="AC850" s="421" t="e">
        <f aca="false">IF(ABS(t-ROUND(t,0))&lt;0.001,t,NA())</f>
        <v>#N/A</v>
      </c>
      <c r="AD850" s="426" t="e">
        <f aca="false">IF(ABS(t-ROUND(t,0))&lt;0.001,pos_x,NA())</f>
        <v>#N/A</v>
      </c>
      <c r="AE850" s="427" t="e">
        <f aca="false">IF(t&lt;T_para, pos_z, NA())</f>
        <v>#N/A</v>
      </c>
      <c r="AF850" s="413"/>
      <c r="AG850" s="419" t="n">
        <f aca="false">IF(AND(L849&lt;L_rampe,Poussee&lt;Poids*SIN(M849)),0,(-W849+Poussee)/m-Poids*SIN(M849)/m)</f>
        <v>5.94370257703852</v>
      </c>
      <c r="AH850" s="418" t="n">
        <f aca="false">IF(AND(L849&lt;L_rampe,Poussee&lt;Poids*SIN(M849)), g*SIN(M849), (-W849+Poussee)/m)</f>
        <v>-3.76595158585332</v>
      </c>
    </row>
    <row r="851" customFormat="false" ht="12" hidden="false" customHeight="false" outlineLevel="0" collapsed="false">
      <c r="A851" s="417" t="n">
        <f aca="false">IF(B850+0.01&lt;=T_ini+ROUNDUP(Temps_fin_propu,0), 0.01, IF(K850&gt;0, 0.1, 0.0001))</f>
        <v>0.0001</v>
      </c>
      <c r="B851" s="418" t="n">
        <f aca="false">B850+pas</f>
        <v>16.5501999999999</v>
      </c>
      <c r="C851" s="402"/>
      <c r="D851" s="419" t="n">
        <f aca="false">IF(AND(L850&lt;L_rampe,Poussee&lt;Poids*SIN(M850)),0,(-W850+Poussee)/m*COS(M850)-U850/m*SIN(M850))</f>
        <v>-0.537270615750349</v>
      </c>
      <c r="E851" s="420" t="n">
        <f aca="false">IF(AND(L850&lt;L_rampe,Poussee&lt;Poids*SIN(M850)),0,(-W850+Poussee)/m*SIN(M850)+U850/m*COS(M850)-Poids/m)</f>
        <v>-6.08250477340022</v>
      </c>
      <c r="F851" s="418" t="n">
        <f aca="false">SQRT(acc_x^2+acc_z^2)</f>
        <v>6.10618735652496</v>
      </c>
      <c r="G851" s="419" t="n">
        <f aca="false">G850+acc_x*pas</f>
        <v>10.2602890744665</v>
      </c>
      <c r="H851" s="420" t="n">
        <f aca="false">H850+acc_z*pas</f>
        <v>-71.1851802236902</v>
      </c>
      <c r="I851" s="418" t="n">
        <f aca="false">SQRT(vit_x^2+vit_z^2)</f>
        <v>71.9208135060419</v>
      </c>
      <c r="J851" s="419" t="n">
        <f aca="false">J850+0.5*(vit_x+G850)*pas*(K850&gt;=0)</f>
        <v>211.791153319536</v>
      </c>
      <c r="K851" s="420" t="n">
        <f aca="false">K850+0.5*(vit_z+H850)*pas</f>
        <v>-7.99868026306884</v>
      </c>
      <c r="L851" s="418" t="n">
        <f aca="false">SQRT(pos_x^2+pos_z^2)</f>
        <v>211.942141893419</v>
      </c>
      <c r="M851" s="419" t="n">
        <f aca="false">IF(AND(L850&gt;L_rampe,G851&gt;0),ATAN2(G851,H851),$M$4)</f>
        <v>-1.4276470162442</v>
      </c>
      <c r="N851" s="418" t="n">
        <f aca="false">DEGREES(Beta)</f>
        <v>-81.7981486652376</v>
      </c>
      <c r="O851" s="402"/>
      <c r="P851" s="421" t="n">
        <f aca="false">MATCH(t-pas/2-T_ini,CdP_t)</f>
        <v>23</v>
      </c>
      <c r="Q851" s="418" t="n">
        <f aca="false">(INDEX(CdP,2,i_P+1)-INDEX(CdP,2,i_P+0))/(INDEX(CdP,1,i_P+1)-INDEX(CdP,1,i_P+0))*(t-pas/2-T_ini-INDEX(CdP,1,i_P+0))+INDEX(CdP,2,i_P+0)</f>
        <v>0</v>
      </c>
      <c r="R851" s="419" t="n">
        <f aca="false">Poussee/(g*ISP)</f>
        <v>0</v>
      </c>
      <c r="S851" s="420" t="n">
        <f aca="false">S850-Débit*pas</f>
        <v>1.4843</v>
      </c>
      <c r="T851" s="418" t="n">
        <f aca="false">m*g</f>
        <v>14.560983</v>
      </c>
      <c r="U851" s="422" t="n">
        <f aca="false">IF(pos_xz&lt;L_rampe,Poids*COS(Beta),0)</f>
        <v>0</v>
      </c>
      <c r="V851" s="419" t="n">
        <f aca="false">Rho_moyen*(20000-Alt_rampe-pos_z)/(20000+Alt_rampe+pos_z)</f>
        <v>1.22598023035969</v>
      </c>
      <c r="W851" s="418" t="n">
        <f aca="false">1/2*Rho*Sref*Cx*vit_xz^2</f>
        <v>5.58999468263263</v>
      </c>
      <c r="X851" s="402"/>
      <c r="Y851" s="423" t="str">
        <f aca="false">IF(AND(pos_z&lt;=0,K850&gt;0),"Impact balistique","") &amp; IF(AND(H852&lt;0,vit_z&gt;=0),"Apogée","") &amp; IF(AND(Poussee=0,Q850&gt;0),"Fin de propulsion","") &amp; IF(AND(L852&gt;L_rampe,pos_xz&lt;=L_rampe),"Sortie de rampe","")</f>
        <v/>
      </c>
      <c r="Z851" s="424" t="str">
        <f aca="false">IF(ABS(t-T_para)&lt;pas/2,"Para","")</f>
        <v/>
      </c>
      <c r="AA851" s="425" t="str">
        <f aca="false">IF(ABS(t-T_satellite)&lt;pas/2,"Satellite","")</f>
        <v/>
      </c>
      <c r="AB851" s="413"/>
      <c r="AC851" s="421" t="e">
        <f aca="false">IF(ABS(t-ROUND(t,0))&lt;0.001,t,NA())</f>
        <v>#N/A</v>
      </c>
      <c r="AD851" s="426" t="e">
        <f aca="false">IF(ABS(t-ROUND(t,0))&lt;0.001,pos_x,NA())</f>
        <v>#N/A</v>
      </c>
      <c r="AE851" s="427" t="e">
        <f aca="false">IF(t&lt;T_para, pos_z, NA())</f>
        <v>#N/A</v>
      </c>
      <c r="AF851" s="413"/>
      <c r="AG851" s="419" t="n">
        <f aca="false">IF(AND(L850&lt;L_rampe,Poussee&lt;Poids*SIN(M850)),0,(-W850+Poussee)/m-Poids*SIN(M850)/m)</f>
        <v>5.94364037297379</v>
      </c>
      <c r="AH851" s="418" t="n">
        <f aca="false">IF(AND(L850&lt;L_rampe,Poussee&lt;Poids*SIN(M850)), g*SIN(M850), (-W850+Poussee)/m)</f>
        <v>-3.76601651335637</v>
      </c>
    </row>
    <row r="852" customFormat="false" ht="12" hidden="false" customHeight="false" outlineLevel="0" collapsed="false">
      <c r="A852" s="417" t="n">
        <f aca="false">IF(B851+0.01&lt;=T_ini+ROUNDUP(Temps_fin_propu,0), 0.01, IF(K851&gt;0, 0.1, 0.0001))</f>
        <v>0.0001</v>
      </c>
      <c r="B852" s="418" t="n">
        <f aca="false">B851+pas</f>
        <v>16.5502999999999</v>
      </c>
      <c r="C852" s="402"/>
      <c r="D852" s="419" t="n">
        <f aca="false">IF(AND(L851&lt;L_rampe,Poussee&lt;Poids*SIN(M851)),0,(-W851+Poussee)/m*COS(M851)-U851/m*SIN(M851))</f>
        <v>-0.537272624950393</v>
      </c>
      <c r="E852" s="420" t="n">
        <f aca="false">IF(AND(L851&lt;L_rampe,Poussee&lt;Poids*SIN(M851)),0,(-W851+Poussee)/m*SIN(M851)+U851/m*COS(M851)-Poids/m)</f>
        <v>-6.08243946454426</v>
      </c>
      <c r="F852" s="418" t="n">
        <f aca="false">SQRT(acc_x^2+acc_z^2)</f>
        <v>6.10612247775678</v>
      </c>
      <c r="G852" s="419" t="n">
        <f aca="false">G851+acc_x*pas</f>
        <v>10.260235347204</v>
      </c>
      <c r="H852" s="420" t="n">
        <f aca="false">H851+acc_z*pas</f>
        <v>-71.1857884676366</v>
      </c>
      <c r="I852" s="418" t="n">
        <f aca="false">SQRT(vit_x^2+vit_z^2)</f>
        <v>71.921407863995</v>
      </c>
      <c r="J852" s="419" t="n">
        <f aca="false">J851+0.5*(vit_x+G851)*pas*(K851&gt;=0)</f>
        <v>211.791153319536</v>
      </c>
      <c r="K852" s="420" t="n">
        <f aca="false">K851+0.5*(vit_z+H851)*pas</f>
        <v>-8.00579881150341</v>
      </c>
      <c r="L852" s="418" t="n">
        <f aca="false">SQRT(pos_x^2+pos_z^2)</f>
        <v>211.942410666269</v>
      </c>
      <c r="M852" s="419" t="n">
        <f aca="false">IF(AND(L851&gt;L_rampe,G852&gt;0),ATAN2(G852,H852),$M$4)</f>
        <v>-1.42764896212321</v>
      </c>
      <c r="N852" s="418" t="n">
        <f aca="false">DEGREES(Beta)</f>
        <v>-81.7982601558921</v>
      </c>
      <c r="O852" s="402"/>
      <c r="P852" s="421" t="n">
        <f aca="false">MATCH(t-pas/2-T_ini,CdP_t)</f>
        <v>23</v>
      </c>
      <c r="Q852" s="418" t="n">
        <f aca="false">(INDEX(CdP,2,i_P+1)-INDEX(CdP,2,i_P+0))/(INDEX(CdP,1,i_P+1)-INDEX(CdP,1,i_P+0))*(t-pas/2-T_ini-INDEX(CdP,1,i_P+0))+INDEX(CdP,2,i_P+0)</f>
        <v>0</v>
      </c>
      <c r="R852" s="419" t="n">
        <f aca="false">Poussee/(g*ISP)</f>
        <v>0</v>
      </c>
      <c r="S852" s="420" t="n">
        <f aca="false">S851-Débit*pas</f>
        <v>1.4843</v>
      </c>
      <c r="T852" s="418" t="n">
        <f aca="false">m*g</f>
        <v>14.560983</v>
      </c>
      <c r="U852" s="422" t="n">
        <f aca="false">IF(pos_xz&lt;L_rampe,Poids*COS(Beta),0)</f>
        <v>0</v>
      </c>
      <c r="V852" s="419" t="n">
        <f aca="false">Rho_moyen*(20000-Alt_rampe-pos_z)/(20000+Alt_rampe+pos_z)</f>
        <v>1.2259811030801</v>
      </c>
      <c r="W852" s="418" t="n">
        <f aca="false">1/2*Rho*Sref*Cx*vit_xz^2</f>
        <v>5.59009105445536</v>
      </c>
      <c r="X852" s="402"/>
      <c r="Y852" s="423" t="str">
        <f aca="false">IF(AND(pos_z&lt;=0,K851&gt;0),"Impact balistique","") &amp; IF(AND(H853&lt;0,vit_z&gt;=0),"Apogée","") &amp; IF(AND(Poussee=0,Q851&gt;0),"Fin de propulsion","") &amp; IF(AND(L853&gt;L_rampe,pos_xz&lt;=L_rampe),"Sortie de rampe","")</f>
        <v/>
      </c>
      <c r="Z852" s="424" t="str">
        <f aca="false">IF(ABS(t-T_para)&lt;pas/2,"Para","")</f>
        <v/>
      </c>
      <c r="AA852" s="425" t="str">
        <f aca="false">IF(ABS(t-T_satellite)&lt;pas/2,"Satellite","")</f>
        <v/>
      </c>
      <c r="AB852" s="413"/>
      <c r="AC852" s="421" t="e">
        <f aca="false">IF(ABS(t-ROUND(t,0))&lt;0.001,t,NA())</f>
        <v>#N/A</v>
      </c>
      <c r="AD852" s="426" t="e">
        <f aca="false">IF(ABS(t-ROUND(t,0))&lt;0.001,pos_x,NA())</f>
        <v>#N/A</v>
      </c>
      <c r="AE852" s="427" t="e">
        <f aca="false">IF(t&lt;T_para, pos_z, NA())</f>
        <v>#N/A</v>
      </c>
      <c r="AF852" s="413"/>
      <c r="AG852" s="419" t="n">
        <f aca="false">IF(AND(L851&lt;L_rampe,Poussee&lt;Poids*SIN(M851)),0,(-W851+Poussee)/m-Poids*SIN(M851)/m)</f>
        <v>5.94357816883662</v>
      </c>
      <c r="AH852" s="418" t="n">
        <f aca="false">IF(AND(L851&lt;L_rampe,Poussee&lt;Poids*SIN(M851)), g*SIN(M851), (-W851+Poussee)/m)</f>
        <v>-3.76608144083584</v>
      </c>
    </row>
    <row r="853" customFormat="false" ht="12" hidden="false" customHeight="false" outlineLevel="0" collapsed="false">
      <c r="A853" s="417" t="n">
        <f aca="false">IF(B852+0.01&lt;=T_ini+ROUNDUP(Temps_fin_propu,0), 0.01, IF(K852&gt;0, 0.1, 0.0001))</f>
        <v>0.0001</v>
      </c>
      <c r="B853" s="418" t="n">
        <f aca="false">B852+pas</f>
        <v>16.5503999999999</v>
      </c>
      <c r="C853" s="402"/>
      <c r="D853" s="419" t="n">
        <f aca="false">IF(AND(L852&lt;L_rampe,Poussee&lt;Poids*SIN(M852)),0,(-W852+Poussee)/m*COS(M852)-U852/m*SIN(M852))</f>
        <v>-0.537274634052803</v>
      </c>
      <c r="E853" s="420" t="n">
        <f aca="false">IF(AND(L852&lt;L_rampe,Poussee&lt;Poids*SIN(M852)),0,(-W852+Poussee)/m*SIN(M852)+U852/m*COS(M852)-Poids/m)</f>
        <v>-6.08237415571249</v>
      </c>
      <c r="F853" s="418" t="n">
        <f aca="false">SQRT(acc_x^2+acc_z^2)</f>
        <v>6.10605759901393</v>
      </c>
      <c r="G853" s="419" t="n">
        <f aca="false">G852+acc_x*pas</f>
        <v>10.2601816197406</v>
      </c>
      <c r="H853" s="420" t="n">
        <f aca="false">H852+acc_z*pas</f>
        <v>-71.1863967050522</v>
      </c>
      <c r="I853" s="418" t="n">
        <f aca="false">SQRT(vit_x^2+vit_z^2)</f>
        <v>71.9220022157276</v>
      </c>
      <c r="J853" s="419" t="n">
        <f aca="false">J852+0.5*(vit_x+G852)*pas*(K852&gt;=0)</f>
        <v>211.791153319536</v>
      </c>
      <c r="K853" s="420" t="n">
        <f aca="false">K852+0.5*(vit_z+H852)*pas</f>
        <v>-8.01291742076204</v>
      </c>
      <c r="L853" s="418" t="n">
        <f aca="false">SQRT(pos_x^2+pos_z^2)</f>
        <v>211.94267968017</v>
      </c>
      <c r="M853" s="419" t="n">
        <f aca="false">IF(AND(L852&gt;L_rampe,G853&gt;0),ATAN2(G853,H853),$M$4)</f>
        <v>-1.42765090795987</v>
      </c>
      <c r="N853" s="418" t="n">
        <f aca="false">DEGREES(Beta)</f>
        <v>-81.7983716441202</v>
      </c>
      <c r="O853" s="402"/>
      <c r="P853" s="421" t="n">
        <f aca="false">MATCH(t-pas/2-T_ini,CdP_t)</f>
        <v>23</v>
      </c>
      <c r="Q853" s="418" t="n">
        <f aca="false">(INDEX(CdP,2,i_P+1)-INDEX(CdP,2,i_P+0))/(INDEX(CdP,1,i_P+1)-INDEX(CdP,1,i_P+0))*(t-pas/2-T_ini-INDEX(CdP,1,i_P+0))+INDEX(CdP,2,i_P+0)</f>
        <v>0</v>
      </c>
      <c r="R853" s="419" t="n">
        <f aca="false">Poussee/(g*ISP)</f>
        <v>0</v>
      </c>
      <c r="S853" s="420" t="n">
        <f aca="false">S852-Débit*pas</f>
        <v>1.4843</v>
      </c>
      <c r="T853" s="418" t="n">
        <f aca="false">m*g</f>
        <v>14.560983</v>
      </c>
      <c r="U853" s="422" t="n">
        <f aca="false">IF(pos_xz&lt;L_rampe,Poids*COS(Beta),0)</f>
        <v>0</v>
      </c>
      <c r="V853" s="419" t="n">
        <f aca="false">Rho_moyen*(20000-Alt_rampe-pos_z)/(20000+Alt_rampe+pos_z)</f>
        <v>1.2259819758086</v>
      </c>
      <c r="W853" s="418" t="n">
        <f aca="false">1/2*Rho*Sref*Cx*vit_xz^2</f>
        <v>5.59018742624303</v>
      </c>
      <c r="X853" s="402"/>
      <c r="Y853" s="423" t="str">
        <f aca="false">IF(AND(pos_z&lt;=0,K852&gt;0),"Impact balistique","") &amp; IF(AND(H854&lt;0,vit_z&gt;=0),"Apogée","") &amp; IF(AND(Poussee=0,Q852&gt;0),"Fin de propulsion","") &amp; IF(AND(L854&gt;L_rampe,pos_xz&lt;=L_rampe),"Sortie de rampe","")</f>
        <v/>
      </c>
      <c r="Z853" s="424" t="str">
        <f aca="false">IF(ABS(t-T_para)&lt;pas/2,"Para","")</f>
        <v/>
      </c>
      <c r="AA853" s="425" t="str">
        <f aca="false">IF(ABS(t-T_satellite)&lt;pas/2,"Satellite","")</f>
        <v/>
      </c>
      <c r="AB853" s="413"/>
      <c r="AC853" s="421" t="e">
        <f aca="false">IF(ABS(t-ROUND(t,0))&lt;0.001,t,NA())</f>
        <v>#N/A</v>
      </c>
      <c r="AD853" s="426" t="e">
        <f aca="false">IF(ABS(t-ROUND(t,0))&lt;0.001,pos_x,NA())</f>
        <v>#N/A</v>
      </c>
      <c r="AE853" s="427" t="e">
        <f aca="false">IF(t&lt;T_para, pos_z, NA())</f>
        <v>#N/A</v>
      </c>
      <c r="AF853" s="413"/>
      <c r="AG853" s="419" t="n">
        <f aca="false">IF(AND(L852&lt;L_rampe,Poussee&lt;Poids*SIN(M852)),0,(-W852+Poussee)/m-Poids*SIN(M852)/m)</f>
        <v>5.94351596462701</v>
      </c>
      <c r="AH853" s="418" t="n">
        <f aca="false">IF(AND(L852&lt;L_rampe,Poussee&lt;Poids*SIN(M852)), g*SIN(M852), (-W852+Poussee)/m)</f>
        <v>-3.7661463682917</v>
      </c>
    </row>
    <row r="854" customFormat="false" ht="12" hidden="false" customHeight="false" outlineLevel="0" collapsed="false">
      <c r="A854" s="417" t="n">
        <f aca="false">IF(B853+0.01&lt;=T_ini+ROUNDUP(Temps_fin_propu,0), 0.01, IF(K853&gt;0, 0.1, 0.0001))</f>
        <v>0.0001</v>
      </c>
      <c r="B854" s="418" t="n">
        <f aca="false">B853+pas</f>
        <v>16.5504999999999</v>
      </c>
      <c r="C854" s="402"/>
      <c r="D854" s="419" t="n">
        <f aca="false">IF(AND(L853&lt;L_rampe,Poussee&lt;Poids*SIN(M853)),0,(-W853+Poussee)/m*COS(M853)-U853/m*SIN(M853))</f>
        <v>-0.53727664305758</v>
      </c>
      <c r="E854" s="420" t="n">
        <f aca="false">IF(AND(L853&lt;L_rampe,Poussee&lt;Poids*SIN(M853)),0,(-W853+Poussee)/m*SIN(M853)+U853/m*COS(M853)-Poids/m)</f>
        <v>-6.08230884690492</v>
      </c>
      <c r="F854" s="418" t="n">
        <f aca="false">SQRT(acc_x^2+acc_z^2)</f>
        <v>6.10599272029643</v>
      </c>
      <c r="G854" s="419" t="n">
        <f aca="false">G853+acc_x*pas</f>
        <v>10.2601278920762</v>
      </c>
      <c r="H854" s="420" t="n">
        <f aca="false">H853+acc_z*pas</f>
        <v>-71.1870049359369</v>
      </c>
      <c r="I854" s="418" t="n">
        <f aca="false">SQRT(vit_x^2+vit_z^2)</f>
        <v>71.9225965612398</v>
      </c>
      <c r="J854" s="419" t="n">
        <f aca="false">J853+0.5*(vit_x+G853)*pas*(K853&gt;=0)</f>
        <v>211.791153319536</v>
      </c>
      <c r="K854" s="420" t="n">
        <f aca="false">K853+0.5*(vit_z+H853)*pas</f>
        <v>-8.02003609084409</v>
      </c>
      <c r="L854" s="418" t="n">
        <f aca="false">SQRT(pos_x^2+pos_z^2)</f>
        <v>211.942948935127</v>
      </c>
      <c r="M854" s="419" t="n">
        <f aca="false">IF(AND(L853&gt;L_rampe,G854&gt;0),ATAN2(G854,H854),$M$4)</f>
        <v>-1.42765285375417</v>
      </c>
      <c r="N854" s="418" t="n">
        <f aca="false">DEGREES(Beta)</f>
        <v>-81.798483129922</v>
      </c>
      <c r="O854" s="402"/>
      <c r="P854" s="421" t="n">
        <f aca="false">MATCH(t-pas/2-T_ini,CdP_t)</f>
        <v>23</v>
      </c>
      <c r="Q854" s="418" t="n">
        <f aca="false">(INDEX(CdP,2,i_P+1)-INDEX(CdP,2,i_P+0))/(INDEX(CdP,1,i_P+1)-INDEX(CdP,1,i_P+0))*(t-pas/2-T_ini-INDEX(CdP,1,i_P+0))+INDEX(CdP,2,i_P+0)</f>
        <v>0</v>
      </c>
      <c r="R854" s="419" t="n">
        <f aca="false">Poussee/(g*ISP)</f>
        <v>0</v>
      </c>
      <c r="S854" s="420" t="n">
        <f aca="false">S853-Débit*pas</f>
        <v>1.4843</v>
      </c>
      <c r="T854" s="418" t="n">
        <f aca="false">m*g</f>
        <v>14.560983</v>
      </c>
      <c r="U854" s="422" t="n">
        <f aca="false">IF(pos_xz&lt;L_rampe,Poids*COS(Beta),0)</f>
        <v>0</v>
      </c>
      <c r="V854" s="419" t="n">
        <f aca="false">Rho_moyen*(20000-Alt_rampe-pos_z)/(20000+Alt_rampe+pos_z)</f>
        <v>1.22598284854517</v>
      </c>
      <c r="W854" s="418" t="n">
        <f aca="false">1/2*Rho*Sref*Cx*vit_xz^2</f>
        <v>5.59028379799562</v>
      </c>
      <c r="X854" s="402"/>
      <c r="Y854" s="423" t="str">
        <f aca="false">IF(AND(pos_z&lt;=0,K853&gt;0),"Impact balistique","") &amp; IF(AND(H855&lt;0,vit_z&gt;=0),"Apogée","") &amp; IF(AND(Poussee=0,Q853&gt;0),"Fin de propulsion","") &amp; IF(AND(L855&gt;L_rampe,pos_xz&lt;=L_rampe),"Sortie de rampe","")</f>
        <v/>
      </c>
      <c r="Z854" s="424" t="str">
        <f aca="false">IF(ABS(t-T_para)&lt;pas/2,"Para","")</f>
        <v/>
      </c>
      <c r="AA854" s="425" t="str">
        <f aca="false">IF(ABS(t-T_satellite)&lt;pas/2,"Satellite","")</f>
        <v/>
      </c>
      <c r="AB854" s="413"/>
      <c r="AC854" s="421" t="e">
        <f aca="false">IF(ABS(t-ROUND(t,0))&lt;0.001,t,NA())</f>
        <v>#N/A</v>
      </c>
      <c r="AD854" s="426" t="e">
        <f aca="false">IF(ABS(t-ROUND(t,0))&lt;0.001,pos_x,NA())</f>
        <v>#N/A</v>
      </c>
      <c r="AE854" s="427" t="e">
        <f aca="false">IF(t&lt;T_para, pos_z, NA())</f>
        <v>#N/A</v>
      </c>
      <c r="AF854" s="413"/>
      <c r="AG854" s="419" t="n">
        <f aca="false">IF(AND(L853&lt;L_rampe,Poussee&lt;Poids*SIN(M853)),0,(-W853+Poussee)/m-Poids*SIN(M853)/m)</f>
        <v>5.94345376034498</v>
      </c>
      <c r="AH854" s="418" t="n">
        <f aca="false">IF(AND(L853&lt;L_rampe,Poussee&lt;Poids*SIN(M853)), g*SIN(M853), (-W853+Poussee)/m)</f>
        <v>-3.76621129572394</v>
      </c>
    </row>
    <row r="855" customFormat="false" ht="12" hidden="false" customHeight="false" outlineLevel="0" collapsed="false">
      <c r="A855" s="417" t="n">
        <f aca="false">IF(B854+0.01&lt;=T_ini+ROUNDUP(Temps_fin_propu,0), 0.01, IF(K854&gt;0, 0.1, 0.0001))</f>
        <v>0.0001</v>
      </c>
      <c r="B855" s="418" t="n">
        <f aca="false">B854+pas</f>
        <v>16.5505999999999</v>
      </c>
      <c r="C855" s="402"/>
      <c r="D855" s="419" t="n">
        <f aca="false">IF(AND(L854&lt;L_rampe,Poussee&lt;Poids*SIN(M854)),0,(-W854+Poussee)/m*COS(M854)-U854/m*SIN(M854))</f>
        <v>-0.537278651964725</v>
      </c>
      <c r="E855" s="420" t="n">
        <f aca="false">IF(AND(L854&lt;L_rampe,Poussee&lt;Poids*SIN(M854)),0,(-W854+Poussee)/m*SIN(M854)+U854/m*COS(M854)-Poids/m)</f>
        <v>-6.08224353812156</v>
      </c>
      <c r="F855" s="418" t="n">
        <f aca="false">SQRT(acc_x^2+acc_z^2)</f>
        <v>6.1059278416043</v>
      </c>
      <c r="G855" s="419" t="n">
        <f aca="false">G854+acc_x*pas</f>
        <v>10.2600741642111</v>
      </c>
      <c r="H855" s="420" t="n">
        <f aca="false">H854+acc_z*pas</f>
        <v>-71.1876131602907</v>
      </c>
      <c r="I855" s="418" t="n">
        <f aca="false">SQRT(vit_x^2+vit_z^2)</f>
        <v>71.9231909005316</v>
      </c>
      <c r="J855" s="419" t="n">
        <f aca="false">J854+0.5*(vit_x+G854)*pas*(K854&gt;=0)</f>
        <v>211.791153319536</v>
      </c>
      <c r="K855" s="420" t="n">
        <f aca="false">K854+0.5*(vit_z+H854)*pas</f>
        <v>-8.0271548217489</v>
      </c>
      <c r="L855" s="418" t="n">
        <f aca="false">SQRT(pos_x^2+pos_z^2)</f>
        <v>211.943218431144</v>
      </c>
      <c r="M855" s="419" t="n">
        <f aca="false">IF(AND(L854&gt;L_rampe,G855&gt;0),ATAN2(G855,H855),$M$4)</f>
        <v>-1.42765479950614</v>
      </c>
      <c r="N855" s="418" t="n">
        <f aca="false">DEGREES(Beta)</f>
        <v>-81.7985946132973</v>
      </c>
      <c r="O855" s="402"/>
      <c r="P855" s="421" t="n">
        <f aca="false">MATCH(t-pas/2-T_ini,CdP_t)</f>
        <v>23</v>
      </c>
      <c r="Q855" s="418" t="n">
        <f aca="false">(INDEX(CdP,2,i_P+1)-INDEX(CdP,2,i_P+0))/(INDEX(CdP,1,i_P+1)-INDEX(CdP,1,i_P+0))*(t-pas/2-T_ini-INDEX(CdP,1,i_P+0))+INDEX(CdP,2,i_P+0)</f>
        <v>0</v>
      </c>
      <c r="R855" s="419" t="n">
        <f aca="false">Poussee/(g*ISP)</f>
        <v>0</v>
      </c>
      <c r="S855" s="420" t="n">
        <f aca="false">S854-Débit*pas</f>
        <v>1.4843</v>
      </c>
      <c r="T855" s="418" t="n">
        <f aca="false">m*g</f>
        <v>14.560983</v>
      </c>
      <c r="U855" s="422" t="n">
        <f aca="false">IF(pos_xz&lt;L_rampe,Poids*COS(Beta),0)</f>
        <v>0</v>
      </c>
      <c r="V855" s="419" t="n">
        <f aca="false">Rho_moyen*(20000-Alt_rampe-pos_z)/(20000+Alt_rampe+pos_z)</f>
        <v>1.22598372128982</v>
      </c>
      <c r="W855" s="418" t="n">
        <f aca="false">1/2*Rho*Sref*Cx*vit_xz^2</f>
        <v>5.59038016971309</v>
      </c>
      <c r="X855" s="402"/>
      <c r="Y855" s="423" t="str">
        <f aca="false">IF(AND(pos_z&lt;=0,K854&gt;0),"Impact balistique","") &amp; IF(AND(H856&lt;0,vit_z&gt;=0),"Apogée","") &amp; IF(AND(Poussee=0,Q854&gt;0),"Fin de propulsion","") &amp; IF(AND(L856&gt;L_rampe,pos_xz&lt;=L_rampe),"Sortie de rampe","")</f>
        <v/>
      </c>
      <c r="Z855" s="424" t="str">
        <f aca="false">IF(ABS(t-T_para)&lt;pas/2,"Para","")</f>
        <v/>
      </c>
      <c r="AA855" s="425" t="str">
        <f aca="false">IF(ABS(t-T_satellite)&lt;pas/2,"Satellite","")</f>
        <v/>
      </c>
      <c r="AB855" s="413"/>
      <c r="AC855" s="421" t="e">
        <f aca="false">IF(ABS(t-ROUND(t,0))&lt;0.001,t,NA())</f>
        <v>#N/A</v>
      </c>
      <c r="AD855" s="426" t="e">
        <f aca="false">IF(ABS(t-ROUND(t,0))&lt;0.001,pos_x,NA())</f>
        <v>#N/A</v>
      </c>
      <c r="AE855" s="427" t="e">
        <f aca="false">IF(t&lt;T_para, pos_z, NA())</f>
        <v>#N/A</v>
      </c>
      <c r="AF855" s="413"/>
      <c r="AG855" s="419" t="n">
        <f aca="false">IF(AND(L854&lt;L_rampe,Poussee&lt;Poids*SIN(M854)),0,(-W854+Poussee)/m-Poids*SIN(M854)/m)</f>
        <v>5.94339155599058</v>
      </c>
      <c r="AH855" s="418" t="n">
        <f aca="false">IF(AND(L854&lt;L_rampe,Poussee&lt;Poids*SIN(M854)), g*SIN(M854), (-W854+Poussee)/m)</f>
        <v>-3.76627622313254</v>
      </c>
    </row>
    <row r="856" customFormat="false" ht="12" hidden="false" customHeight="false" outlineLevel="0" collapsed="false">
      <c r="A856" s="417" t="n">
        <f aca="false">IF(B855+0.01&lt;=T_ini+ROUNDUP(Temps_fin_propu,0), 0.01, IF(K855&gt;0, 0.1, 0.0001))</f>
        <v>0.0001</v>
      </c>
      <c r="B856" s="418" t="n">
        <f aca="false">B855+pas</f>
        <v>16.5506999999999</v>
      </c>
      <c r="C856" s="402"/>
      <c r="D856" s="419" t="n">
        <f aca="false">IF(AND(L855&lt;L_rampe,Poussee&lt;Poids*SIN(M855)),0,(-W855+Poussee)/m*COS(M855)-U855/m*SIN(M855))</f>
        <v>-0.537280660774239</v>
      </c>
      <c r="E856" s="420" t="n">
        <f aca="false">IF(AND(L855&lt;L_rampe,Poussee&lt;Poids*SIN(M855)),0,(-W855+Poussee)/m*SIN(M855)+U855/m*COS(M855)-Poids/m)</f>
        <v>-6.08217822936245</v>
      </c>
      <c r="F856" s="418" t="n">
        <f aca="false">SQRT(acc_x^2+acc_z^2)</f>
        <v>6.10586296293755</v>
      </c>
      <c r="G856" s="419" t="n">
        <f aca="false">G855+acc_x*pas</f>
        <v>10.260020436145</v>
      </c>
      <c r="H856" s="420" t="n">
        <f aca="false">H855+acc_z*pas</f>
        <v>-71.1882213781136</v>
      </c>
      <c r="I856" s="418" t="n">
        <f aca="false">SQRT(vit_x^2+vit_z^2)</f>
        <v>71.9237852336029</v>
      </c>
      <c r="J856" s="419" t="n">
        <f aca="false">J855+0.5*(vit_x+G855)*pas*(K855&gt;=0)</f>
        <v>211.791153319536</v>
      </c>
      <c r="K856" s="420" t="n">
        <f aca="false">K855+0.5*(vit_z+H855)*pas</f>
        <v>-8.03427361347582</v>
      </c>
      <c r="L856" s="418" t="n">
        <f aca="false">SQRT(pos_x^2+pos_z^2)</f>
        <v>211.943488168227</v>
      </c>
      <c r="M856" s="419" t="n">
        <f aca="false">IF(AND(L855&gt;L_rampe,G856&gt;0),ATAN2(G856,H856),$M$4)</f>
        <v>-1.42765674521575</v>
      </c>
      <c r="N856" s="418" t="n">
        <f aca="false">DEGREES(Beta)</f>
        <v>-81.7987060942464</v>
      </c>
      <c r="O856" s="402"/>
      <c r="P856" s="421" t="n">
        <f aca="false">MATCH(t-pas/2-T_ini,CdP_t)</f>
        <v>23</v>
      </c>
      <c r="Q856" s="418" t="n">
        <f aca="false">(INDEX(CdP,2,i_P+1)-INDEX(CdP,2,i_P+0))/(INDEX(CdP,1,i_P+1)-INDEX(CdP,1,i_P+0))*(t-pas/2-T_ini-INDEX(CdP,1,i_P+0))+INDEX(CdP,2,i_P+0)</f>
        <v>0</v>
      </c>
      <c r="R856" s="419" t="n">
        <f aca="false">Poussee/(g*ISP)</f>
        <v>0</v>
      </c>
      <c r="S856" s="420" t="n">
        <f aca="false">S855-Débit*pas</f>
        <v>1.4843</v>
      </c>
      <c r="T856" s="418" t="n">
        <f aca="false">m*g</f>
        <v>14.560983</v>
      </c>
      <c r="U856" s="422" t="n">
        <f aca="false">IF(pos_xz&lt;L_rampe,Poids*COS(Beta),0)</f>
        <v>0</v>
      </c>
      <c r="V856" s="419" t="n">
        <f aca="false">Rho_moyen*(20000-Alt_rampe-pos_z)/(20000+Alt_rampe+pos_z)</f>
        <v>1.22598459404255</v>
      </c>
      <c r="W856" s="418" t="n">
        <f aca="false">1/2*Rho*Sref*Cx*vit_xz^2</f>
        <v>5.59047654139542</v>
      </c>
      <c r="X856" s="402"/>
      <c r="Y856" s="423" t="str">
        <f aca="false">IF(AND(pos_z&lt;=0,K855&gt;0),"Impact balistique","") &amp; IF(AND(H857&lt;0,vit_z&gt;=0),"Apogée","") &amp; IF(AND(Poussee=0,Q855&gt;0),"Fin de propulsion","") &amp; IF(AND(L857&gt;L_rampe,pos_xz&lt;=L_rampe),"Sortie de rampe","")</f>
        <v/>
      </c>
      <c r="Z856" s="424" t="str">
        <f aca="false">IF(ABS(t-T_para)&lt;pas/2,"Para","")</f>
        <v/>
      </c>
      <c r="AA856" s="425" t="str">
        <f aca="false">IF(ABS(t-T_satellite)&lt;pas/2,"Satellite","")</f>
        <v/>
      </c>
      <c r="AB856" s="413"/>
      <c r="AC856" s="421" t="e">
        <f aca="false">IF(ABS(t-ROUND(t,0))&lt;0.001,t,NA())</f>
        <v>#N/A</v>
      </c>
      <c r="AD856" s="426" t="e">
        <f aca="false">IF(ABS(t-ROUND(t,0))&lt;0.001,pos_x,NA())</f>
        <v>#N/A</v>
      </c>
      <c r="AE856" s="427" t="e">
        <f aca="false">IF(t&lt;T_para, pos_z, NA())</f>
        <v>#N/A</v>
      </c>
      <c r="AF856" s="413"/>
      <c r="AG856" s="419" t="n">
        <f aca="false">IF(AND(L855&lt;L_rampe,Poussee&lt;Poids*SIN(M855)),0,(-W855+Poussee)/m-Poids*SIN(M855)/m)</f>
        <v>5.9433293515638</v>
      </c>
      <c r="AH856" s="418" t="n">
        <f aca="false">IF(AND(L855&lt;L_rampe,Poussee&lt;Poids*SIN(M855)), g*SIN(M855), (-W855+Poussee)/m)</f>
        <v>-3.76634115051748</v>
      </c>
    </row>
    <row r="857" customFormat="false" ht="12" hidden="false" customHeight="false" outlineLevel="0" collapsed="false">
      <c r="A857" s="417" t="n">
        <f aca="false">IF(B856+0.01&lt;=T_ini+ROUNDUP(Temps_fin_propu,0), 0.01, IF(K856&gt;0, 0.1, 0.0001))</f>
        <v>0.0001</v>
      </c>
      <c r="B857" s="418" t="n">
        <f aca="false">B856+pas</f>
        <v>16.5507999999999</v>
      </c>
      <c r="C857" s="402"/>
      <c r="D857" s="419" t="n">
        <f aca="false">IF(AND(L856&lt;L_rampe,Poussee&lt;Poids*SIN(M856)),0,(-W856+Poussee)/m*COS(M856)-U856/m*SIN(M856))</f>
        <v>-0.537282669486122</v>
      </c>
      <c r="E857" s="420" t="n">
        <f aca="false">IF(AND(L856&lt;L_rampe,Poussee&lt;Poids*SIN(M856)),0,(-W856+Poussee)/m*SIN(M856)+U856/m*COS(M856)-Poids/m)</f>
        <v>-6.08211292062758</v>
      </c>
      <c r="F857" s="418" t="n">
        <f aca="false">SQRT(acc_x^2+acc_z^2)</f>
        <v>6.10579808429619</v>
      </c>
      <c r="G857" s="419" t="n">
        <f aca="false">G856+acc_x*pas</f>
        <v>10.259966707878</v>
      </c>
      <c r="H857" s="420" t="n">
        <f aca="false">H856+acc_z*pas</f>
        <v>-71.1888295894057</v>
      </c>
      <c r="I857" s="418" t="n">
        <f aca="false">SQRT(vit_x^2+vit_z^2)</f>
        <v>71.9243795604537</v>
      </c>
      <c r="J857" s="419" t="n">
        <f aca="false">J856+0.5*(vit_x+G856)*pas*(K856&gt;=0)</f>
        <v>211.791153319536</v>
      </c>
      <c r="K857" s="420" t="n">
        <f aca="false">K856+0.5*(vit_z+H856)*pas</f>
        <v>-8.0413924660242</v>
      </c>
      <c r="L857" s="418" t="n">
        <f aca="false">SQRT(pos_x^2+pos_z^2)</f>
        <v>211.943758146382</v>
      </c>
      <c r="M857" s="419" t="n">
        <f aca="false">IF(AND(L856&gt;L_rampe,G857&gt;0),ATAN2(G857,H857),$M$4)</f>
        <v>-1.42765869088302</v>
      </c>
      <c r="N857" s="418" t="n">
        <f aca="false">DEGREES(Beta)</f>
        <v>-81.7988175727694</v>
      </c>
      <c r="O857" s="402"/>
      <c r="P857" s="421" t="n">
        <f aca="false">MATCH(t-pas/2-T_ini,CdP_t)</f>
        <v>23</v>
      </c>
      <c r="Q857" s="418" t="n">
        <f aca="false">(INDEX(CdP,2,i_P+1)-INDEX(CdP,2,i_P+0))/(INDEX(CdP,1,i_P+1)-INDEX(CdP,1,i_P+0))*(t-pas/2-T_ini-INDEX(CdP,1,i_P+0))+INDEX(CdP,2,i_P+0)</f>
        <v>0</v>
      </c>
      <c r="R857" s="419" t="n">
        <f aca="false">Poussee/(g*ISP)</f>
        <v>0</v>
      </c>
      <c r="S857" s="420" t="n">
        <f aca="false">S856-Débit*pas</f>
        <v>1.4843</v>
      </c>
      <c r="T857" s="418" t="n">
        <f aca="false">m*g</f>
        <v>14.560983</v>
      </c>
      <c r="U857" s="422" t="n">
        <f aca="false">IF(pos_xz&lt;L_rampe,Poids*COS(Beta),0)</f>
        <v>0</v>
      </c>
      <c r="V857" s="419" t="n">
        <f aca="false">Rho_moyen*(20000-Alt_rampe-pos_z)/(20000+Alt_rampe+pos_z)</f>
        <v>1.22598546680335</v>
      </c>
      <c r="W857" s="418" t="n">
        <f aca="false">1/2*Rho*Sref*Cx*vit_xz^2</f>
        <v>5.5905729130426</v>
      </c>
      <c r="X857" s="402"/>
      <c r="Y857" s="423" t="str">
        <f aca="false">IF(AND(pos_z&lt;=0,K856&gt;0),"Impact balistique","") &amp; IF(AND(H858&lt;0,vit_z&gt;=0),"Apogée","") &amp; IF(AND(Poussee=0,Q856&gt;0),"Fin de propulsion","") &amp; IF(AND(L858&gt;L_rampe,pos_xz&lt;=L_rampe),"Sortie de rampe","")</f>
        <v/>
      </c>
      <c r="Z857" s="424" t="str">
        <f aca="false">IF(ABS(t-T_para)&lt;pas/2,"Para","")</f>
        <v/>
      </c>
      <c r="AA857" s="425" t="str">
        <f aca="false">IF(ABS(t-T_satellite)&lt;pas/2,"Satellite","")</f>
        <v/>
      </c>
      <c r="AB857" s="413"/>
      <c r="AC857" s="421" t="e">
        <f aca="false">IF(ABS(t-ROUND(t,0))&lt;0.001,t,NA())</f>
        <v>#N/A</v>
      </c>
      <c r="AD857" s="426" t="e">
        <f aca="false">IF(ABS(t-ROUND(t,0))&lt;0.001,pos_x,NA())</f>
        <v>#N/A</v>
      </c>
      <c r="AE857" s="427" t="e">
        <f aca="false">IF(t&lt;T_para, pos_z, NA())</f>
        <v>#N/A</v>
      </c>
      <c r="AF857" s="413"/>
      <c r="AG857" s="419" t="n">
        <f aca="false">IF(AND(L856&lt;L_rampe,Poussee&lt;Poids*SIN(M856)),0,(-W856+Poussee)/m-Poids*SIN(M856)/m)</f>
        <v>5.94326714706467</v>
      </c>
      <c r="AH857" s="418" t="n">
        <f aca="false">IF(AND(L856&lt;L_rampe,Poussee&lt;Poids*SIN(M856)), g*SIN(M856), (-W856+Poussee)/m)</f>
        <v>-3.76640607787875</v>
      </c>
    </row>
    <row r="858" customFormat="false" ht="12" hidden="false" customHeight="false" outlineLevel="0" collapsed="false">
      <c r="A858" s="417" t="n">
        <f aca="false">IF(B857+0.01&lt;=T_ini+ROUNDUP(Temps_fin_propu,0), 0.01, IF(K857&gt;0, 0.1, 0.0001))</f>
        <v>0.0001</v>
      </c>
      <c r="B858" s="418" t="n">
        <f aca="false">B857+pas</f>
        <v>16.5508999999999</v>
      </c>
      <c r="C858" s="402"/>
      <c r="D858" s="419" t="n">
        <f aca="false">IF(AND(L857&lt;L_rampe,Poussee&lt;Poids*SIN(M857)),0,(-W857+Poussee)/m*COS(M857)-U857/m*SIN(M857))</f>
        <v>-0.537284678100374</v>
      </c>
      <c r="E858" s="420" t="n">
        <f aca="false">IF(AND(L857&lt;L_rampe,Poussee&lt;Poids*SIN(M857)),0,(-W857+Poussee)/m*SIN(M857)+U857/m*COS(M857)-Poids/m)</f>
        <v>-6.08204761191698</v>
      </c>
      <c r="F858" s="418" t="n">
        <f aca="false">SQRT(acc_x^2+acc_z^2)</f>
        <v>6.10573320568025</v>
      </c>
      <c r="G858" s="419" t="n">
        <f aca="false">G857+acc_x*pas</f>
        <v>10.2599129794102</v>
      </c>
      <c r="H858" s="420" t="n">
        <f aca="false">H857+acc_z*pas</f>
        <v>-71.1894377941669</v>
      </c>
      <c r="I858" s="418" t="n">
        <f aca="false">SQRT(vit_x^2+vit_z^2)</f>
        <v>71.9249738810841</v>
      </c>
      <c r="J858" s="419" t="n">
        <f aca="false">J857+0.5*(vit_x+G857)*pas*(K857&gt;=0)</f>
        <v>211.791153319536</v>
      </c>
      <c r="K858" s="420" t="n">
        <f aca="false">K857+0.5*(vit_z+H857)*pas</f>
        <v>-8.04851137939338</v>
      </c>
      <c r="L858" s="418" t="n">
        <f aca="false">SQRT(pos_x^2+pos_z^2)</f>
        <v>211.944028365612</v>
      </c>
      <c r="M858" s="419" t="n">
        <f aca="false">IF(AND(L857&gt;L_rampe,G858&gt;0),ATAN2(G858,H858),$M$4)</f>
        <v>-1.42766063650795</v>
      </c>
      <c r="N858" s="418" t="n">
        <f aca="false">DEGREES(Beta)</f>
        <v>-81.7989290488662</v>
      </c>
      <c r="O858" s="402"/>
      <c r="P858" s="421" t="n">
        <f aca="false">MATCH(t-pas/2-T_ini,CdP_t)</f>
        <v>23</v>
      </c>
      <c r="Q858" s="418" t="n">
        <f aca="false">(INDEX(CdP,2,i_P+1)-INDEX(CdP,2,i_P+0))/(INDEX(CdP,1,i_P+1)-INDEX(CdP,1,i_P+0))*(t-pas/2-T_ini-INDEX(CdP,1,i_P+0))+INDEX(CdP,2,i_P+0)</f>
        <v>0</v>
      </c>
      <c r="R858" s="419" t="n">
        <f aca="false">Poussee/(g*ISP)</f>
        <v>0</v>
      </c>
      <c r="S858" s="420" t="n">
        <f aca="false">S857-Débit*pas</f>
        <v>1.4843</v>
      </c>
      <c r="T858" s="418" t="n">
        <f aca="false">m*g</f>
        <v>14.560983</v>
      </c>
      <c r="U858" s="422" t="n">
        <f aca="false">IF(pos_xz&lt;L_rampe,Poids*COS(Beta),0)</f>
        <v>0</v>
      </c>
      <c r="V858" s="419" t="n">
        <f aca="false">Rho_moyen*(20000-Alt_rampe-pos_z)/(20000+Alt_rampe+pos_z)</f>
        <v>1.22598633957224</v>
      </c>
      <c r="W858" s="418" t="n">
        <f aca="false">1/2*Rho*Sref*Cx*vit_xz^2</f>
        <v>5.5906692846546</v>
      </c>
      <c r="X858" s="402"/>
      <c r="Y858" s="423" t="str">
        <f aca="false">IF(AND(pos_z&lt;=0,K857&gt;0),"Impact balistique","") &amp; IF(AND(H859&lt;0,vit_z&gt;=0),"Apogée","") &amp; IF(AND(Poussee=0,Q857&gt;0),"Fin de propulsion","") &amp; IF(AND(L859&gt;L_rampe,pos_xz&lt;=L_rampe),"Sortie de rampe","")</f>
        <v/>
      </c>
      <c r="Z858" s="424" t="str">
        <f aca="false">IF(ABS(t-T_para)&lt;pas/2,"Para","")</f>
        <v/>
      </c>
      <c r="AA858" s="425" t="str">
        <f aca="false">IF(ABS(t-T_satellite)&lt;pas/2,"Satellite","")</f>
        <v/>
      </c>
      <c r="AB858" s="413"/>
      <c r="AC858" s="421" t="e">
        <f aca="false">IF(ABS(t-ROUND(t,0))&lt;0.001,t,NA())</f>
        <v>#N/A</v>
      </c>
      <c r="AD858" s="426" t="e">
        <f aca="false">IF(ABS(t-ROUND(t,0))&lt;0.001,pos_x,NA())</f>
        <v>#N/A</v>
      </c>
      <c r="AE858" s="427" t="e">
        <f aca="false">IF(t&lt;T_para, pos_z, NA())</f>
        <v>#N/A</v>
      </c>
      <c r="AF858" s="413"/>
      <c r="AG858" s="419" t="n">
        <f aca="false">IF(AND(L857&lt;L_rampe,Poussee&lt;Poids*SIN(M857)),0,(-W857+Poussee)/m-Poids*SIN(M857)/m)</f>
        <v>5.94320494249322</v>
      </c>
      <c r="AH858" s="418" t="n">
        <f aca="false">IF(AND(L857&lt;L_rampe,Poussee&lt;Poids*SIN(M857)), g*SIN(M857), (-W857+Poussee)/m)</f>
        <v>-3.76647100521634</v>
      </c>
    </row>
    <row r="859" customFormat="false" ht="12" hidden="false" customHeight="false" outlineLevel="0" collapsed="false">
      <c r="A859" s="417" t="n">
        <f aca="false">IF(B858+0.01&lt;=T_ini+ROUNDUP(Temps_fin_propu,0), 0.01, IF(K858&gt;0, 0.1, 0.0001))</f>
        <v>0.0001</v>
      </c>
      <c r="B859" s="418" t="n">
        <f aca="false">B858+pas</f>
        <v>16.5509999999999</v>
      </c>
      <c r="C859" s="402"/>
      <c r="D859" s="419" t="n">
        <f aca="false">IF(AND(L858&lt;L_rampe,Poussee&lt;Poids*SIN(M858)),0,(-W858+Poussee)/m*COS(M858)-U858/m*SIN(M858))</f>
        <v>-0.537286686616997</v>
      </c>
      <c r="E859" s="420" t="n">
        <f aca="false">IF(AND(L858&lt;L_rampe,Poussee&lt;Poids*SIN(M858)),0,(-W858+Poussee)/m*SIN(M858)+U858/m*COS(M858)-Poids/m)</f>
        <v>-6.08198230323066</v>
      </c>
      <c r="F859" s="418" t="n">
        <f aca="false">SQRT(acc_x^2+acc_z^2)</f>
        <v>6.10566832708973</v>
      </c>
      <c r="G859" s="419" t="n">
        <f aca="false">G858+acc_x*pas</f>
        <v>10.2598592507416</v>
      </c>
      <c r="H859" s="420" t="n">
        <f aca="false">H858+acc_z*pas</f>
        <v>-71.1900459923972</v>
      </c>
      <c r="I859" s="418" t="n">
        <f aca="false">SQRT(vit_x^2+vit_z^2)</f>
        <v>71.925568195494</v>
      </c>
      <c r="J859" s="419" t="n">
        <f aca="false">J858+0.5*(vit_x+G858)*pas*(K858&gt;=0)</f>
        <v>211.791153319536</v>
      </c>
      <c r="K859" s="420" t="n">
        <f aca="false">K858+0.5*(vit_z+H858)*pas</f>
        <v>-8.05563035358271</v>
      </c>
      <c r="L859" s="418" t="n">
        <f aca="false">SQRT(pos_x^2+pos_z^2)</f>
        <v>211.944298825925</v>
      </c>
      <c r="M859" s="419" t="n">
        <f aca="false">IF(AND(L858&gt;L_rampe,G859&gt;0),ATAN2(G859,H859),$M$4)</f>
        <v>-1.42766258209053</v>
      </c>
      <c r="N859" s="418" t="n">
        <f aca="false">DEGREES(Beta)</f>
        <v>-81.7990405225371</v>
      </c>
      <c r="O859" s="402"/>
      <c r="P859" s="421" t="n">
        <f aca="false">MATCH(t-pas/2-T_ini,CdP_t)</f>
        <v>23</v>
      </c>
      <c r="Q859" s="418" t="n">
        <f aca="false">(INDEX(CdP,2,i_P+1)-INDEX(CdP,2,i_P+0))/(INDEX(CdP,1,i_P+1)-INDEX(CdP,1,i_P+0))*(t-pas/2-T_ini-INDEX(CdP,1,i_P+0))+INDEX(CdP,2,i_P+0)</f>
        <v>0</v>
      </c>
      <c r="R859" s="419" t="n">
        <f aca="false">Poussee/(g*ISP)</f>
        <v>0</v>
      </c>
      <c r="S859" s="420" t="n">
        <f aca="false">S858-Débit*pas</f>
        <v>1.4843</v>
      </c>
      <c r="T859" s="418" t="n">
        <f aca="false">m*g</f>
        <v>14.560983</v>
      </c>
      <c r="U859" s="422" t="n">
        <f aca="false">IF(pos_xz&lt;L_rampe,Poids*COS(Beta),0)</f>
        <v>0</v>
      </c>
      <c r="V859" s="419" t="n">
        <f aca="false">Rho_moyen*(20000-Alt_rampe-pos_z)/(20000+Alt_rampe+pos_z)</f>
        <v>1.2259872123492</v>
      </c>
      <c r="W859" s="418" t="n">
        <f aca="false">1/2*Rho*Sref*Cx*vit_xz^2</f>
        <v>5.59076565623138</v>
      </c>
      <c r="X859" s="402"/>
      <c r="Y859" s="423" t="str">
        <f aca="false">IF(AND(pos_z&lt;=0,K858&gt;0),"Impact balistique","") &amp; IF(AND(H860&lt;0,vit_z&gt;=0),"Apogée","") &amp; IF(AND(Poussee=0,Q858&gt;0),"Fin de propulsion","") &amp; IF(AND(L860&gt;L_rampe,pos_xz&lt;=L_rampe),"Sortie de rampe","")</f>
        <v/>
      </c>
      <c r="Z859" s="424" t="str">
        <f aca="false">IF(ABS(t-T_para)&lt;pas/2,"Para","")</f>
        <v/>
      </c>
      <c r="AA859" s="425" t="str">
        <f aca="false">IF(ABS(t-T_satellite)&lt;pas/2,"Satellite","")</f>
        <v/>
      </c>
      <c r="AB859" s="413"/>
      <c r="AC859" s="421" t="e">
        <f aca="false">IF(ABS(t-ROUND(t,0))&lt;0.001,t,NA())</f>
        <v>#N/A</v>
      </c>
      <c r="AD859" s="426" t="e">
        <f aca="false">IF(ABS(t-ROUND(t,0))&lt;0.001,pos_x,NA())</f>
        <v>#N/A</v>
      </c>
      <c r="AE859" s="427" t="e">
        <f aca="false">IF(t&lt;T_para, pos_z, NA())</f>
        <v>#N/A</v>
      </c>
      <c r="AF859" s="413"/>
      <c r="AG859" s="419" t="n">
        <f aca="false">IF(AND(L858&lt;L_rampe,Poussee&lt;Poids*SIN(M858)),0,(-W858+Poussee)/m-Poids*SIN(M858)/m)</f>
        <v>5.94314273784946</v>
      </c>
      <c r="AH859" s="418" t="n">
        <f aca="false">IF(AND(L858&lt;L_rampe,Poussee&lt;Poids*SIN(M858)), g*SIN(M858), (-W858+Poussee)/m)</f>
        <v>-3.76653593253022</v>
      </c>
    </row>
    <row r="860" customFormat="false" ht="12" hidden="false" customHeight="false" outlineLevel="0" collapsed="false">
      <c r="A860" s="417" t="n">
        <f aca="false">IF(B859+0.01&lt;=T_ini+ROUNDUP(Temps_fin_propu,0), 0.01, IF(K859&gt;0, 0.1, 0.0001))</f>
        <v>0.0001</v>
      </c>
      <c r="B860" s="418" t="n">
        <f aca="false">B859+pas</f>
        <v>16.5510999999999</v>
      </c>
      <c r="C860" s="402"/>
      <c r="D860" s="419" t="n">
        <f aca="false">IF(AND(L859&lt;L_rampe,Poussee&lt;Poids*SIN(M859)),0,(-W859+Poussee)/m*COS(M859)-U859/m*SIN(M859))</f>
        <v>-0.537288695035991</v>
      </c>
      <c r="E860" s="420" t="n">
        <f aca="false">IF(AND(L859&lt;L_rampe,Poussee&lt;Poids*SIN(M859)),0,(-W859+Poussee)/m*SIN(M859)+U859/m*COS(M859)-Poids/m)</f>
        <v>-6.08191699456864</v>
      </c>
      <c r="F860" s="418" t="n">
        <f aca="false">SQRT(acc_x^2+acc_z^2)</f>
        <v>6.10560344852467</v>
      </c>
      <c r="G860" s="419" t="n">
        <f aca="false">G859+acc_x*pas</f>
        <v>10.2598055218721</v>
      </c>
      <c r="H860" s="420" t="n">
        <f aca="false">H859+acc_z*pas</f>
        <v>-71.1906541840967</v>
      </c>
      <c r="I860" s="418" t="n">
        <f aca="false">SQRT(vit_x^2+vit_z^2)</f>
        <v>71.9261625036834</v>
      </c>
      <c r="J860" s="419" t="n">
        <f aca="false">J859+0.5*(vit_x+G859)*pas*(K859&gt;=0)</f>
        <v>211.791153319536</v>
      </c>
      <c r="K860" s="420" t="n">
        <f aca="false">K859+0.5*(vit_z+H859)*pas</f>
        <v>-8.06274938859153</v>
      </c>
      <c r="L860" s="418" t="n">
        <f aca="false">SQRT(pos_x^2+pos_z^2)</f>
        <v>211.944569527324</v>
      </c>
      <c r="M860" s="419" t="n">
        <f aca="false">IF(AND(L859&gt;L_rampe,G860&gt;0),ATAN2(G860,H860),$M$4)</f>
        <v>-1.42766452763078</v>
      </c>
      <c r="N860" s="418" t="n">
        <f aca="false">DEGREES(Beta)</f>
        <v>-81.799151993782</v>
      </c>
      <c r="O860" s="402"/>
      <c r="P860" s="421" t="n">
        <f aca="false">MATCH(t-pas/2-T_ini,CdP_t)</f>
        <v>23</v>
      </c>
      <c r="Q860" s="418" t="n">
        <f aca="false">(INDEX(CdP,2,i_P+1)-INDEX(CdP,2,i_P+0))/(INDEX(CdP,1,i_P+1)-INDEX(CdP,1,i_P+0))*(t-pas/2-T_ini-INDEX(CdP,1,i_P+0))+INDEX(CdP,2,i_P+0)</f>
        <v>0</v>
      </c>
      <c r="R860" s="419" t="n">
        <f aca="false">Poussee/(g*ISP)</f>
        <v>0</v>
      </c>
      <c r="S860" s="420" t="n">
        <f aca="false">S859-Débit*pas</f>
        <v>1.4843</v>
      </c>
      <c r="T860" s="418" t="n">
        <f aca="false">m*g</f>
        <v>14.560983</v>
      </c>
      <c r="U860" s="422" t="n">
        <f aca="false">IF(pos_xz&lt;L_rampe,Poids*COS(Beta),0)</f>
        <v>0</v>
      </c>
      <c r="V860" s="419" t="n">
        <f aca="false">Rho_moyen*(20000-Alt_rampe-pos_z)/(20000+Alt_rampe+pos_z)</f>
        <v>1.22598808513424</v>
      </c>
      <c r="W860" s="418" t="n">
        <f aca="false">1/2*Rho*Sref*Cx*vit_xz^2</f>
        <v>5.59086202777294</v>
      </c>
      <c r="X860" s="402"/>
      <c r="Y860" s="423" t="str">
        <f aca="false">IF(AND(pos_z&lt;=0,K859&gt;0),"Impact balistique","") &amp; IF(AND(H861&lt;0,vit_z&gt;=0),"Apogée","") &amp; IF(AND(Poussee=0,Q859&gt;0),"Fin de propulsion","") &amp; IF(AND(L861&gt;L_rampe,pos_xz&lt;=L_rampe),"Sortie de rampe","")</f>
        <v/>
      </c>
      <c r="Z860" s="424" t="str">
        <f aca="false">IF(ABS(t-T_para)&lt;pas/2,"Para","")</f>
        <v/>
      </c>
      <c r="AA860" s="425" t="str">
        <f aca="false">IF(ABS(t-T_satellite)&lt;pas/2,"Satellite","")</f>
        <v/>
      </c>
      <c r="AB860" s="413"/>
      <c r="AC860" s="421" t="e">
        <f aca="false">IF(ABS(t-ROUND(t,0))&lt;0.001,t,NA())</f>
        <v>#N/A</v>
      </c>
      <c r="AD860" s="426" t="e">
        <f aca="false">IF(ABS(t-ROUND(t,0))&lt;0.001,pos_x,NA())</f>
        <v>#N/A</v>
      </c>
      <c r="AE860" s="427" t="e">
        <f aca="false">IF(t&lt;T_para, pos_z, NA())</f>
        <v>#N/A</v>
      </c>
      <c r="AF860" s="413"/>
      <c r="AG860" s="419" t="n">
        <f aca="false">IF(AND(L859&lt;L_rampe,Poussee&lt;Poids*SIN(M859)),0,(-W859+Poussee)/m-Poids*SIN(M859)/m)</f>
        <v>5.94308053313341</v>
      </c>
      <c r="AH860" s="418" t="n">
        <f aca="false">IF(AND(L859&lt;L_rampe,Poussee&lt;Poids*SIN(M859)), g*SIN(M859), (-W859+Poussee)/m)</f>
        <v>-3.76660085982038</v>
      </c>
    </row>
    <row r="861" customFormat="false" ht="12" hidden="false" customHeight="false" outlineLevel="0" collapsed="false">
      <c r="A861" s="417" t="n">
        <f aca="false">IF(B860+0.01&lt;=T_ini+ROUNDUP(Temps_fin_propu,0), 0.01, IF(K860&gt;0, 0.1, 0.0001))</f>
        <v>0.0001</v>
      </c>
      <c r="B861" s="418" t="n">
        <f aca="false">B860+pas</f>
        <v>16.5511999999999</v>
      </c>
      <c r="C861" s="402"/>
      <c r="D861" s="419" t="n">
        <f aca="false">IF(AND(L860&lt;L_rampe,Poussee&lt;Poids*SIN(M860)),0,(-W860+Poussee)/m*COS(M860)-U860/m*SIN(M860))</f>
        <v>-0.537290703357359</v>
      </c>
      <c r="E861" s="420" t="n">
        <f aca="false">IF(AND(L860&lt;L_rampe,Poussee&lt;Poids*SIN(M860)),0,(-W860+Poussee)/m*SIN(M860)+U860/m*COS(M860)-Poids/m)</f>
        <v>-6.08185168593094</v>
      </c>
      <c r="F861" s="418" t="n">
        <f aca="false">SQRT(acc_x^2+acc_z^2)</f>
        <v>6.10553856998506</v>
      </c>
      <c r="G861" s="419" t="n">
        <f aca="false">G860+acc_x*pas</f>
        <v>10.2597517928017</v>
      </c>
      <c r="H861" s="420" t="n">
        <f aca="false">H860+acc_z*pas</f>
        <v>-71.1912623692653</v>
      </c>
      <c r="I861" s="418" t="n">
        <f aca="false">SQRT(vit_x^2+vit_z^2)</f>
        <v>71.9267568056524</v>
      </c>
      <c r="J861" s="419" t="n">
        <f aca="false">J860+0.5*(vit_x+G860)*pas*(K860&gt;=0)</f>
        <v>211.791153319536</v>
      </c>
      <c r="K861" s="420" t="n">
        <f aca="false">K860+0.5*(vit_z+H860)*pas</f>
        <v>-8.0698684844192</v>
      </c>
      <c r="L861" s="418" t="n">
        <f aca="false">SQRT(pos_x^2+pos_z^2)</f>
        <v>211.944840469814</v>
      </c>
      <c r="M861" s="419" t="n">
        <f aca="false">IF(AND(L860&gt;L_rampe,G861&gt;0),ATAN2(G861,H861),$M$4)</f>
        <v>-1.42766647312869</v>
      </c>
      <c r="N861" s="418" t="n">
        <f aca="false">DEGREES(Beta)</f>
        <v>-81.7992634626011</v>
      </c>
      <c r="O861" s="402"/>
      <c r="P861" s="421" t="n">
        <f aca="false">MATCH(t-pas/2-T_ini,CdP_t)</f>
        <v>23</v>
      </c>
      <c r="Q861" s="418" t="n">
        <f aca="false">(INDEX(CdP,2,i_P+1)-INDEX(CdP,2,i_P+0))/(INDEX(CdP,1,i_P+1)-INDEX(CdP,1,i_P+0))*(t-pas/2-T_ini-INDEX(CdP,1,i_P+0))+INDEX(CdP,2,i_P+0)</f>
        <v>0</v>
      </c>
      <c r="R861" s="419" t="n">
        <f aca="false">Poussee/(g*ISP)</f>
        <v>0</v>
      </c>
      <c r="S861" s="420" t="n">
        <f aca="false">S860-Débit*pas</f>
        <v>1.4843</v>
      </c>
      <c r="T861" s="418" t="n">
        <f aca="false">m*g</f>
        <v>14.560983</v>
      </c>
      <c r="U861" s="422" t="n">
        <f aca="false">IF(pos_xz&lt;L_rampe,Poids*COS(Beta),0)</f>
        <v>0</v>
      </c>
      <c r="V861" s="419" t="n">
        <f aca="false">Rho_moyen*(20000-Alt_rampe-pos_z)/(20000+Alt_rampe+pos_z)</f>
        <v>1.22598895792736</v>
      </c>
      <c r="W861" s="418" t="n">
        <f aca="false">1/2*Rho*Sref*Cx*vit_xz^2</f>
        <v>5.59095839927924</v>
      </c>
      <c r="X861" s="402"/>
      <c r="Y861" s="423" t="str">
        <f aca="false">IF(AND(pos_z&lt;=0,K860&gt;0),"Impact balistique","") &amp; IF(AND(H862&lt;0,vit_z&gt;=0),"Apogée","") &amp; IF(AND(Poussee=0,Q860&gt;0),"Fin de propulsion","") &amp; IF(AND(L862&gt;L_rampe,pos_xz&lt;=L_rampe),"Sortie de rampe","")</f>
        <v/>
      </c>
      <c r="Z861" s="424" t="str">
        <f aca="false">IF(ABS(t-T_para)&lt;pas/2,"Para","")</f>
        <v/>
      </c>
      <c r="AA861" s="425" t="str">
        <f aca="false">IF(ABS(t-T_satellite)&lt;pas/2,"Satellite","")</f>
        <v/>
      </c>
      <c r="AB861" s="413"/>
      <c r="AC861" s="421" t="e">
        <f aca="false">IF(ABS(t-ROUND(t,0))&lt;0.001,t,NA())</f>
        <v>#N/A</v>
      </c>
      <c r="AD861" s="426" t="e">
        <f aca="false">IF(ABS(t-ROUND(t,0))&lt;0.001,pos_x,NA())</f>
        <v>#N/A</v>
      </c>
      <c r="AE861" s="427" t="e">
        <f aca="false">IF(t&lt;T_para, pos_z, NA())</f>
        <v>#N/A</v>
      </c>
      <c r="AF861" s="413"/>
      <c r="AG861" s="419" t="n">
        <f aca="false">IF(AND(L860&lt;L_rampe,Poussee&lt;Poids*SIN(M860)),0,(-W860+Poussee)/m-Poids*SIN(M860)/m)</f>
        <v>5.94301832834509</v>
      </c>
      <c r="AH861" s="418" t="n">
        <f aca="false">IF(AND(L860&lt;L_rampe,Poussee&lt;Poids*SIN(M860)), g*SIN(M860), (-W860+Poussee)/m)</f>
        <v>-3.76666578708681</v>
      </c>
    </row>
    <row r="862" customFormat="false" ht="12" hidden="false" customHeight="false" outlineLevel="0" collapsed="false">
      <c r="A862" s="417" t="n">
        <f aca="false">IF(B861+0.01&lt;=T_ini+ROUNDUP(Temps_fin_propu,0), 0.01, IF(K861&gt;0, 0.1, 0.0001))</f>
        <v>0.0001</v>
      </c>
      <c r="B862" s="418" t="n">
        <f aca="false">B861+pas</f>
        <v>16.5512999999999</v>
      </c>
      <c r="C862" s="402"/>
      <c r="D862" s="419" t="n">
        <f aca="false">IF(AND(L861&lt;L_rampe,Poussee&lt;Poids*SIN(M861)),0,(-W861+Poussee)/m*COS(M861)-U861/m*SIN(M861))</f>
        <v>-0.537292711581098</v>
      </c>
      <c r="E862" s="420" t="n">
        <f aca="false">IF(AND(L861&lt;L_rampe,Poussee&lt;Poids*SIN(M861)),0,(-W861+Poussee)/m*SIN(M861)+U861/m*COS(M861)-Poids/m)</f>
        <v>-6.08178637731756</v>
      </c>
      <c r="F862" s="418" t="n">
        <f aca="false">SQRT(acc_x^2+acc_z^2)</f>
        <v>6.10547369147093</v>
      </c>
      <c r="G862" s="419" t="n">
        <f aca="false">G861+acc_x*pas</f>
        <v>10.2596980635306</v>
      </c>
      <c r="H862" s="420" t="n">
        <f aca="false">H861+acc_z*pas</f>
        <v>-71.191870547903</v>
      </c>
      <c r="I862" s="418" t="n">
        <f aca="false">SQRT(vit_x^2+vit_z^2)</f>
        <v>71.9273511014009</v>
      </c>
      <c r="J862" s="419" t="n">
        <f aca="false">J861+0.5*(vit_x+G861)*pas*(K861&gt;=0)</f>
        <v>211.791153319536</v>
      </c>
      <c r="K862" s="420" t="n">
        <f aca="false">K861+0.5*(vit_z+H861)*pas</f>
        <v>-8.07698764106506</v>
      </c>
      <c r="L862" s="418" t="n">
        <f aca="false">SQRT(pos_x^2+pos_z^2)</f>
        <v>211.945111653402</v>
      </c>
      <c r="M862" s="419" t="n">
        <f aca="false">IF(AND(L861&gt;L_rampe,G862&gt;0),ATAN2(G862,H862),$M$4)</f>
        <v>-1.42766841858426</v>
      </c>
      <c r="N862" s="418" t="n">
        <f aca="false">DEGREES(Beta)</f>
        <v>-81.7993749289945</v>
      </c>
      <c r="O862" s="402"/>
      <c r="P862" s="421" t="n">
        <f aca="false">MATCH(t-pas/2-T_ini,CdP_t)</f>
        <v>23</v>
      </c>
      <c r="Q862" s="418" t="n">
        <f aca="false">(INDEX(CdP,2,i_P+1)-INDEX(CdP,2,i_P+0))/(INDEX(CdP,1,i_P+1)-INDEX(CdP,1,i_P+0))*(t-pas/2-T_ini-INDEX(CdP,1,i_P+0))+INDEX(CdP,2,i_P+0)</f>
        <v>0</v>
      </c>
      <c r="R862" s="419" t="n">
        <f aca="false">Poussee/(g*ISP)</f>
        <v>0</v>
      </c>
      <c r="S862" s="420" t="n">
        <f aca="false">S861-Débit*pas</f>
        <v>1.4843</v>
      </c>
      <c r="T862" s="418" t="n">
        <f aca="false">m*g</f>
        <v>14.560983</v>
      </c>
      <c r="U862" s="422" t="n">
        <f aca="false">IF(pos_xz&lt;L_rampe,Poids*COS(Beta),0)</f>
        <v>0</v>
      </c>
      <c r="V862" s="419" t="n">
        <f aca="false">Rho_moyen*(20000-Alt_rampe-pos_z)/(20000+Alt_rampe+pos_z)</f>
        <v>1.22598983072856</v>
      </c>
      <c r="W862" s="418" t="n">
        <f aca="false">1/2*Rho*Sref*Cx*vit_xz^2</f>
        <v>5.59105477075027</v>
      </c>
      <c r="X862" s="402"/>
      <c r="Y862" s="423" t="str">
        <f aca="false">IF(AND(pos_z&lt;=0,K861&gt;0),"Impact balistique","") &amp; IF(AND(H863&lt;0,vit_z&gt;=0),"Apogée","") &amp; IF(AND(Poussee=0,Q861&gt;0),"Fin de propulsion","") &amp; IF(AND(L863&gt;L_rampe,pos_xz&lt;=L_rampe),"Sortie de rampe","")</f>
        <v/>
      </c>
      <c r="Z862" s="424" t="str">
        <f aca="false">IF(ABS(t-T_para)&lt;pas/2,"Para","")</f>
        <v/>
      </c>
      <c r="AA862" s="425" t="str">
        <f aca="false">IF(ABS(t-T_satellite)&lt;pas/2,"Satellite","")</f>
        <v/>
      </c>
      <c r="AB862" s="413"/>
      <c r="AC862" s="421" t="e">
        <f aca="false">IF(ABS(t-ROUND(t,0))&lt;0.001,t,NA())</f>
        <v>#N/A</v>
      </c>
      <c r="AD862" s="426" t="e">
        <f aca="false">IF(ABS(t-ROUND(t,0))&lt;0.001,pos_x,NA())</f>
        <v>#N/A</v>
      </c>
      <c r="AE862" s="427" t="e">
        <f aca="false">IF(t&lt;T_para, pos_z, NA())</f>
        <v>#N/A</v>
      </c>
      <c r="AF862" s="413"/>
      <c r="AG862" s="419" t="n">
        <f aca="false">IF(AND(L861&lt;L_rampe,Poussee&lt;Poids*SIN(M861)),0,(-W861+Poussee)/m-Poids*SIN(M861)/m)</f>
        <v>5.94295612348453</v>
      </c>
      <c r="AH862" s="418" t="n">
        <f aca="false">IF(AND(L861&lt;L_rampe,Poussee&lt;Poids*SIN(M861)), g*SIN(M861), (-W861+Poussee)/m)</f>
        <v>-3.76673071432948</v>
      </c>
    </row>
    <row r="863" customFormat="false" ht="12" hidden="false" customHeight="false" outlineLevel="0" collapsed="false">
      <c r="A863" s="417" t="n">
        <f aca="false">IF(B862+0.01&lt;=T_ini+ROUNDUP(Temps_fin_propu,0), 0.01, IF(K862&gt;0, 0.1, 0.0001))</f>
        <v>0.0001</v>
      </c>
      <c r="B863" s="418" t="n">
        <f aca="false">B862+pas</f>
        <v>16.5513999999999</v>
      </c>
      <c r="C863" s="402"/>
      <c r="D863" s="419" t="n">
        <f aca="false">IF(AND(L862&lt;L_rampe,Poussee&lt;Poids*SIN(M862)),0,(-W862+Poussee)/m*COS(M862)-U862/m*SIN(M862))</f>
        <v>-0.537294719707211</v>
      </c>
      <c r="E863" s="420" t="n">
        <f aca="false">IF(AND(L862&lt;L_rampe,Poussee&lt;Poids*SIN(M862)),0,(-W862+Poussee)/m*SIN(M862)+U862/m*COS(M862)-Poids/m)</f>
        <v>-6.08172106872854</v>
      </c>
      <c r="F863" s="418" t="n">
        <f aca="false">SQRT(acc_x^2+acc_z^2)</f>
        <v>6.10540881298229</v>
      </c>
      <c r="G863" s="419" t="n">
        <f aca="false">G862+acc_x*pas</f>
        <v>10.2596443340586</v>
      </c>
      <c r="H863" s="420" t="n">
        <f aca="false">H862+acc_z*pas</f>
        <v>-71.1924787200099</v>
      </c>
      <c r="I863" s="418" t="n">
        <f aca="false">SQRT(vit_x^2+vit_z^2)</f>
        <v>71.9279453909288</v>
      </c>
      <c r="J863" s="419" t="n">
        <f aca="false">J862+0.5*(vit_x+G862)*pas*(K862&gt;=0)</f>
        <v>211.791153319536</v>
      </c>
      <c r="K863" s="420" t="n">
        <f aca="false">K862+0.5*(vit_z+H862)*pas</f>
        <v>-8.08410685852845</v>
      </c>
      <c r="L863" s="418" t="n">
        <f aca="false">SQRT(pos_x^2+pos_z^2)</f>
        <v>211.945383078092</v>
      </c>
      <c r="M863" s="419" t="n">
        <f aca="false">IF(AND(L862&gt;L_rampe,G863&gt;0),ATAN2(G863,H863),$M$4)</f>
        <v>-1.42767036399749</v>
      </c>
      <c r="N863" s="418" t="n">
        <f aca="false">DEGREES(Beta)</f>
        <v>-81.7994863929621</v>
      </c>
      <c r="O863" s="402"/>
      <c r="P863" s="421" t="n">
        <f aca="false">MATCH(t-pas/2-T_ini,CdP_t)</f>
        <v>23</v>
      </c>
      <c r="Q863" s="418" t="n">
        <f aca="false">(INDEX(CdP,2,i_P+1)-INDEX(CdP,2,i_P+0))/(INDEX(CdP,1,i_P+1)-INDEX(CdP,1,i_P+0))*(t-pas/2-T_ini-INDEX(CdP,1,i_P+0))+INDEX(CdP,2,i_P+0)</f>
        <v>0</v>
      </c>
      <c r="R863" s="419" t="n">
        <f aca="false">Poussee/(g*ISP)</f>
        <v>0</v>
      </c>
      <c r="S863" s="420" t="n">
        <f aca="false">S862-Débit*pas</f>
        <v>1.4843</v>
      </c>
      <c r="T863" s="418" t="n">
        <f aca="false">m*g</f>
        <v>14.560983</v>
      </c>
      <c r="U863" s="422" t="n">
        <f aca="false">IF(pos_xz&lt;L_rampe,Poids*COS(Beta),0)</f>
        <v>0</v>
      </c>
      <c r="V863" s="419" t="n">
        <f aca="false">Rho_moyen*(20000-Alt_rampe-pos_z)/(20000+Alt_rampe+pos_z)</f>
        <v>1.22599070353783</v>
      </c>
      <c r="W863" s="418" t="n">
        <f aca="false">1/2*Rho*Sref*Cx*vit_xz^2</f>
        <v>5.59115114218599</v>
      </c>
      <c r="X863" s="402"/>
      <c r="Y863" s="423" t="str">
        <f aca="false">IF(AND(pos_z&lt;=0,K862&gt;0),"Impact balistique","") &amp; IF(AND(H864&lt;0,vit_z&gt;=0),"Apogée","") &amp; IF(AND(Poussee=0,Q862&gt;0),"Fin de propulsion","") &amp; IF(AND(L864&gt;L_rampe,pos_xz&lt;=L_rampe),"Sortie de rampe","")</f>
        <v/>
      </c>
      <c r="Z863" s="424" t="str">
        <f aca="false">IF(ABS(t-T_para)&lt;pas/2,"Para","")</f>
        <v/>
      </c>
      <c r="AA863" s="425" t="str">
        <f aca="false">IF(ABS(t-T_satellite)&lt;pas/2,"Satellite","")</f>
        <v/>
      </c>
      <c r="AB863" s="413"/>
      <c r="AC863" s="421" t="e">
        <f aca="false">IF(ABS(t-ROUND(t,0))&lt;0.001,t,NA())</f>
        <v>#N/A</v>
      </c>
      <c r="AD863" s="426" t="e">
        <f aca="false">IF(ABS(t-ROUND(t,0))&lt;0.001,pos_x,NA())</f>
        <v>#N/A</v>
      </c>
      <c r="AE863" s="427" t="e">
        <f aca="false">IF(t&lt;T_para, pos_z, NA())</f>
        <v>#N/A</v>
      </c>
      <c r="AF863" s="413"/>
      <c r="AG863" s="419" t="n">
        <f aca="false">IF(AND(L862&lt;L_rampe,Poussee&lt;Poids*SIN(M862)),0,(-W862+Poussee)/m-Poids*SIN(M862)/m)</f>
        <v>5.94289391855174</v>
      </c>
      <c r="AH863" s="418" t="n">
        <f aca="false">IF(AND(L862&lt;L_rampe,Poussee&lt;Poids*SIN(M862)), g*SIN(M862), (-W862+Poussee)/m)</f>
        <v>-3.76679564154839</v>
      </c>
    </row>
    <row r="864" customFormat="false" ht="12" hidden="false" customHeight="false" outlineLevel="0" collapsed="false">
      <c r="A864" s="417" t="n">
        <f aca="false">IF(B863+0.01&lt;=T_ini+ROUNDUP(Temps_fin_propu,0), 0.01, IF(K863&gt;0, 0.1, 0.0001))</f>
        <v>0.0001</v>
      </c>
      <c r="B864" s="418" t="n">
        <f aca="false">B863+pas</f>
        <v>16.5514999999998</v>
      </c>
      <c r="C864" s="402"/>
      <c r="D864" s="419" t="n">
        <f aca="false">IF(AND(L863&lt;L_rampe,Poussee&lt;Poids*SIN(M863)),0,(-W863+Poussee)/m*COS(M863)-U863/m*SIN(M863))</f>
        <v>-0.537296727735699</v>
      </c>
      <c r="E864" s="420" t="n">
        <f aca="false">IF(AND(L863&lt;L_rampe,Poussee&lt;Poids*SIN(M863)),0,(-W863+Poussee)/m*SIN(M863)+U863/m*COS(M863)-Poids/m)</f>
        <v>-6.08165576016388</v>
      </c>
      <c r="F864" s="418" t="n">
        <f aca="false">SQRT(acc_x^2+acc_z^2)</f>
        <v>6.10534393451916</v>
      </c>
      <c r="G864" s="419" t="n">
        <f aca="false">G863+acc_x*pas</f>
        <v>10.2595906043858</v>
      </c>
      <c r="H864" s="420" t="n">
        <f aca="false">H863+acc_z*pas</f>
        <v>-71.1930868855859</v>
      </c>
      <c r="I864" s="418" t="n">
        <f aca="false">SQRT(vit_x^2+vit_z^2)</f>
        <v>71.9285396742363</v>
      </c>
      <c r="J864" s="419" t="n">
        <f aca="false">J863+0.5*(vit_x+G863)*pas*(K863&gt;=0)</f>
        <v>211.791153319536</v>
      </c>
      <c r="K864" s="420" t="n">
        <f aca="false">K863+0.5*(vit_z+H863)*pas</f>
        <v>-8.09122613680873</v>
      </c>
      <c r="L864" s="418" t="n">
        <f aca="false">SQRT(pos_x^2+pos_z^2)</f>
        <v>211.94565474389</v>
      </c>
      <c r="M864" s="419" t="n">
        <f aca="false">IF(AND(L863&gt;L_rampe,G864&gt;0),ATAN2(G864,H864),$M$4)</f>
        <v>-1.42767230936839</v>
      </c>
      <c r="N864" s="418" t="n">
        <f aca="false">DEGREES(Beta)</f>
        <v>-81.7995978545042</v>
      </c>
      <c r="O864" s="402"/>
      <c r="P864" s="421" t="n">
        <f aca="false">MATCH(t-pas/2-T_ini,CdP_t)</f>
        <v>23</v>
      </c>
      <c r="Q864" s="418" t="n">
        <f aca="false">(INDEX(CdP,2,i_P+1)-INDEX(CdP,2,i_P+0))/(INDEX(CdP,1,i_P+1)-INDEX(CdP,1,i_P+0))*(t-pas/2-T_ini-INDEX(CdP,1,i_P+0))+INDEX(CdP,2,i_P+0)</f>
        <v>0</v>
      </c>
      <c r="R864" s="419" t="n">
        <f aca="false">Poussee/(g*ISP)</f>
        <v>0</v>
      </c>
      <c r="S864" s="420" t="n">
        <f aca="false">S863-Débit*pas</f>
        <v>1.4843</v>
      </c>
      <c r="T864" s="418" t="n">
        <f aca="false">m*g</f>
        <v>14.560983</v>
      </c>
      <c r="U864" s="422" t="n">
        <f aca="false">IF(pos_xz&lt;L_rampe,Poids*COS(Beta),0)</f>
        <v>0</v>
      </c>
      <c r="V864" s="419" t="n">
        <f aca="false">Rho_moyen*(20000-Alt_rampe-pos_z)/(20000+Alt_rampe+pos_z)</f>
        <v>1.22599157635519</v>
      </c>
      <c r="W864" s="418" t="n">
        <f aca="false">1/2*Rho*Sref*Cx*vit_xz^2</f>
        <v>5.59124751358638</v>
      </c>
      <c r="X864" s="402"/>
      <c r="Y864" s="423" t="str">
        <f aca="false">IF(AND(pos_z&lt;=0,K863&gt;0),"Impact balistique","") &amp; IF(AND(H865&lt;0,vit_z&gt;=0),"Apogée","") &amp; IF(AND(Poussee=0,Q863&gt;0),"Fin de propulsion","") &amp; IF(AND(L865&gt;L_rampe,pos_xz&lt;=L_rampe),"Sortie de rampe","")</f>
        <v/>
      </c>
      <c r="Z864" s="424" t="str">
        <f aca="false">IF(ABS(t-T_para)&lt;pas/2,"Para","")</f>
        <v/>
      </c>
      <c r="AA864" s="425" t="str">
        <f aca="false">IF(ABS(t-T_satellite)&lt;pas/2,"Satellite","")</f>
        <v/>
      </c>
      <c r="AB864" s="413"/>
      <c r="AC864" s="421" t="e">
        <f aca="false">IF(ABS(t-ROUND(t,0))&lt;0.001,t,NA())</f>
        <v>#N/A</v>
      </c>
      <c r="AD864" s="426" t="e">
        <f aca="false">IF(ABS(t-ROUND(t,0))&lt;0.001,pos_x,NA())</f>
        <v>#N/A</v>
      </c>
      <c r="AE864" s="427" t="e">
        <f aca="false">IF(t&lt;T_para, pos_z, NA())</f>
        <v>#N/A</v>
      </c>
      <c r="AF864" s="413"/>
      <c r="AG864" s="419" t="n">
        <f aca="false">IF(AND(L863&lt;L_rampe,Poussee&lt;Poids*SIN(M863)),0,(-W863+Poussee)/m-Poids*SIN(M863)/m)</f>
        <v>5.94283171354675</v>
      </c>
      <c r="AH864" s="418" t="n">
        <f aca="false">IF(AND(L863&lt;L_rampe,Poussee&lt;Poids*SIN(M863)), g*SIN(M863), (-W863+Poussee)/m)</f>
        <v>-3.76686056874351</v>
      </c>
    </row>
    <row r="865" customFormat="false" ht="12" hidden="false" customHeight="false" outlineLevel="0" collapsed="false">
      <c r="A865" s="417" t="n">
        <f aca="false">IF(B864+0.01&lt;=T_ini+ROUNDUP(Temps_fin_propu,0), 0.01, IF(K864&gt;0, 0.1, 0.0001))</f>
        <v>0.0001</v>
      </c>
      <c r="B865" s="418" t="n">
        <f aca="false">B864+pas</f>
        <v>16.5515999999998</v>
      </c>
      <c r="C865" s="402"/>
      <c r="D865" s="419" t="n">
        <f aca="false">IF(AND(L864&lt;L_rampe,Poussee&lt;Poids*SIN(M864)),0,(-W864+Poussee)/m*COS(M864)-U864/m*SIN(M864))</f>
        <v>-0.53729873566656</v>
      </c>
      <c r="E865" s="420" t="n">
        <f aca="false">IF(AND(L864&lt;L_rampe,Poussee&lt;Poids*SIN(M864)),0,(-W864+Poussee)/m*SIN(M864)+U864/m*COS(M864)-Poids/m)</f>
        <v>-6.0815904516236</v>
      </c>
      <c r="F865" s="418" t="n">
        <f aca="false">SQRT(acc_x^2+acc_z^2)</f>
        <v>6.10527905608157</v>
      </c>
      <c r="G865" s="419" t="n">
        <f aca="false">G864+acc_x*pas</f>
        <v>10.2595368745122</v>
      </c>
      <c r="H865" s="420" t="n">
        <f aca="false">H864+acc_z*pas</f>
        <v>-71.193695044631</v>
      </c>
      <c r="I865" s="418" t="n">
        <f aca="false">SQRT(vit_x^2+vit_z^2)</f>
        <v>71.9291339513232</v>
      </c>
      <c r="J865" s="419" t="n">
        <f aca="false">J864+0.5*(vit_x+G864)*pas*(K864&gt;=0)</f>
        <v>211.791153319536</v>
      </c>
      <c r="K865" s="420" t="n">
        <f aca="false">K864+0.5*(vit_z+H864)*pas</f>
        <v>-8.09834547590524</v>
      </c>
      <c r="L865" s="418" t="n">
        <f aca="false">SQRT(pos_x^2+pos_z^2)</f>
        <v>211.9459266508</v>
      </c>
      <c r="M865" s="419" t="n">
        <f aca="false">IF(AND(L864&gt;L_rampe,G865&gt;0),ATAN2(G865,H865),$M$4)</f>
        <v>-1.42767425469695</v>
      </c>
      <c r="N865" s="418" t="n">
        <f aca="false">DEGREES(Beta)</f>
        <v>-81.7997093136208</v>
      </c>
      <c r="O865" s="402"/>
      <c r="P865" s="421" t="n">
        <f aca="false">MATCH(t-pas/2-T_ini,CdP_t)</f>
        <v>23</v>
      </c>
      <c r="Q865" s="418" t="n">
        <f aca="false">(INDEX(CdP,2,i_P+1)-INDEX(CdP,2,i_P+0))/(INDEX(CdP,1,i_P+1)-INDEX(CdP,1,i_P+0))*(t-pas/2-T_ini-INDEX(CdP,1,i_P+0))+INDEX(CdP,2,i_P+0)</f>
        <v>0</v>
      </c>
      <c r="R865" s="419" t="n">
        <f aca="false">Poussee/(g*ISP)</f>
        <v>0</v>
      </c>
      <c r="S865" s="420" t="n">
        <f aca="false">S864-Débit*pas</f>
        <v>1.4843</v>
      </c>
      <c r="T865" s="418" t="n">
        <f aca="false">m*g</f>
        <v>14.560983</v>
      </c>
      <c r="U865" s="422" t="n">
        <f aca="false">IF(pos_xz&lt;L_rampe,Poids*COS(Beta),0)</f>
        <v>0</v>
      </c>
      <c r="V865" s="419" t="n">
        <f aca="false">Rho_moyen*(20000-Alt_rampe-pos_z)/(20000+Alt_rampe+pos_z)</f>
        <v>1.22599244918062</v>
      </c>
      <c r="W865" s="418" t="n">
        <f aca="false">1/2*Rho*Sref*Cx*vit_xz^2</f>
        <v>5.59134388495142</v>
      </c>
      <c r="X865" s="402"/>
      <c r="Y865" s="423" t="str">
        <f aca="false">IF(AND(pos_z&lt;=0,K864&gt;0),"Impact balistique","") &amp; IF(AND(H866&lt;0,vit_z&gt;=0),"Apogée","") &amp; IF(AND(Poussee=0,Q864&gt;0),"Fin de propulsion","") &amp; IF(AND(L866&gt;L_rampe,pos_xz&lt;=L_rampe),"Sortie de rampe","")</f>
        <v/>
      </c>
      <c r="Z865" s="424" t="str">
        <f aca="false">IF(ABS(t-T_para)&lt;pas/2,"Para","")</f>
        <v/>
      </c>
      <c r="AA865" s="425" t="str">
        <f aca="false">IF(ABS(t-T_satellite)&lt;pas/2,"Satellite","")</f>
        <v/>
      </c>
      <c r="AB865" s="413"/>
      <c r="AC865" s="421" t="e">
        <f aca="false">IF(ABS(t-ROUND(t,0))&lt;0.001,t,NA())</f>
        <v>#N/A</v>
      </c>
      <c r="AD865" s="426" t="e">
        <f aca="false">IF(ABS(t-ROUND(t,0))&lt;0.001,pos_x,NA())</f>
        <v>#N/A</v>
      </c>
      <c r="AE865" s="427" t="e">
        <f aca="false">IF(t&lt;T_para, pos_z, NA())</f>
        <v>#N/A</v>
      </c>
      <c r="AF865" s="413"/>
      <c r="AG865" s="419" t="n">
        <f aca="false">IF(AND(L864&lt;L_rampe,Poussee&lt;Poids*SIN(M864)),0,(-W864+Poussee)/m-Poids*SIN(M864)/m)</f>
        <v>5.94276950846957</v>
      </c>
      <c r="AH865" s="418" t="n">
        <f aca="false">IF(AND(L864&lt;L_rampe,Poussee&lt;Poids*SIN(M864)), g*SIN(M864), (-W864+Poussee)/m)</f>
        <v>-3.76692549591483</v>
      </c>
    </row>
    <row r="866" customFormat="false" ht="12" hidden="false" customHeight="false" outlineLevel="0" collapsed="false">
      <c r="A866" s="417" t="n">
        <f aca="false">IF(B865+0.01&lt;=T_ini+ROUNDUP(Temps_fin_propu,0), 0.01, IF(K865&gt;0, 0.1, 0.0001))</f>
        <v>0.0001</v>
      </c>
      <c r="B866" s="418" t="n">
        <f aca="false">B865+pas</f>
        <v>16.5516999999998</v>
      </c>
      <c r="C866" s="402"/>
      <c r="D866" s="419" t="n">
        <f aca="false">IF(AND(L865&lt;L_rampe,Poussee&lt;Poids*SIN(M865)),0,(-W865+Poussee)/m*COS(M865)-U865/m*SIN(M865))</f>
        <v>-0.537300743499798</v>
      </c>
      <c r="E866" s="420" t="n">
        <f aca="false">IF(AND(L865&lt;L_rampe,Poussee&lt;Poids*SIN(M865)),0,(-W865+Poussee)/m*SIN(M865)+U865/m*COS(M865)-Poids/m)</f>
        <v>-6.08152514310772</v>
      </c>
      <c r="F866" s="418" t="n">
        <f aca="false">SQRT(acc_x^2+acc_z^2)</f>
        <v>6.10521417766951</v>
      </c>
      <c r="G866" s="419" t="n">
        <f aca="false">G865+acc_x*pas</f>
        <v>10.2594831444379</v>
      </c>
      <c r="H866" s="420" t="n">
        <f aca="false">H865+acc_z*pas</f>
        <v>-71.1943031971454</v>
      </c>
      <c r="I866" s="418" t="n">
        <f aca="false">SQRT(vit_x^2+vit_z^2)</f>
        <v>71.9297282221897</v>
      </c>
      <c r="J866" s="419" t="n">
        <f aca="false">J865+0.5*(vit_x+G865)*pas*(K865&gt;=0)</f>
        <v>211.791153319536</v>
      </c>
      <c r="K866" s="420" t="n">
        <f aca="false">K865+0.5*(vit_z+H865)*pas</f>
        <v>-8.10546487581733</v>
      </c>
      <c r="L866" s="418" t="n">
        <f aca="false">SQRT(pos_x^2+pos_z^2)</f>
        <v>211.946198798828</v>
      </c>
      <c r="M866" s="419" t="n">
        <f aca="false">IF(AND(L865&gt;L_rampe,G866&gt;0),ATAN2(G866,H866),$M$4)</f>
        <v>-1.42767619998319</v>
      </c>
      <c r="N866" s="418" t="n">
        <f aca="false">DEGREES(Beta)</f>
        <v>-81.799820770312</v>
      </c>
      <c r="O866" s="402"/>
      <c r="P866" s="421" t="n">
        <f aca="false">MATCH(t-pas/2-T_ini,CdP_t)</f>
        <v>23</v>
      </c>
      <c r="Q866" s="418" t="n">
        <f aca="false">(INDEX(CdP,2,i_P+1)-INDEX(CdP,2,i_P+0))/(INDEX(CdP,1,i_P+1)-INDEX(CdP,1,i_P+0))*(t-pas/2-T_ini-INDEX(CdP,1,i_P+0))+INDEX(CdP,2,i_P+0)</f>
        <v>0</v>
      </c>
      <c r="R866" s="419" t="n">
        <f aca="false">Poussee/(g*ISP)</f>
        <v>0</v>
      </c>
      <c r="S866" s="420" t="n">
        <f aca="false">S865-Débit*pas</f>
        <v>1.4843</v>
      </c>
      <c r="T866" s="418" t="n">
        <f aca="false">m*g</f>
        <v>14.560983</v>
      </c>
      <c r="U866" s="422" t="n">
        <f aca="false">IF(pos_xz&lt;L_rampe,Poids*COS(Beta),0)</f>
        <v>0</v>
      </c>
      <c r="V866" s="419" t="n">
        <f aca="false">Rho_moyen*(20000-Alt_rampe-pos_z)/(20000+Alt_rampe+pos_z)</f>
        <v>1.22599332201412</v>
      </c>
      <c r="W866" s="418" t="n">
        <f aca="false">1/2*Rho*Sref*Cx*vit_xz^2</f>
        <v>5.59144025628109</v>
      </c>
      <c r="X866" s="402"/>
      <c r="Y866" s="423" t="str">
        <f aca="false">IF(AND(pos_z&lt;=0,K865&gt;0),"Impact balistique","") &amp; IF(AND(H867&lt;0,vit_z&gt;=0),"Apogée","") &amp; IF(AND(Poussee=0,Q865&gt;0),"Fin de propulsion","") &amp; IF(AND(L867&gt;L_rampe,pos_xz&lt;=L_rampe),"Sortie de rampe","")</f>
        <v/>
      </c>
      <c r="Z866" s="424" t="str">
        <f aca="false">IF(ABS(t-T_para)&lt;pas/2,"Para","")</f>
        <v/>
      </c>
      <c r="AA866" s="425" t="str">
        <f aca="false">IF(ABS(t-T_satellite)&lt;pas/2,"Satellite","")</f>
        <v/>
      </c>
      <c r="AB866" s="413"/>
      <c r="AC866" s="421" t="e">
        <f aca="false">IF(ABS(t-ROUND(t,0))&lt;0.001,t,NA())</f>
        <v>#N/A</v>
      </c>
      <c r="AD866" s="426" t="e">
        <f aca="false">IF(ABS(t-ROUND(t,0))&lt;0.001,pos_x,NA())</f>
        <v>#N/A</v>
      </c>
      <c r="AE866" s="427" t="e">
        <f aca="false">IF(t&lt;T_para, pos_z, NA())</f>
        <v>#N/A</v>
      </c>
      <c r="AF866" s="413"/>
      <c r="AG866" s="419" t="n">
        <f aca="false">IF(AND(L865&lt;L_rampe,Poussee&lt;Poids*SIN(M865)),0,(-W865+Poussee)/m-Poids*SIN(M865)/m)</f>
        <v>5.94270730332023</v>
      </c>
      <c r="AH866" s="418" t="n">
        <f aca="false">IF(AND(L865&lt;L_rampe,Poussee&lt;Poids*SIN(M865)), g*SIN(M865), (-W865+Poussee)/m)</f>
        <v>-3.76699042306234</v>
      </c>
    </row>
    <row r="867" customFormat="false" ht="12" hidden="false" customHeight="false" outlineLevel="0" collapsed="false">
      <c r="A867" s="417" t="n">
        <f aca="false">IF(B866+0.01&lt;=T_ini+ROUNDUP(Temps_fin_propu,0), 0.01, IF(K866&gt;0, 0.1, 0.0001))</f>
        <v>0.0001</v>
      </c>
      <c r="B867" s="418" t="n">
        <f aca="false">B866+pas</f>
        <v>16.5517999999998</v>
      </c>
      <c r="C867" s="402"/>
      <c r="D867" s="419" t="n">
        <f aca="false">IF(AND(L866&lt;L_rampe,Poussee&lt;Poids*SIN(M866)),0,(-W866+Poussee)/m*COS(M866)-U866/m*SIN(M866))</f>
        <v>-0.537302751235412</v>
      </c>
      <c r="E867" s="420" t="n">
        <f aca="false">IF(AND(L866&lt;L_rampe,Poussee&lt;Poids*SIN(M866)),0,(-W866+Poussee)/m*SIN(M866)+U866/m*COS(M866)-Poids/m)</f>
        <v>-6.08145983461625</v>
      </c>
      <c r="F867" s="418" t="n">
        <f aca="false">SQRT(acc_x^2+acc_z^2)</f>
        <v>6.10514929928301</v>
      </c>
      <c r="G867" s="419" t="n">
        <f aca="false">G866+acc_x*pas</f>
        <v>10.2594294141628</v>
      </c>
      <c r="H867" s="420" t="n">
        <f aca="false">H866+acc_z*pas</f>
        <v>-71.1949113431288</v>
      </c>
      <c r="I867" s="418" t="n">
        <f aca="false">SQRT(vit_x^2+vit_z^2)</f>
        <v>71.9303224868356</v>
      </c>
      <c r="J867" s="419" t="n">
        <f aca="false">J866+0.5*(vit_x+G866)*pas*(K866&gt;=0)</f>
        <v>211.791153319536</v>
      </c>
      <c r="K867" s="420" t="n">
        <f aca="false">K866+0.5*(vit_z+H866)*pas</f>
        <v>-8.11258433654435</v>
      </c>
      <c r="L867" s="418" t="n">
        <f aca="false">SQRT(pos_x^2+pos_z^2)</f>
        <v>211.946471187979</v>
      </c>
      <c r="M867" s="419" t="n">
        <f aca="false">IF(AND(L866&gt;L_rampe,G867&gt;0),ATAN2(G867,H867),$M$4)</f>
        <v>-1.42767814522709</v>
      </c>
      <c r="N867" s="418" t="n">
        <f aca="false">DEGREES(Beta)</f>
        <v>-81.7999322245777</v>
      </c>
      <c r="O867" s="402"/>
      <c r="P867" s="421" t="n">
        <f aca="false">MATCH(t-pas/2-T_ini,CdP_t)</f>
        <v>23</v>
      </c>
      <c r="Q867" s="418" t="n">
        <f aca="false">(INDEX(CdP,2,i_P+1)-INDEX(CdP,2,i_P+0))/(INDEX(CdP,1,i_P+1)-INDEX(CdP,1,i_P+0))*(t-pas/2-T_ini-INDEX(CdP,1,i_P+0))+INDEX(CdP,2,i_P+0)</f>
        <v>0</v>
      </c>
      <c r="R867" s="419" t="n">
        <f aca="false">Poussee/(g*ISP)</f>
        <v>0</v>
      </c>
      <c r="S867" s="420" t="n">
        <f aca="false">S866-Débit*pas</f>
        <v>1.4843</v>
      </c>
      <c r="T867" s="418" t="n">
        <f aca="false">m*g</f>
        <v>14.560983</v>
      </c>
      <c r="U867" s="422" t="n">
        <f aca="false">IF(pos_xz&lt;L_rampe,Poids*COS(Beta),0)</f>
        <v>0</v>
      </c>
      <c r="V867" s="419" t="n">
        <f aca="false">Rho_moyen*(20000-Alt_rampe-pos_z)/(20000+Alt_rampe+pos_z)</f>
        <v>1.22599419485571</v>
      </c>
      <c r="W867" s="418" t="n">
        <f aca="false">1/2*Rho*Sref*Cx*vit_xz^2</f>
        <v>5.59153662757536</v>
      </c>
      <c r="X867" s="402"/>
      <c r="Y867" s="423" t="str">
        <f aca="false">IF(AND(pos_z&lt;=0,K866&gt;0),"Impact balistique","") &amp; IF(AND(H868&lt;0,vit_z&gt;=0),"Apogée","") &amp; IF(AND(Poussee=0,Q866&gt;0),"Fin de propulsion","") &amp; IF(AND(L868&gt;L_rampe,pos_xz&lt;=L_rampe),"Sortie de rampe","")</f>
        <v/>
      </c>
      <c r="Z867" s="424" t="str">
        <f aca="false">IF(ABS(t-T_para)&lt;pas/2,"Para","")</f>
        <v/>
      </c>
      <c r="AA867" s="425" t="str">
        <f aca="false">IF(ABS(t-T_satellite)&lt;pas/2,"Satellite","")</f>
        <v/>
      </c>
      <c r="AB867" s="413"/>
      <c r="AC867" s="421" t="e">
        <f aca="false">IF(ABS(t-ROUND(t,0))&lt;0.001,t,NA())</f>
        <v>#N/A</v>
      </c>
      <c r="AD867" s="426" t="e">
        <f aca="false">IF(ABS(t-ROUND(t,0))&lt;0.001,pos_x,NA())</f>
        <v>#N/A</v>
      </c>
      <c r="AE867" s="427" t="e">
        <f aca="false">IF(t&lt;T_para, pos_z, NA())</f>
        <v>#N/A</v>
      </c>
      <c r="AF867" s="413"/>
      <c r="AG867" s="419" t="n">
        <f aca="false">IF(AND(L866&lt;L_rampe,Poussee&lt;Poids*SIN(M866)),0,(-W866+Poussee)/m-Poids*SIN(M866)/m)</f>
        <v>5.94264509809875</v>
      </c>
      <c r="AH867" s="418" t="n">
        <f aca="false">IF(AND(L866&lt;L_rampe,Poussee&lt;Poids*SIN(M866)), g*SIN(M866), (-W866+Poussee)/m)</f>
        <v>-3.76705535018601</v>
      </c>
    </row>
    <row r="868" customFormat="false" ht="12" hidden="false" customHeight="false" outlineLevel="0" collapsed="false">
      <c r="A868" s="417" t="n">
        <f aca="false">IF(B867+0.01&lt;=T_ini+ROUNDUP(Temps_fin_propu,0), 0.01, IF(K867&gt;0, 0.1, 0.0001))</f>
        <v>0.0001</v>
      </c>
      <c r="B868" s="418" t="n">
        <f aca="false">B867+pas</f>
        <v>16.5518999999998</v>
      </c>
      <c r="C868" s="402"/>
      <c r="D868" s="419" t="n">
        <f aca="false">IF(AND(L867&lt;L_rampe,Poussee&lt;Poids*SIN(M867)),0,(-W867+Poussee)/m*COS(M867)-U867/m*SIN(M867))</f>
        <v>-0.537304758873404</v>
      </c>
      <c r="E868" s="420" t="n">
        <f aca="false">IF(AND(L867&lt;L_rampe,Poussee&lt;Poids*SIN(M867)),0,(-W867+Poussee)/m*SIN(M867)+U867/m*COS(M867)-Poids/m)</f>
        <v>-6.08139452614921</v>
      </c>
      <c r="F868" s="418" t="n">
        <f aca="false">SQRT(acc_x^2+acc_z^2)</f>
        <v>6.10508442092208</v>
      </c>
      <c r="G868" s="419" t="n">
        <f aca="false">G867+acc_x*pas</f>
        <v>10.2593756836869</v>
      </c>
      <c r="H868" s="420" t="n">
        <f aca="false">H867+acc_z*pas</f>
        <v>-71.1955194825814</v>
      </c>
      <c r="I868" s="418" t="n">
        <f aca="false">SQRT(vit_x^2+vit_z^2)</f>
        <v>71.9309167452609</v>
      </c>
      <c r="J868" s="419" t="n">
        <f aca="false">J867+0.5*(vit_x+G867)*pas*(K867&gt;=0)</f>
        <v>211.791153319536</v>
      </c>
      <c r="K868" s="420" t="n">
        <f aca="false">K867+0.5*(vit_z+H867)*pas</f>
        <v>-8.11970385808563</v>
      </c>
      <c r="L868" s="418" t="n">
        <f aca="false">SQRT(pos_x^2+pos_z^2)</f>
        <v>211.946743818258</v>
      </c>
      <c r="M868" s="419" t="n">
        <f aca="false">IF(AND(L867&gt;L_rampe,G868&gt;0),ATAN2(G868,H868),$M$4)</f>
        <v>-1.42768009042867</v>
      </c>
      <c r="N868" s="418" t="n">
        <f aca="false">DEGREES(Beta)</f>
        <v>-81.8000436764183</v>
      </c>
      <c r="O868" s="402"/>
      <c r="P868" s="421" t="n">
        <f aca="false">MATCH(t-pas/2-T_ini,CdP_t)</f>
        <v>23</v>
      </c>
      <c r="Q868" s="418" t="n">
        <f aca="false">(INDEX(CdP,2,i_P+1)-INDEX(CdP,2,i_P+0))/(INDEX(CdP,1,i_P+1)-INDEX(CdP,1,i_P+0))*(t-pas/2-T_ini-INDEX(CdP,1,i_P+0))+INDEX(CdP,2,i_P+0)</f>
        <v>0</v>
      </c>
      <c r="R868" s="419" t="n">
        <f aca="false">Poussee/(g*ISP)</f>
        <v>0</v>
      </c>
      <c r="S868" s="420" t="n">
        <f aca="false">S867-Débit*pas</f>
        <v>1.4843</v>
      </c>
      <c r="T868" s="418" t="n">
        <f aca="false">m*g</f>
        <v>14.560983</v>
      </c>
      <c r="U868" s="422" t="n">
        <f aca="false">IF(pos_xz&lt;L_rampe,Poids*COS(Beta),0)</f>
        <v>0</v>
      </c>
      <c r="V868" s="419" t="n">
        <f aca="false">Rho_moyen*(20000-Alt_rampe-pos_z)/(20000+Alt_rampe+pos_z)</f>
        <v>1.22599506770537</v>
      </c>
      <c r="W868" s="418" t="n">
        <f aca="false">1/2*Rho*Sref*Cx*vit_xz^2</f>
        <v>5.59163299883421</v>
      </c>
      <c r="X868" s="402"/>
      <c r="Y868" s="423" t="str">
        <f aca="false">IF(AND(pos_z&lt;=0,K867&gt;0),"Impact balistique","") &amp; IF(AND(H869&lt;0,vit_z&gt;=0),"Apogée","") &amp; IF(AND(Poussee=0,Q867&gt;0),"Fin de propulsion","") &amp; IF(AND(L869&gt;L_rampe,pos_xz&lt;=L_rampe),"Sortie de rampe","")</f>
        <v/>
      </c>
      <c r="Z868" s="424" t="str">
        <f aca="false">IF(ABS(t-T_para)&lt;pas/2,"Para","")</f>
        <v/>
      </c>
      <c r="AA868" s="425" t="str">
        <f aca="false">IF(ABS(t-T_satellite)&lt;pas/2,"Satellite","")</f>
        <v/>
      </c>
      <c r="AB868" s="413"/>
      <c r="AC868" s="421" t="e">
        <f aca="false">IF(ABS(t-ROUND(t,0))&lt;0.001,t,NA())</f>
        <v>#N/A</v>
      </c>
      <c r="AD868" s="426" t="e">
        <f aca="false">IF(ABS(t-ROUND(t,0))&lt;0.001,pos_x,NA())</f>
        <v>#N/A</v>
      </c>
      <c r="AE868" s="427" t="e">
        <f aca="false">IF(t&lt;T_para, pos_z, NA())</f>
        <v>#N/A</v>
      </c>
      <c r="AF868" s="413"/>
      <c r="AG868" s="419" t="n">
        <f aca="false">IF(AND(L867&lt;L_rampe,Poussee&lt;Poids*SIN(M867)),0,(-W867+Poussee)/m-Poids*SIN(M867)/m)</f>
        <v>5.94258289280514</v>
      </c>
      <c r="AH868" s="418" t="n">
        <f aca="false">IF(AND(L867&lt;L_rampe,Poussee&lt;Poids*SIN(M867)), g*SIN(M867), (-W867+Poussee)/m)</f>
        <v>-3.76712027728584</v>
      </c>
    </row>
    <row r="869" customFormat="false" ht="12" hidden="false" customHeight="false" outlineLevel="0" collapsed="false">
      <c r="A869" s="417" t="n">
        <f aca="false">IF(B868+0.01&lt;=T_ini+ROUNDUP(Temps_fin_propu,0), 0.01, IF(K868&gt;0, 0.1, 0.0001))</f>
        <v>0.0001</v>
      </c>
      <c r="B869" s="418" t="n">
        <f aca="false">B868+pas</f>
        <v>16.5519999999998</v>
      </c>
      <c r="C869" s="402"/>
      <c r="D869" s="419" t="n">
        <f aca="false">IF(AND(L868&lt;L_rampe,Poussee&lt;Poids*SIN(M868)),0,(-W868+Poussee)/m*COS(M868)-U868/m*SIN(M868))</f>
        <v>-0.537306766413772</v>
      </c>
      <c r="E869" s="420" t="n">
        <f aca="false">IF(AND(L868&lt;L_rampe,Poussee&lt;Poids*SIN(M868)),0,(-W868+Poussee)/m*SIN(M868)+U868/m*COS(M868)-Poids/m)</f>
        <v>-6.08132921770661</v>
      </c>
      <c r="F869" s="418" t="n">
        <f aca="false">SQRT(acc_x^2+acc_z^2)</f>
        <v>6.10501954258675</v>
      </c>
      <c r="G869" s="419" t="n">
        <f aca="false">G868+acc_x*pas</f>
        <v>10.2593219530102</v>
      </c>
      <c r="H869" s="420" t="n">
        <f aca="false">H868+acc_z*pas</f>
        <v>-71.1961276155032</v>
      </c>
      <c r="I869" s="418" t="n">
        <f aca="false">SQRT(vit_x^2+vit_z^2)</f>
        <v>71.9315109974658</v>
      </c>
      <c r="J869" s="419" t="n">
        <f aca="false">J868+0.5*(vit_x+G868)*pas*(K868&gt;=0)</f>
        <v>211.791153319536</v>
      </c>
      <c r="K869" s="420" t="n">
        <f aca="false">K868+0.5*(vit_z+H868)*pas</f>
        <v>-8.12682344044054</v>
      </c>
      <c r="L869" s="418" t="n">
        <f aca="false">SQRT(pos_x^2+pos_z^2)</f>
        <v>211.94701668967</v>
      </c>
      <c r="M869" s="419" t="n">
        <f aca="false">IF(AND(L868&gt;L_rampe,G869&gt;0),ATAN2(G869,H869),$M$4)</f>
        <v>-1.42768203558791</v>
      </c>
      <c r="N869" s="418" t="n">
        <f aca="false">DEGREES(Beta)</f>
        <v>-81.8001551258336</v>
      </c>
      <c r="O869" s="402"/>
      <c r="P869" s="421" t="n">
        <f aca="false">MATCH(t-pas/2-T_ini,CdP_t)</f>
        <v>23</v>
      </c>
      <c r="Q869" s="418" t="n">
        <f aca="false">(INDEX(CdP,2,i_P+1)-INDEX(CdP,2,i_P+0))/(INDEX(CdP,1,i_P+1)-INDEX(CdP,1,i_P+0))*(t-pas/2-T_ini-INDEX(CdP,1,i_P+0))+INDEX(CdP,2,i_P+0)</f>
        <v>0</v>
      </c>
      <c r="R869" s="419" t="n">
        <f aca="false">Poussee/(g*ISP)</f>
        <v>0</v>
      </c>
      <c r="S869" s="420" t="n">
        <f aca="false">S868-Débit*pas</f>
        <v>1.4843</v>
      </c>
      <c r="T869" s="418" t="n">
        <f aca="false">m*g</f>
        <v>14.560983</v>
      </c>
      <c r="U869" s="422" t="n">
        <f aca="false">IF(pos_xz&lt;L_rampe,Poids*COS(Beta),0)</f>
        <v>0</v>
      </c>
      <c r="V869" s="419" t="n">
        <f aca="false">Rho_moyen*(20000-Alt_rampe-pos_z)/(20000+Alt_rampe+pos_z)</f>
        <v>1.22599594056311</v>
      </c>
      <c r="W869" s="418" t="n">
        <f aca="false">1/2*Rho*Sref*Cx*vit_xz^2</f>
        <v>5.59172937005761</v>
      </c>
      <c r="X869" s="402"/>
      <c r="Y869" s="423" t="str">
        <f aca="false">IF(AND(pos_z&lt;=0,K868&gt;0),"Impact balistique","") &amp; IF(AND(H870&lt;0,vit_z&gt;=0),"Apogée","") &amp; IF(AND(Poussee=0,Q868&gt;0),"Fin de propulsion","") &amp; IF(AND(L870&gt;L_rampe,pos_xz&lt;=L_rampe),"Sortie de rampe","")</f>
        <v/>
      </c>
      <c r="Z869" s="424" t="str">
        <f aca="false">IF(ABS(t-T_para)&lt;pas/2,"Para","")</f>
        <v/>
      </c>
      <c r="AA869" s="425" t="str">
        <f aca="false">IF(ABS(t-T_satellite)&lt;pas/2,"Satellite","")</f>
        <v/>
      </c>
      <c r="AB869" s="413"/>
      <c r="AC869" s="421" t="e">
        <f aca="false">IF(ABS(t-ROUND(t,0))&lt;0.001,t,NA())</f>
        <v>#N/A</v>
      </c>
      <c r="AD869" s="426" t="e">
        <f aca="false">IF(ABS(t-ROUND(t,0))&lt;0.001,pos_x,NA())</f>
        <v>#N/A</v>
      </c>
      <c r="AE869" s="427" t="e">
        <f aca="false">IF(t&lt;T_para, pos_z, NA())</f>
        <v>#N/A</v>
      </c>
      <c r="AF869" s="413"/>
      <c r="AG869" s="419" t="n">
        <f aca="false">IF(AND(L868&lt;L_rampe,Poussee&lt;Poids*SIN(M868)),0,(-W868+Poussee)/m-Poids*SIN(M868)/m)</f>
        <v>5.94252068743944</v>
      </c>
      <c r="AH869" s="418" t="n">
        <f aca="false">IF(AND(L868&lt;L_rampe,Poussee&lt;Poids*SIN(M868)), g*SIN(M868), (-W868+Poussee)/m)</f>
        <v>-3.7671852043618</v>
      </c>
    </row>
    <row r="870" customFormat="false" ht="12" hidden="false" customHeight="false" outlineLevel="0" collapsed="false">
      <c r="A870" s="417" t="n">
        <f aca="false">IF(B869+0.01&lt;=T_ini+ROUNDUP(Temps_fin_propu,0), 0.01, IF(K869&gt;0, 0.1, 0.0001))</f>
        <v>0.0001</v>
      </c>
      <c r="B870" s="418" t="n">
        <f aca="false">B869+pas</f>
        <v>16.5520999999998</v>
      </c>
      <c r="C870" s="402"/>
      <c r="D870" s="419" t="n">
        <f aca="false">IF(AND(L869&lt;L_rampe,Poussee&lt;Poids*SIN(M869)),0,(-W869+Poussee)/m*COS(M869)-U869/m*SIN(M869))</f>
        <v>-0.537308773856519</v>
      </c>
      <c r="E870" s="420" t="n">
        <f aca="false">IF(AND(L869&lt;L_rampe,Poussee&lt;Poids*SIN(M869)),0,(-W869+Poussee)/m*SIN(M869)+U869/m*COS(M869)-Poids/m)</f>
        <v>-6.08126390928848</v>
      </c>
      <c r="F870" s="418" t="n">
        <f aca="false">SQRT(acc_x^2+acc_z^2)</f>
        <v>6.10495466427702</v>
      </c>
      <c r="G870" s="419" t="n">
        <f aca="false">G869+acc_x*pas</f>
        <v>10.2592682221329</v>
      </c>
      <c r="H870" s="420" t="n">
        <f aca="false">H869+acc_z*pas</f>
        <v>-71.1967357418941</v>
      </c>
      <c r="I870" s="418" t="n">
        <f aca="false">SQRT(vit_x^2+vit_z^2)</f>
        <v>71.93210524345</v>
      </c>
      <c r="J870" s="419" t="n">
        <f aca="false">J869+0.5*(vit_x+G869)*pas*(K869&gt;=0)</f>
        <v>211.791153319536</v>
      </c>
      <c r="K870" s="420" t="n">
        <f aca="false">K869+0.5*(vit_z+H869)*pas</f>
        <v>-8.13394308360841</v>
      </c>
      <c r="L870" s="418" t="n">
        <f aca="false">SQRT(pos_x^2+pos_z^2)</f>
        <v>211.947289802221</v>
      </c>
      <c r="M870" s="419" t="n">
        <f aca="false">IF(AND(L869&gt;L_rampe,G870&gt;0),ATAN2(G870,H870),$M$4)</f>
        <v>-1.42768398070484</v>
      </c>
      <c r="N870" s="418" t="n">
        <f aca="false">DEGREES(Beta)</f>
        <v>-81.8002665728239</v>
      </c>
      <c r="O870" s="402"/>
      <c r="P870" s="421" t="n">
        <f aca="false">MATCH(t-pas/2-T_ini,CdP_t)</f>
        <v>23</v>
      </c>
      <c r="Q870" s="418" t="n">
        <f aca="false">(INDEX(CdP,2,i_P+1)-INDEX(CdP,2,i_P+0))/(INDEX(CdP,1,i_P+1)-INDEX(CdP,1,i_P+0))*(t-pas/2-T_ini-INDEX(CdP,1,i_P+0))+INDEX(CdP,2,i_P+0)</f>
        <v>0</v>
      </c>
      <c r="R870" s="419" t="n">
        <f aca="false">Poussee/(g*ISP)</f>
        <v>0</v>
      </c>
      <c r="S870" s="420" t="n">
        <f aca="false">S869-Débit*pas</f>
        <v>1.4843</v>
      </c>
      <c r="T870" s="418" t="n">
        <f aca="false">m*g</f>
        <v>14.560983</v>
      </c>
      <c r="U870" s="422" t="n">
        <f aca="false">IF(pos_xz&lt;L_rampe,Poids*COS(Beta),0)</f>
        <v>0</v>
      </c>
      <c r="V870" s="419" t="n">
        <f aca="false">Rho_moyen*(20000-Alt_rampe-pos_z)/(20000+Alt_rampe+pos_z)</f>
        <v>1.22599681342893</v>
      </c>
      <c r="W870" s="418" t="n">
        <f aca="false">1/2*Rho*Sref*Cx*vit_xz^2</f>
        <v>5.59182574124554</v>
      </c>
      <c r="X870" s="402"/>
      <c r="Y870" s="423" t="str">
        <f aca="false">IF(AND(pos_z&lt;=0,K869&gt;0),"Impact balistique","") &amp; IF(AND(H871&lt;0,vit_z&gt;=0),"Apogée","") &amp; IF(AND(Poussee=0,Q869&gt;0),"Fin de propulsion","") &amp; IF(AND(L871&gt;L_rampe,pos_xz&lt;=L_rampe),"Sortie de rampe","")</f>
        <v/>
      </c>
      <c r="Z870" s="424" t="str">
        <f aca="false">IF(ABS(t-T_para)&lt;pas/2,"Para","")</f>
        <v/>
      </c>
      <c r="AA870" s="425" t="str">
        <f aca="false">IF(ABS(t-T_satellite)&lt;pas/2,"Satellite","")</f>
        <v/>
      </c>
      <c r="AB870" s="413"/>
      <c r="AC870" s="421" t="e">
        <f aca="false">IF(ABS(t-ROUND(t,0))&lt;0.001,t,NA())</f>
        <v>#N/A</v>
      </c>
      <c r="AD870" s="426" t="e">
        <f aca="false">IF(ABS(t-ROUND(t,0))&lt;0.001,pos_x,NA())</f>
        <v>#N/A</v>
      </c>
      <c r="AE870" s="427" t="e">
        <f aca="false">IF(t&lt;T_para, pos_z, NA())</f>
        <v>#N/A</v>
      </c>
      <c r="AF870" s="413"/>
      <c r="AG870" s="419" t="n">
        <f aca="false">IF(AND(L869&lt;L_rampe,Poussee&lt;Poids*SIN(M869)),0,(-W869+Poussee)/m-Poids*SIN(M869)/m)</f>
        <v>5.94245848200165</v>
      </c>
      <c r="AH870" s="418" t="n">
        <f aca="false">IF(AND(L869&lt;L_rampe,Poussee&lt;Poids*SIN(M869)), g*SIN(M869), (-W869+Poussee)/m)</f>
        <v>-3.76725013141388</v>
      </c>
    </row>
    <row r="871" customFormat="false" ht="12" hidden="false" customHeight="false" outlineLevel="0" collapsed="false">
      <c r="A871" s="417" t="n">
        <f aca="false">IF(B870+0.01&lt;=T_ini+ROUNDUP(Temps_fin_propu,0), 0.01, IF(K870&gt;0, 0.1, 0.0001))</f>
        <v>0.0001</v>
      </c>
      <c r="B871" s="418" t="n">
        <f aca="false">B870+pas</f>
        <v>16.5521999999998</v>
      </c>
      <c r="C871" s="402"/>
      <c r="D871" s="419" t="n">
        <f aca="false">IF(AND(L870&lt;L_rampe,Poussee&lt;Poids*SIN(M870)),0,(-W870+Poussee)/m*COS(M870)-U870/m*SIN(M870))</f>
        <v>-0.537310781201646</v>
      </c>
      <c r="E871" s="420" t="n">
        <f aca="false">IF(AND(L870&lt;L_rampe,Poussee&lt;Poids*SIN(M870)),0,(-W870+Poussee)/m*SIN(M870)+U870/m*COS(M870)-Poids/m)</f>
        <v>-6.08119860089482</v>
      </c>
      <c r="F871" s="418" t="n">
        <f aca="false">SQRT(acc_x^2+acc_z^2)</f>
        <v>6.10488978599292</v>
      </c>
      <c r="G871" s="419" t="n">
        <f aca="false">G870+acc_x*pas</f>
        <v>10.2592144910547</v>
      </c>
      <c r="H871" s="420" t="n">
        <f aca="false">H870+acc_z*pas</f>
        <v>-71.1973438617542</v>
      </c>
      <c r="I871" s="418" t="n">
        <f aca="false">SQRT(vit_x^2+vit_z^2)</f>
        <v>71.9326994832137</v>
      </c>
      <c r="J871" s="419" t="n">
        <f aca="false">J870+0.5*(vit_x+G870)*pas*(K870&gt;=0)</f>
        <v>211.791153319536</v>
      </c>
      <c r="K871" s="420" t="n">
        <f aca="false">K870+0.5*(vit_z+H870)*pas</f>
        <v>-8.14106278758859</v>
      </c>
      <c r="L871" s="418" t="n">
        <f aca="false">SQRT(pos_x^2+pos_z^2)</f>
        <v>211.947563155915</v>
      </c>
      <c r="M871" s="419" t="n">
        <f aca="false">IF(AND(L870&gt;L_rampe,G871&gt;0),ATAN2(G871,H871),$M$4)</f>
        <v>-1.42768592577943</v>
      </c>
      <c r="N871" s="418" t="n">
        <f aca="false">DEGREES(Beta)</f>
        <v>-81.8003780173891</v>
      </c>
      <c r="O871" s="402"/>
      <c r="P871" s="421" t="n">
        <f aca="false">MATCH(t-pas/2-T_ini,CdP_t)</f>
        <v>23</v>
      </c>
      <c r="Q871" s="418" t="n">
        <f aca="false">(INDEX(CdP,2,i_P+1)-INDEX(CdP,2,i_P+0))/(INDEX(CdP,1,i_P+1)-INDEX(CdP,1,i_P+0))*(t-pas/2-T_ini-INDEX(CdP,1,i_P+0))+INDEX(CdP,2,i_P+0)</f>
        <v>0</v>
      </c>
      <c r="R871" s="419" t="n">
        <f aca="false">Poussee/(g*ISP)</f>
        <v>0</v>
      </c>
      <c r="S871" s="420" t="n">
        <f aca="false">S870-Débit*pas</f>
        <v>1.4843</v>
      </c>
      <c r="T871" s="418" t="n">
        <f aca="false">m*g</f>
        <v>14.560983</v>
      </c>
      <c r="U871" s="422" t="n">
        <f aca="false">IF(pos_xz&lt;L_rampe,Poids*COS(Beta),0)</f>
        <v>0</v>
      </c>
      <c r="V871" s="419" t="n">
        <f aca="false">Rho_moyen*(20000-Alt_rampe-pos_z)/(20000+Alt_rampe+pos_z)</f>
        <v>1.22599768630282</v>
      </c>
      <c r="W871" s="418" t="n">
        <f aca="false">1/2*Rho*Sref*Cx*vit_xz^2</f>
        <v>5.59192211239797</v>
      </c>
      <c r="X871" s="402"/>
      <c r="Y871" s="423" t="str">
        <f aca="false">IF(AND(pos_z&lt;=0,K870&gt;0),"Impact balistique","") &amp; IF(AND(H872&lt;0,vit_z&gt;=0),"Apogée","") &amp; IF(AND(Poussee=0,Q870&gt;0),"Fin de propulsion","") &amp; IF(AND(L872&gt;L_rampe,pos_xz&lt;=L_rampe),"Sortie de rampe","")</f>
        <v/>
      </c>
      <c r="Z871" s="424" t="str">
        <f aca="false">IF(ABS(t-T_para)&lt;pas/2,"Para","")</f>
        <v/>
      </c>
      <c r="AA871" s="425" t="str">
        <f aca="false">IF(ABS(t-T_satellite)&lt;pas/2,"Satellite","")</f>
        <v/>
      </c>
      <c r="AB871" s="413"/>
      <c r="AC871" s="421" t="e">
        <f aca="false">IF(ABS(t-ROUND(t,0))&lt;0.001,t,NA())</f>
        <v>#N/A</v>
      </c>
      <c r="AD871" s="426" t="e">
        <f aca="false">IF(ABS(t-ROUND(t,0))&lt;0.001,pos_x,NA())</f>
        <v>#N/A</v>
      </c>
      <c r="AE871" s="427" t="e">
        <f aca="false">IF(t&lt;T_para, pos_z, NA())</f>
        <v>#N/A</v>
      </c>
      <c r="AF871" s="413"/>
      <c r="AG871" s="419" t="n">
        <f aca="false">IF(AND(L870&lt;L_rampe,Poussee&lt;Poids*SIN(M870)),0,(-W870+Poussee)/m-Poids*SIN(M870)/m)</f>
        <v>5.9423962764918</v>
      </c>
      <c r="AH871" s="418" t="n">
        <f aca="false">IF(AND(L870&lt;L_rampe,Poussee&lt;Poids*SIN(M870)), g*SIN(M870), (-W870+Poussee)/m)</f>
        <v>-3.76731505844206</v>
      </c>
    </row>
    <row r="872" customFormat="false" ht="12" hidden="false" customHeight="false" outlineLevel="0" collapsed="false">
      <c r="A872" s="417" t="n">
        <f aca="false">IF(B871+0.01&lt;=T_ini+ROUNDUP(Temps_fin_propu,0), 0.01, IF(K871&gt;0, 0.1, 0.0001))</f>
        <v>0.0001</v>
      </c>
      <c r="B872" s="418" t="n">
        <f aca="false">B871+pas</f>
        <v>16.5522999999998</v>
      </c>
      <c r="C872" s="402"/>
      <c r="D872" s="419" t="n">
        <f aca="false">IF(AND(L871&lt;L_rampe,Poussee&lt;Poids*SIN(M871)),0,(-W871+Poussee)/m*COS(M871)-U871/m*SIN(M871))</f>
        <v>-0.537312788449153</v>
      </c>
      <c r="E872" s="420" t="n">
        <f aca="false">IF(AND(L871&lt;L_rampe,Poussee&lt;Poids*SIN(M871)),0,(-W871+Poussee)/m*SIN(M871)+U871/m*COS(M871)-Poids/m)</f>
        <v>-6.08113329252566</v>
      </c>
      <c r="F872" s="418" t="n">
        <f aca="false">SQRT(acc_x^2+acc_z^2)</f>
        <v>6.10482490773445</v>
      </c>
      <c r="G872" s="419" t="n">
        <f aca="false">G871+acc_x*pas</f>
        <v>10.2591607597759</v>
      </c>
      <c r="H872" s="420" t="n">
        <f aca="false">H871+acc_z*pas</f>
        <v>-71.1979519750835</v>
      </c>
      <c r="I872" s="418" t="n">
        <f aca="false">SQRT(vit_x^2+vit_z^2)</f>
        <v>71.9332937167569</v>
      </c>
      <c r="J872" s="419" t="n">
        <f aca="false">J871+0.5*(vit_x+G871)*pas*(K871&gt;=0)</f>
        <v>211.791153319536</v>
      </c>
      <c r="K872" s="420" t="n">
        <f aca="false">K871+0.5*(vit_z+H871)*pas</f>
        <v>-8.14818255238043</v>
      </c>
      <c r="L872" s="418" t="n">
        <f aca="false">SQRT(pos_x^2+pos_z^2)</f>
        <v>211.947836750758</v>
      </c>
      <c r="M872" s="419" t="n">
        <f aca="false">IF(AND(L871&gt;L_rampe,G872&gt;0),ATAN2(G872,H872),$M$4)</f>
        <v>-1.42768787081171</v>
      </c>
      <c r="N872" s="418" t="n">
        <f aca="false">DEGREES(Beta)</f>
        <v>-81.8004894595295</v>
      </c>
      <c r="O872" s="402"/>
      <c r="P872" s="421" t="n">
        <f aca="false">MATCH(t-pas/2-T_ini,CdP_t)</f>
        <v>23</v>
      </c>
      <c r="Q872" s="418" t="n">
        <f aca="false">(INDEX(CdP,2,i_P+1)-INDEX(CdP,2,i_P+0))/(INDEX(CdP,1,i_P+1)-INDEX(CdP,1,i_P+0))*(t-pas/2-T_ini-INDEX(CdP,1,i_P+0))+INDEX(CdP,2,i_P+0)</f>
        <v>0</v>
      </c>
      <c r="R872" s="419" t="n">
        <f aca="false">Poussee/(g*ISP)</f>
        <v>0</v>
      </c>
      <c r="S872" s="420" t="n">
        <f aca="false">S871-Débit*pas</f>
        <v>1.4843</v>
      </c>
      <c r="T872" s="418" t="n">
        <f aca="false">m*g</f>
        <v>14.560983</v>
      </c>
      <c r="U872" s="422" t="n">
        <f aca="false">IF(pos_xz&lt;L_rampe,Poids*COS(Beta),0)</f>
        <v>0</v>
      </c>
      <c r="V872" s="419" t="n">
        <f aca="false">Rho_moyen*(20000-Alt_rampe-pos_z)/(20000+Alt_rampe+pos_z)</f>
        <v>1.22599855918479</v>
      </c>
      <c r="W872" s="418" t="n">
        <f aca="false">1/2*Rho*Sref*Cx*vit_xz^2</f>
        <v>5.59201848351489</v>
      </c>
      <c r="X872" s="402"/>
      <c r="Y872" s="423" t="str">
        <f aca="false">IF(AND(pos_z&lt;=0,K871&gt;0),"Impact balistique","") &amp; IF(AND(H873&lt;0,vit_z&gt;=0),"Apogée","") &amp; IF(AND(Poussee=0,Q871&gt;0),"Fin de propulsion","") &amp; IF(AND(L873&gt;L_rampe,pos_xz&lt;=L_rampe),"Sortie de rampe","")</f>
        <v/>
      </c>
      <c r="Z872" s="424" t="str">
        <f aca="false">IF(ABS(t-T_para)&lt;pas/2,"Para","")</f>
        <v/>
      </c>
      <c r="AA872" s="425" t="str">
        <f aca="false">IF(ABS(t-T_satellite)&lt;pas/2,"Satellite","")</f>
        <v/>
      </c>
      <c r="AB872" s="413"/>
      <c r="AC872" s="421" t="e">
        <f aca="false">IF(ABS(t-ROUND(t,0))&lt;0.001,t,NA())</f>
        <v>#N/A</v>
      </c>
      <c r="AD872" s="426" t="e">
        <f aca="false">IF(ABS(t-ROUND(t,0))&lt;0.001,pos_x,NA())</f>
        <v>#N/A</v>
      </c>
      <c r="AE872" s="427" t="e">
        <f aca="false">IF(t&lt;T_para, pos_z, NA())</f>
        <v>#N/A</v>
      </c>
      <c r="AF872" s="413"/>
      <c r="AG872" s="419" t="n">
        <f aca="false">IF(AND(L871&lt;L_rampe,Poussee&lt;Poids*SIN(M871)),0,(-W871+Poussee)/m-Poids*SIN(M871)/m)</f>
        <v>5.94233407090991</v>
      </c>
      <c r="AH872" s="418" t="n">
        <f aca="false">IF(AND(L871&lt;L_rampe,Poussee&lt;Poids*SIN(M871)), g*SIN(M871), (-W871+Poussee)/m)</f>
        <v>-3.76737998544632</v>
      </c>
    </row>
    <row r="873" customFormat="false" ht="12" hidden="false" customHeight="false" outlineLevel="0" collapsed="false">
      <c r="A873" s="417" t="n">
        <f aca="false">IF(B872+0.01&lt;=T_ini+ROUNDUP(Temps_fin_propu,0), 0.01, IF(K872&gt;0, 0.1, 0.0001))</f>
        <v>0.0001</v>
      </c>
      <c r="B873" s="418" t="n">
        <f aca="false">B872+pas</f>
        <v>16.5523999999998</v>
      </c>
      <c r="C873" s="402"/>
      <c r="D873" s="419" t="n">
        <f aca="false">IF(AND(L872&lt;L_rampe,Poussee&lt;Poids*SIN(M872)),0,(-W872+Poussee)/m*COS(M872)-U872/m*SIN(M872))</f>
        <v>-0.537314795599039</v>
      </c>
      <c r="E873" s="420" t="n">
        <f aca="false">IF(AND(L872&lt;L_rampe,Poussee&lt;Poids*SIN(M872)),0,(-W872+Poussee)/m*SIN(M872)+U872/m*COS(M872)-Poids/m)</f>
        <v>-6.08106798418101</v>
      </c>
      <c r="F873" s="418" t="n">
        <f aca="false">SQRT(acc_x^2+acc_z^2)</f>
        <v>6.10476002950164</v>
      </c>
      <c r="G873" s="419" t="n">
        <f aca="false">G872+acc_x*pas</f>
        <v>10.2591070282963</v>
      </c>
      <c r="H873" s="420" t="n">
        <f aca="false">H872+acc_z*pas</f>
        <v>-71.1985600818819</v>
      </c>
      <c r="I873" s="418" t="n">
        <f aca="false">SQRT(vit_x^2+vit_z^2)</f>
        <v>71.9338879440795</v>
      </c>
      <c r="J873" s="419" t="n">
        <f aca="false">J872+0.5*(vit_x+G872)*pas*(K872&gt;=0)</f>
        <v>211.791153319536</v>
      </c>
      <c r="K873" s="420" t="n">
        <f aca="false">K872+0.5*(vit_z+H872)*pas</f>
        <v>-8.15530237798328</v>
      </c>
      <c r="L873" s="418" t="n">
        <f aca="false">SQRT(pos_x^2+pos_z^2)</f>
        <v>211.948110586756</v>
      </c>
      <c r="M873" s="419" t="n">
        <f aca="false">IF(AND(L872&gt;L_rampe,G873&gt;0),ATAN2(G873,H873),$M$4)</f>
        <v>-1.42768981580166</v>
      </c>
      <c r="N873" s="418" t="n">
        <f aca="false">DEGREES(Beta)</f>
        <v>-81.8006008992449</v>
      </c>
      <c r="O873" s="402"/>
      <c r="P873" s="421" t="n">
        <f aca="false">MATCH(t-pas/2-T_ini,CdP_t)</f>
        <v>23</v>
      </c>
      <c r="Q873" s="418" t="n">
        <f aca="false">(INDEX(CdP,2,i_P+1)-INDEX(CdP,2,i_P+0))/(INDEX(CdP,1,i_P+1)-INDEX(CdP,1,i_P+0))*(t-pas/2-T_ini-INDEX(CdP,1,i_P+0))+INDEX(CdP,2,i_P+0)</f>
        <v>0</v>
      </c>
      <c r="R873" s="419" t="n">
        <f aca="false">Poussee/(g*ISP)</f>
        <v>0</v>
      </c>
      <c r="S873" s="420" t="n">
        <f aca="false">S872-Débit*pas</f>
        <v>1.4843</v>
      </c>
      <c r="T873" s="418" t="n">
        <f aca="false">m*g</f>
        <v>14.560983</v>
      </c>
      <c r="U873" s="422" t="n">
        <f aca="false">IF(pos_xz&lt;L_rampe,Poids*COS(Beta),0)</f>
        <v>0</v>
      </c>
      <c r="V873" s="419" t="n">
        <f aca="false">Rho_moyen*(20000-Alt_rampe-pos_z)/(20000+Alt_rampe+pos_z)</f>
        <v>1.22599943207484</v>
      </c>
      <c r="W873" s="418" t="n">
        <f aca="false">1/2*Rho*Sref*Cx*vit_xz^2</f>
        <v>5.59211485459626</v>
      </c>
      <c r="X873" s="402"/>
      <c r="Y873" s="423" t="str">
        <f aca="false">IF(AND(pos_z&lt;=0,K872&gt;0),"Impact balistique","") &amp; IF(AND(H874&lt;0,vit_z&gt;=0),"Apogée","") &amp; IF(AND(Poussee=0,Q872&gt;0),"Fin de propulsion","") &amp; IF(AND(L874&gt;L_rampe,pos_xz&lt;=L_rampe),"Sortie de rampe","")</f>
        <v/>
      </c>
      <c r="Z873" s="424" t="str">
        <f aca="false">IF(ABS(t-T_para)&lt;pas/2,"Para","")</f>
        <v/>
      </c>
      <c r="AA873" s="425" t="str">
        <f aca="false">IF(ABS(t-T_satellite)&lt;pas/2,"Satellite","")</f>
        <v/>
      </c>
      <c r="AB873" s="413"/>
      <c r="AC873" s="421" t="e">
        <f aca="false">IF(ABS(t-ROUND(t,0))&lt;0.001,t,NA())</f>
        <v>#N/A</v>
      </c>
      <c r="AD873" s="426" t="e">
        <f aca="false">IF(ABS(t-ROUND(t,0))&lt;0.001,pos_x,NA())</f>
        <v>#N/A</v>
      </c>
      <c r="AE873" s="427" t="e">
        <f aca="false">IF(t&lt;T_para, pos_z, NA())</f>
        <v>#N/A</v>
      </c>
      <c r="AF873" s="413"/>
      <c r="AG873" s="419" t="n">
        <f aca="false">IF(AND(L872&lt;L_rampe,Poussee&lt;Poids*SIN(M872)),0,(-W872+Poussee)/m-Poids*SIN(M872)/m)</f>
        <v>5.942271865256</v>
      </c>
      <c r="AH873" s="418" t="n">
        <f aca="false">IF(AND(L872&lt;L_rampe,Poussee&lt;Poids*SIN(M872)), g*SIN(M872), (-W872+Poussee)/m)</f>
        <v>-3.76744491242666</v>
      </c>
    </row>
    <row r="874" customFormat="false" ht="12" hidden="false" customHeight="false" outlineLevel="0" collapsed="false">
      <c r="A874" s="417" t="n">
        <f aca="false">IF(B873+0.01&lt;=T_ini+ROUNDUP(Temps_fin_propu,0), 0.01, IF(K873&gt;0, 0.1, 0.0001))</f>
        <v>0.0001</v>
      </c>
      <c r="B874" s="418" t="n">
        <f aca="false">B873+pas</f>
        <v>16.5524999999998</v>
      </c>
      <c r="C874" s="402"/>
      <c r="D874" s="419" t="n">
        <f aca="false">IF(AND(L873&lt;L_rampe,Poussee&lt;Poids*SIN(M873)),0,(-W873+Poussee)/m*COS(M873)-U873/m*SIN(M873))</f>
        <v>-0.537316802651308</v>
      </c>
      <c r="E874" s="420" t="n">
        <f aca="false">IF(AND(L873&lt;L_rampe,Poussee&lt;Poids*SIN(M873)),0,(-W873+Poussee)/m*SIN(M873)+U873/m*COS(M873)-Poids/m)</f>
        <v>-6.08100267586089</v>
      </c>
      <c r="F874" s="418" t="n">
        <f aca="false">SQRT(acc_x^2+acc_z^2)</f>
        <v>6.10469515129451</v>
      </c>
      <c r="G874" s="419" t="n">
        <f aca="false">G873+acc_x*pas</f>
        <v>10.2590532966161</v>
      </c>
      <c r="H874" s="420" t="n">
        <f aca="false">H873+acc_z*pas</f>
        <v>-71.1991681821495</v>
      </c>
      <c r="I874" s="418" t="n">
        <f aca="false">SQRT(vit_x^2+vit_z^2)</f>
        <v>71.9344821651815</v>
      </c>
      <c r="J874" s="419" t="n">
        <f aca="false">J873+0.5*(vit_x+G873)*pas*(K873&gt;=0)</f>
        <v>211.791153319536</v>
      </c>
      <c r="K874" s="420" t="n">
        <f aca="false">K873+0.5*(vit_z+H873)*pas</f>
        <v>-8.16242226439648</v>
      </c>
      <c r="L874" s="418" t="n">
        <f aca="false">SQRT(pos_x^2+pos_z^2)</f>
        <v>211.948384663912</v>
      </c>
      <c r="M874" s="419" t="n">
        <f aca="false">IF(AND(L873&gt;L_rampe,G874&gt;0),ATAN2(G874,H874),$M$4)</f>
        <v>-1.42769176074929</v>
      </c>
      <c r="N874" s="418" t="n">
        <f aca="false">DEGREES(Beta)</f>
        <v>-81.8007123365356</v>
      </c>
      <c r="O874" s="402"/>
      <c r="P874" s="421" t="n">
        <f aca="false">MATCH(t-pas/2-T_ini,CdP_t)</f>
        <v>23</v>
      </c>
      <c r="Q874" s="418" t="n">
        <f aca="false">(INDEX(CdP,2,i_P+1)-INDEX(CdP,2,i_P+0))/(INDEX(CdP,1,i_P+1)-INDEX(CdP,1,i_P+0))*(t-pas/2-T_ini-INDEX(CdP,1,i_P+0))+INDEX(CdP,2,i_P+0)</f>
        <v>0</v>
      </c>
      <c r="R874" s="419" t="n">
        <f aca="false">Poussee/(g*ISP)</f>
        <v>0</v>
      </c>
      <c r="S874" s="420" t="n">
        <f aca="false">S873-Débit*pas</f>
        <v>1.4843</v>
      </c>
      <c r="T874" s="418" t="n">
        <f aca="false">m*g</f>
        <v>14.560983</v>
      </c>
      <c r="U874" s="422" t="n">
        <f aca="false">IF(pos_xz&lt;L_rampe,Poids*COS(Beta),0)</f>
        <v>0</v>
      </c>
      <c r="V874" s="419" t="n">
        <f aca="false">Rho_moyen*(20000-Alt_rampe-pos_z)/(20000+Alt_rampe+pos_z)</f>
        <v>1.22600030497297</v>
      </c>
      <c r="W874" s="418" t="n">
        <f aca="false">1/2*Rho*Sref*Cx*vit_xz^2</f>
        <v>5.59221122564207</v>
      </c>
      <c r="X874" s="402"/>
      <c r="Y874" s="423" t="str">
        <f aca="false">IF(AND(pos_z&lt;=0,K873&gt;0),"Impact balistique","") &amp; IF(AND(H875&lt;0,vit_z&gt;=0),"Apogée","") &amp; IF(AND(Poussee=0,Q873&gt;0),"Fin de propulsion","") &amp; IF(AND(L875&gt;L_rampe,pos_xz&lt;=L_rampe),"Sortie de rampe","")</f>
        <v/>
      </c>
      <c r="Z874" s="424" t="str">
        <f aca="false">IF(ABS(t-T_para)&lt;pas/2,"Para","")</f>
        <v/>
      </c>
      <c r="AA874" s="425" t="str">
        <f aca="false">IF(ABS(t-T_satellite)&lt;pas/2,"Satellite","")</f>
        <v/>
      </c>
      <c r="AB874" s="413"/>
      <c r="AC874" s="421" t="e">
        <f aca="false">IF(ABS(t-ROUND(t,0))&lt;0.001,t,NA())</f>
        <v>#N/A</v>
      </c>
      <c r="AD874" s="426" t="e">
        <f aca="false">IF(ABS(t-ROUND(t,0))&lt;0.001,pos_x,NA())</f>
        <v>#N/A</v>
      </c>
      <c r="AE874" s="427" t="e">
        <f aca="false">IF(t&lt;T_para, pos_z, NA())</f>
        <v>#N/A</v>
      </c>
      <c r="AF874" s="413"/>
      <c r="AG874" s="419" t="n">
        <f aca="false">IF(AND(L873&lt;L_rampe,Poussee&lt;Poids*SIN(M873)),0,(-W873+Poussee)/m-Poids*SIN(M873)/m)</f>
        <v>5.94220965953009</v>
      </c>
      <c r="AH874" s="418" t="n">
        <f aca="false">IF(AND(L873&lt;L_rampe,Poussee&lt;Poids*SIN(M873)), g*SIN(M873), (-W873+Poussee)/m)</f>
        <v>-3.76750983938305</v>
      </c>
    </row>
    <row r="875" customFormat="false" ht="12" hidden="false" customHeight="false" outlineLevel="0" collapsed="false">
      <c r="A875" s="417" t="n">
        <f aca="false">IF(B874+0.01&lt;=T_ini+ROUNDUP(Temps_fin_propu,0), 0.01, IF(K874&gt;0, 0.1, 0.0001))</f>
        <v>0.0001</v>
      </c>
      <c r="B875" s="418" t="n">
        <f aca="false">B874+pas</f>
        <v>16.5525999999998</v>
      </c>
      <c r="C875" s="402"/>
      <c r="D875" s="419" t="n">
        <f aca="false">IF(AND(L874&lt;L_rampe,Poussee&lt;Poids*SIN(M874)),0,(-W874+Poussee)/m*COS(M874)-U874/m*SIN(M874))</f>
        <v>-0.537318809605958</v>
      </c>
      <c r="E875" s="420" t="n">
        <f aca="false">IF(AND(L874&lt;L_rampe,Poussee&lt;Poids*SIN(M874)),0,(-W874+Poussee)/m*SIN(M874)+U874/m*COS(M874)-Poids/m)</f>
        <v>-6.0809373675653</v>
      </c>
      <c r="F875" s="418" t="n">
        <f aca="false">SQRT(acc_x^2+acc_z^2)</f>
        <v>6.10463027311306</v>
      </c>
      <c r="G875" s="419" t="n">
        <f aca="false">G874+acc_x*pas</f>
        <v>10.2589995647351</v>
      </c>
      <c r="H875" s="420" t="n">
        <f aca="false">H874+acc_z*pas</f>
        <v>-71.1997762758862</v>
      </c>
      <c r="I875" s="418" t="n">
        <f aca="false">SQRT(vit_x^2+vit_z^2)</f>
        <v>71.9350763800629</v>
      </c>
      <c r="J875" s="419" t="n">
        <f aca="false">J874+0.5*(vit_x+G874)*pas*(K874&gt;=0)</f>
        <v>211.791153319536</v>
      </c>
      <c r="K875" s="420" t="n">
        <f aca="false">K874+0.5*(vit_z+H874)*pas</f>
        <v>-8.16954221161938</v>
      </c>
      <c r="L875" s="418" t="n">
        <f aca="false">SQRT(pos_x^2+pos_z^2)</f>
        <v>211.948658982233</v>
      </c>
      <c r="M875" s="419" t="n">
        <f aca="false">IF(AND(L874&gt;L_rampe,G875&gt;0),ATAN2(G875,H875),$M$4)</f>
        <v>-1.4276937056546</v>
      </c>
      <c r="N875" s="418" t="n">
        <f aca="false">DEGREES(Beta)</f>
        <v>-81.8008237714016</v>
      </c>
      <c r="O875" s="402"/>
      <c r="P875" s="421" t="n">
        <f aca="false">MATCH(t-pas/2-T_ini,CdP_t)</f>
        <v>23</v>
      </c>
      <c r="Q875" s="418" t="n">
        <f aca="false">(INDEX(CdP,2,i_P+1)-INDEX(CdP,2,i_P+0))/(INDEX(CdP,1,i_P+1)-INDEX(CdP,1,i_P+0))*(t-pas/2-T_ini-INDEX(CdP,1,i_P+0))+INDEX(CdP,2,i_P+0)</f>
        <v>0</v>
      </c>
      <c r="R875" s="419" t="n">
        <f aca="false">Poussee/(g*ISP)</f>
        <v>0</v>
      </c>
      <c r="S875" s="420" t="n">
        <f aca="false">S874-Débit*pas</f>
        <v>1.4843</v>
      </c>
      <c r="T875" s="418" t="n">
        <f aca="false">m*g</f>
        <v>14.560983</v>
      </c>
      <c r="U875" s="422" t="n">
        <f aca="false">IF(pos_xz&lt;L_rampe,Poids*COS(Beta),0)</f>
        <v>0</v>
      </c>
      <c r="V875" s="419" t="n">
        <f aca="false">Rho_moyen*(20000-Alt_rampe-pos_z)/(20000+Alt_rampe+pos_z)</f>
        <v>1.22600117787917</v>
      </c>
      <c r="W875" s="418" t="n">
        <f aca="false">1/2*Rho*Sref*Cx*vit_xz^2</f>
        <v>5.59230759665228</v>
      </c>
      <c r="X875" s="402"/>
      <c r="Y875" s="423" t="str">
        <f aca="false">IF(AND(pos_z&lt;=0,K874&gt;0),"Impact balistique","") &amp; IF(AND(H876&lt;0,vit_z&gt;=0),"Apogée","") &amp; IF(AND(Poussee=0,Q874&gt;0),"Fin de propulsion","") &amp; IF(AND(L876&gt;L_rampe,pos_xz&lt;=L_rampe),"Sortie de rampe","")</f>
        <v/>
      </c>
      <c r="Z875" s="424" t="str">
        <f aca="false">IF(ABS(t-T_para)&lt;pas/2,"Para","")</f>
        <v/>
      </c>
      <c r="AA875" s="425" t="str">
        <f aca="false">IF(ABS(t-T_satellite)&lt;pas/2,"Satellite","")</f>
        <v/>
      </c>
      <c r="AB875" s="413"/>
      <c r="AC875" s="421" t="e">
        <f aca="false">IF(ABS(t-ROUND(t,0))&lt;0.001,t,NA())</f>
        <v>#N/A</v>
      </c>
      <c r="AD875" s="426" t="e">
        <f aca="false">IF(ABS(t-ROUND(t,0))&lt;0.001,pos_x,NA())</f>
        <v>#N/A</v>
      </c>
      <c r="AE875" s="427" t="e">
        <f aca="false">IF(t&lt;T_para, pos_z, NA())</f>
        <v>#N/A</v>
      </c>
      <c r="AF875" s="413"/>
      <c r="AG875" s="419" t="n">
        <f aca="false">IF(AND(L874&lt;L_rampe,Poussee&lt;Poids*SIN(M874)),0,(-W874+Poussee)/m-Poids*SIN(M874)/m)</f>
        <v>5.9421474537322</v>
      </c>
      <c r="AH875" s="418" t="n">
        <f aca="false">IF(AND(L874&lt;L_rampe,Poussee&lt;Poids*SIN(M874)), g*SIN(M874), (-W874+Poussee)/m)</f>
        <v>-3.76757476631548</v>
      </c>
    </row>
    <row r="876" customFormat="false" ht="12" hidden="false" customHeight="false" outlineLevel="0" collapsed="false">
      <c r="A876" s="417" t="n">
        <f aca="false">IF(B875+0.01&lt;=T_ini+ROUNDUP(Temps_fin_propu,0), 0.01, IF(K875&gt;0, 0.1, 0.0001))</f>
        <v>0.0001</v>
      </c>
      <c r="B876" s="418" t="n">
        <f aca="false">B875+pas</f>
        <v>16.5526999999998</v>
      </c>
      <c r="C876" s="402"/>
      <c r="D876" s="419" t="n">
        <f aca="false">IF(AND(L875&lt;L_rampe,Poussee&lt;Poids*SIN(M875)),0,(-W875+Poussee)/m*COS(M875)-U875/m*SIN(M875))</f>
        <v>-0.537320816462991</v>
      </c>
      <c r="E876" s="420" t="n">
        <f aca="false">IF(AND(L875&lt;L_rampe,Poussee&lt;Poids*SIN(M875)),0,(-W875+Poussee)/m*SIN(M875)+U875/m*COS(M875)-Poids/m)</f>
        <v>-6.08087205929428</v>
      </c>
      <c r="F876" s="418" t="n">
        <f aca="false">SQRT(acc_x^2+acc_z^2)</f>
        <v>6.10456539495731</v>
      </c>
      <c r="G876" s="419" t="n">
        <f aca="false">G875+acc_x*pas</f>
        <v>10.2589458326535</v>
      </c>
      <c r="H876" s="420" t="n">
        <f aca="false">H875+acc_z*pas</f>
        <v>-71.2003843630922</v>
      </c>
      <c r="I876" s="418" t="n">
        <f aca="false">SQRT(vit_x^2+vit_z^2)</f>
        <v>71.9356705887238</v>
      </c>
      <c r="J876" s="419" t="n">
        <f aca="false">J875+0.5*(vit_x+G875)*pas*(K875&gt;=0)</f>
        <v>211.791153319536</v>
      </c>
      <c r="K876" s="420" t="n">
        <f aca="false">K875+0.5*(vit_z+H875)*pas</f>
        <v>-8.17666221965133</v>
      </c>
      <c r="L876" s="418" t="n">
        <f aca="false">SQRT(pos_x^2+pos_z^2)</f>
        <v>211.948933541723</v>
      </c>
      <c r="M876" s="419" t="n">
        <f aca="false">IF(AND(L875&gt;L_rampe,G876&gt;0),ATAN2(G876,H876),$M$4)</f>
        <v>-1.4276956505176</v>
      </c>
      <c r="N876" s="418" t="n">
        <f aca="false">DEGREES(Beta)</f>
        <v>-81.800935203843</v>
      </c>
      <c r="O876" s="402"/>
      <c r="P876" s="421" t="n">
        <f aca="false">MATCH(t-pas/2-T_ini,CdP_t)</f>
        <v>23</v>
      </c>
      <c r="Q876" s="418" t="n">
        <f aca="false">(INDEX(CdP,2,i_P+1)-INDEX(CdP,2,i_P+0))/(INDEX(CdP,1,i_P+1)-INDEX(CdP,1,i_P+0))*(t-pas/2-T_ini-INDEX(CdP,1,i_P+0))+INDEX(CdP,2,i_P+0)</f>
        <v>0</v>
      </c>
      <c r="R876" s="419" t="n">
        <f aca="false">Poussee/(g*ISP)</f>
        <v>0</v>
      </c>
      <c r="S876" s="420" t="n">
        <f aca="false">S875-Débit*pas</f>
        <v>1.4843</v>
      </c>
      <c r="T876" s="418" t="n">
        <f aca="false">m*g</f>
        <v>14.560983</v>
      </c>
      <c r="U876" s="422" t="n">
        <f aca="false">IF(pos_xz&lt;L_rampe,Poids*COS(Beta),0)</f>
        <v>0</v>
      </c>
      <c r="V876" s="419" t="n">
        <f aca="false">Rho_moyen*(20000-Alt_rampe-pos_z)/(20000+Alt_rampe+pos_z)</f>
        <v>1.22600205079345</v>
      </c>
      <c r="W876" s="418" t="n">
        <f aca="false">1/2*Rho*Sref*Cx*vit_xz^2</f>
        <v>5.59240396762688</v>
      </c>
      <c r="X876" s="402"/>
      <c r="Y876" s="423" t="str">
        <f aca="false">IF(AND(pos_z&lt;=0,K875&gt;0),"Impact balistique","") &amp; IF(AND(H877&lt;0,vit_z&gt;=0),"Apogée","") &amp; IF(AND(Poussee=0,Q875&gt;0),"Fin de propulsion","") &amp; IF(AND(L877&gt;L_rampe,pos_xz&lt;=L_rampe),"Sortie de rampe","")</f>
        <v/>
      </c>
      <c r="Z876" s="424" t="str">
        <f aca="false">IF(ABS(t-T_para)&lt;pas/2,"Para","")</f>
        <v/>
      </c>
      <c r="AA876" s="425" t="str">
        <f aca="false">IF(ABS(t-T_satellite)&lt;pas/2,"Satellite","")</f>
        <v/>
      </c>
      <c r="AB876" s="413"/>
      <c r="AC876" s="421" t="e">
        <f aca="false">IF(ABS(t-ROUND(t,0))&lt;0.001,t,NA())</f>
        <v>#N/A</v>
      </c>
      <c r="AD876" s="426" t="e">
        <f aca="false">IF(ABS(t-ROUND(t,0))&lt;0.001,pos_x,NA())</f>
        <v>#N/A</v>
      </c>
      <c r="AE876" s="427" t="e">
        <f aca="false">IF(t&lt;T_para, pos_z, NA())</f>
        <v>#N/A</v>
      </c>
      <c r="AF876" s="413"/>
      <c r="AG876" s="419" t="n">
        <f aca="false">IF(AND(L875&lt;L_rampe,Poussee&lt;Poids*SIN(M875)),0,(-W875+Poussee)/m-Poids*SIN(M875)/m)</f>
        <v>5.94208524786235</v>
      </c>
      <c r="AH876" s="418" t="n">
        <f aca="false">IF(AND(L875&lt;L_rampe,Poussee&lt;Poids*SIN(M875)), g*SIN(M875), (-W875+Poussee)/m)</f>
        <v>-3.76763969322394</v>
      </c>
    </row>
    <row r="877" customFormat="false" ht="12" hidden="false" customHeight="false" outlineLevel="0" collapsed="false">
      <c r="A877" s="417" t="n">
        <f aca="false">IF(B876+0.01&lt;=T_ini+ROUNDUP(Temps_fin_propu,0), 0.01, IF(K876&gt;0, 0.1, 0.0001))</f>
        <v>0.0001</v>
      </c>
      <c r="B877" s="418" t="n">
        <f aca="false">B876+pas</f>
        <v>16.5527999999998</v>
      </c>
      <c r="C877" s="402"/>
      <c r="D877" s="419" t="n">
        <f aca="false">IF(AND(L876&lt;L_rampe,Poussee&lt;Poids*SIN(M876)),0,(-W876+Poussee)/m*COS(M876)-U876/m*SIN(M876))</f>
        <v>-0.537322823222408</v>
      </c>
      <c r="E877" s="420" t="n">
        <f aca="false">IF(AND(L876&lt;L_rampe,Poussee&lt;Poids*SIN(M876)),0,(-W876+Poussee)/m*SIN(M876)+U876/m*COS(M876)-Poids/m)</f>
        <v>-6.08080675104783</v>
      </c>
      <c r="F877" s="418" t="n">
        <f aca="false">SQRT(acc_x^2+acc_z^2)</f>
        <v>6.10450051682728</v>
      </c>
      <c r="G877" s="419" t="n">
        <f aca="false">G876+acc_x*pas</f>
        <v>10.2588921003711</v>
      </c>
      <c r="H877" s="420" t="n">
        <f aca="false">H876+acc_z*pas</f>
        <v>-71.2009924437673</v>
      </c>
      <c r="I877" s="418" t="n">
        <f aca="false">SQRT(vit_x^2+vit_z^2)</f>
        <v>71.936264791164</v>
      </c>
      <c r="J877" s="419" t="n">
        <f aca="false">J876+0.5*(vit_x+G876)*pas*(K876&gt;=0)</f>
        <v>211.791153319536</v>
      </c>
      <c r="K877" s="420" t="n">
        <f aca="false">K876+0.5*(vit_z+H876)*pas</f>
        <v>-8.18378228849168</v>
      </c>
      <c r="L877" s="418" t="n">
        <f aca="false">SQRT(pos_x^2+pos_z^2)</f>
        <v>211.949208342387</v>
      </c>
      <c r="M877" s="419" t="n">
        <f aca="false">IF(AND(L876&gt;L_rampe,G877&gt;0),ATAN2(G877,H877),$M$4)</f>
        <v>-1.42769759533828</v>
      </c>
      <c r="N877" s="418" t="n">
        <f aca="false">DEGREES(Beta)</f>
        <v>-81.8010466338598</v>
      </c>
      <c r="O877" s="402"/>
      <c r="P877" s="421" t="n">
        <f aca="false">MATCH(t-pas/2-T_ini,CdP_t)</f>
        <v>23</v>
      </c>
      <c r="Q877" s="418" t="n">
        <f aca="false">(INDEX(CdP,2,i_P+1)-INDEX(CdP,2,i_P+0))/(INDEX(CdP,1,i_P+1)-INDEX(CdP,1,i_P+0))*(t-pas/2-T_ini-INDEX(CdP,1,i_P+0))+INDEX(CdP,2,i_P+0)</f>
        <v>0</v>
      </c>
      <c r="R877" s="419" t="n">
        <f aca="false">Poussee/(g*ISP)</f>
        <v>0</v>
      </c>
      <c r="S877" s="420" t="n">
        <f aca="false">S876-Débit*pas</f>
        <v>1.4843</v>
      </c>
      <c r="T877" s="418" t="n">
        <f aca="false">m*g</f>
        <v>14.560983</v>
      </c>
      <c r="U877" s="422" t="n">
        <f aca="false">IF(pos_xz&lt;L_rampe,Poids*COS(Beta),0)</f>
        <v>0</v>
      </c>
      <c r="V877" s="419" t="n">
        <f aca="false">Rho_moyen*(20000-Alt_rampe-pos_z)/(20000+Alt_rampe+pos_z)</f>
        <v>1.22600292371581</v>
      </c>
      <c r="W877" s="418" t="n">
        <f aca="false">1/2*Rho*Sref*Cx*vit_xz^2</f>
        <v>5.59250033856584</v>
      </c>
      <c r="X877" s="402"/>
      <c r="Y877" s="423" t="str">
        <f aca="false">IF(AND(pos_z&lt;=0,K876&gt;0),"Impact balistique","") &amp; IF(AND(H878&lt;0,vit_z&gt;=0),"Apogée","") &amp; IF(AND(Poussee=0,Q876&gt;0),"Fin de propulsion","") &amp; IF(AND(L878&gt;L_rampe,pos_xz&lt;=L_rampe),"Sortie de rampe","")</f>
        <v/>
      </c>
      <c r="Z877" s="424" t="str">
        <f aca="false">IF(ABS(t-T_para)&lt;pas/2,"Para","")</f>
        <v/>
      </c>
      <c r="AA877" s="425" t="str">
        <f aca="false">IF(ABS(t-T_satellite)&lt;pas/2,"Satellite","")</f>
        <v/>
      </c>
      <c r="AB877" s="413"/>
      <c r="AC877" s="421" t="e">
        <f aca="false">IF(ABS(t-ROUND(t,0))&lt;0.001,t,NA())</f>
        <v>#N/A</v>
      </c>
      <c r="AD877" s="426" t="e">
        <f aca="false">IF(ABS(t-ROUND(t,0))&lt;0.001,pos_x,NA())</f>
        <v>#N/A</v>
      </c>
      <c r="AE877" s="427" t="e">
        <f aca="false">IF(t&lt;T_para, pos_z, NA())</f>
        <v>#N/A</v>
      </c>
      <c r="AF877" s="413"/>
      <c r="AG877" s="419" t="n">
        <f aca="false">IF(AND(L876&lt;L_rampe,Poussee&lt;Poids*SIN(M876)),0,(-W876+Poussee)/m-Poids*SIN(M876)/m)</f>
        <v>5.94202304192057</v>
      </c>
      <c r="AH877" s="418" t="n">
        <f aca="false">IF(AND(L876&lt;L_rampe,Poussee&lt;Poids*SIN(M876)), g*SIN(M876), (-W876+Poussee)/m)</f>
        <v>-3.76770462010839</v>
      </c>
    </row>
    <row r="878" customFormat="false" ht="12" hidden="false" customHeight="false" outlineLevel="0" collapsed="false">
      <c r="A878" s="417" t="n">
        <f aca="false">IF(B877+0.01&lt;=T_ini+ROUNDUP(Temps_fin_propu,0), 0.01, IF(K877&gt;0, 0.1, 0.0001))</f>
        <v>0.0001</v>
      </c>
      <c r="B878" s="418" t="n">
        <f aca="false">B877+pas</f>
        <v>16.5528999999998</v>
      </c>
      <c r="C878" s="402"/>
      <c r="D878" s="419" t="n">
        <f aca="false">IF(AND(L877&lt;L_rampe,Poussee&lt;Poids*SIN(M877)),0,(-W877+Poussee)/m*COS(M877)-U877/m*SIN(M877))</f>
        <v>-0.537324829884208</v>
      </c>
      <c r="E878" s="420" t="n">
        <f aca="false">IF(AND(L877&lt;L_rampe,Poussee&lt;Poids*SIN(M877)),0,(-W877+Poussee)/m*SIN(M877)+U877/m*COS(M877)-Poids/m)</f>
        <v>-6.08074144282598</v>
      </c>
      <c r="F878" s="418" t="n">
        <f aca="false">SQRT(acc_x^2+acc_z^2)</f>
        <v>6.10443563872299</v>
      </c>
      <c r="G878" s="419" t="n">
        <f aca="false">G877+acc_x*pas</f>
        <v>10.2588383678881</v>
      </c>
      <c r="H878" s="420" t="n">
        <f aca="false">H877+acc_z*pas</f>
        <v>-71.2016005179116</v>
      </c>
      <c r="I878" s="418" t="n">
        <f aca="false">SQRT(vit_x^2+vit_z^2)</f>
        <v>71.9368589873836</v>
      </c>
      <c r="J878" s="419" t="n">
        <f aca="false">J877+0.5*(vit_x+G877)*pas*(K877&gt;=0)</f>
        <v>211.791153319536</v>
      </c>
      <c r="K878" s="420" t="n">
        <f aca="false">K877+0.5*(vit_z+H877)*pas</f>
        <v>-8.19090241813976</v>
      </c>
      <c r="L878" s="418" t="n">
        <f aca="false">SQRT(pos_x^2+pos_z^2)</f>
        <v>211.949483384232</v>
      </c>
      <c r="M878" s="419" t="n">
        <f aca="false">IF(AND(L877&gt;L_rampe,G878&gt;0),ATAN2(G878,H878),$M$4)</f>
        <v>-1.42769954011664</v>
      </c>
      <c r="N878" s="418" t="n">
        <f aca="false">DEGREES(Beta)</f>
        <v>-81.8011580614523</v>
      </c>
      <c r="O878" s="402"/>
      <c r="P878" s="421" t="n">
        <f aca="false">MATCH(t-pas/2-T_ini,CdP_t)</f>
        <v>23</v>
      </c>
      <c r="Q878" s="418" t="n">
        <f aca="false">(INDEX(CdP,2,i_P+1)-INDEX(CdP,2,i_P+0))/(INDEX(CdP,1,i_P+1)-INDEX(CdP,1,i_P+0))*(t-pas/2-T_ini-INDEX(CdP,1,i_P+0))+INDEX(CdP,2,i_P+0)</f>
        <v>0</v>
      </c>
      <c r="R878" s="419" t="n">
        <f aca="false">Poussee/(g*ISP)</f>
        <v>0</v>
      </c>
      <c r="S878" s="420" t="n">
        <f aca="false">S877-Débit*pas</f>
        <v>1.4843</v>
      </c>
      <c r="T878" s="418" t="n">
        <f aca="false">m*g</f>
        <v>14.560983</v>
      </c>
      <c r="U878" s="422" t="n">
        <f aca="false">IF(pos_xz&lt;L_rampe,Poids*COS(Beta),0)</f>
        <v>0</v>
      </c>
      <c r="V878" s="419" t="n">
        <f aca="false">Rho_moyen*(20000-Alt_rampe-pos_z)/(20000+Alt_rampe+pos_z)</f>
        <v>1.22600379664624</v>
      </c>
      <c r="W878" s="418" t="n">
        <f aca="false">1/2*Rho*Sref*Cx*vit_xz^2</f>
        <v>5.59259670946914</v>
      </c>
      <c r="X878" s="402"/>
      <c r="Y878" s="423" t="str">
        <f aca="false">IF(AND(pos_z&lt;=0,K877&gt;0),"Impact balistique","") &amp; IF(AND(H879&lt;0,vit_z&gt;=0),"Apogée","") &amp; IF(AND(Poussee=0,Q877&gt;0),"Fin de propulsion","") &amp; IF(AND(L879&gt;L_rampe,pos_xz&lt;=L_rampe),"Sortie de rampe","")</f>
        <v/>
      </c>
      <c r="Z878" s="424" t="str">
        <f aca="false">IF(ABS(t-T_para)&lt;pas/2,"Para","")</f>
        <v/>
      </c>
      <c r="AA878" s="425" t="str">
        <f aca="false">IF(ABS(t-T_satellite)&lt;pas/2,"Satellite","")</f>
        <v/>
      </c>
      <c r="AB878" s="413"/>
      <c r="AC878" s="421" t="e">
        <f aca="false">IF(ABS(t-ROUND(t,0))&lt;0.001,t,NA())</f>
        <v>#N/A</v>
      </c>
      <c r="AD878" s="426" t="e">
        <f aca="false">IF(ABS(t-ROUND(t,0))&lt;0.001,pos_x,NA())</f>
        <v>#N/A</v>
      </c>
      <c r="AE878" s="427" t="e">
        <f aca="false">IF(t&lt;T_para, pos_z, NA())</f>
        <v>#N/A</v>
      </c>
      <c r="AF878" s="413"/>
      <c r="AG878" s="419" t="n">
        <f aca="false">IF(AND(L877&lt;L_rampe,Poussee&lt;Poids*SIN(M877)),0,(-W877+Poussee)/m-Poids*SIN(M877)/m)</f>
        <v>5.94196083590686</v>
      </c>
      <c r="AH878" s="418" t="n">
        <f aca="false">IF(AND(L877&lt;L_rampe,Poussee&lt;Poids*SIN(M877)), g*SIN(M877), (-W877+Poussee)/m)</f>
        <v>-3.76776954696884</v>
      </c>
    </row>
    <row r="879" customFormat="false" ht="12" hidden="false" customHeight="false" outlineLevel="0" collapsed="false">
      <c r="A879" s="417" t="n">
        <f aca="false">IF(B878+0.01&lt;=T_ini+ROUNDUP(Temps_fin_propu,0), 0.01, IF(K878&gt;0, 0.1, 0.0001))</f>
        <v>0.0001</v>
      </c>
      <c r="B879" s="418" t="n">
        <f aca="false">B878+pas</f>
        <v>16.5529999999998</v>
      </c>
      <c r="C879" s="402"/>
      <c r="D879" s="419" t="n">
        <f aca="false">IF(AND(L878&lt;L_rampe,Poussee&lt;Poids*SIN(M878)),0,(-W878+Poussee)/m*COS(M878)-U878/m*SIN(M878))</f>
        <v>-0.537326836448394</v>
      </c>
      <c r="E879" s="420" t="n">
        <f aca="false">IF(AND(L878&lt;L_rampe,Poussee&lt;Poids*SIN(M878)),0,(-W878+Poussee)/m*SIN(M878)+U878/m*COS(M878)-Poids/m)</f>
        <v>-6.08067613462873</v>
      </c>
      <c r="F879" s="418" t="n">
        <f aca="false">SQRT(acc_x^2+acc_z^2)</f>
        <v>6.10437076064446</v>
      </c>
      <c r="G879" s="419" t="n">
        <f aca="false">G878+acc_x*pas</f>
        <v>10.2587846352045</v>
      </c>
      <c r="H879" s="420" t="n">
        <f aca="false">H878+acc_z*pas</f>
        <v>-71.202208585525</v>
      </c>
      <c r="I879" s="418" t="n">
        <f aca="false">SQRT(vit_x^2+vit_z^2)</f>
        <v>71.9374531773827</v>
      </c>
      <c r="J879" s="419" t="n">
        <f aca="false">J878+0.5*(vit_x+G878)*pas*(K878&gt;=0)</f>
        <v>211.791153319536</v>
      </c>
      <c r="K879" s="420" t="n">
        <f aca="false">K878+0.5*(vit_z+H878)*pas</f>
        <v>-8.19802260859493</v>
      </c>
      <c r="L879" s="418" t="n">
        <f aca="false">SQRT(pos_x^2+pos_z^2)</f>
        <v>211.949758667261</v>
      </c>
      <c r="M879" s="419" t="n">
        <f aca="false">IF(AND(L878&gt;L_rampe,G879&gt;0),ATAN2(G879,H879),$M$4)</f>
        <v>-1.4277014848527</v>
      </c>
      <c r="N879" s="418" t="n">
        <f aca="false">DEGREES(Beta)</f>
        <v>-81.8012694866203</v>
      </c>
      <c r="O879" s="402"/>
      <c r="P879" s="421" t="n">
        <f aca="false">MATCH(t-pas/2-T_ini,CdP_t)</f>
        <v>23</v>
      </c>
      <c r="Q879" s="418" t="n">
        <f aca="false">(INDEX(CdP,2,i_P+1)-INDEX(CdP,2,i_P+0))/(INDEX(CdP,1,i_P+1)-INDEX(CdP,1,i_P+0))*(t-pas/2-T_ini-INDEX(CdP,1,i_P+0))+INDEX(CdP,2,i_P+0)</f>
        <v>0</v>
      </c>
      <c r="R879" s="419" t="n">
        <f aca="false">Poussee/(g*ISP)</f>
        <v>0</v>
      </c>
      <c r="S879" s="420" t="n">
        <f aca="false">S878-Débit*pas</f>
        <v>1.4843</v>
      </c>
      <c r="T879" s="418" t="n">
        <f aca="false">m*g</f>
        <v>14.560983</v>
      </c>
      <c r="U879" s="422" t="n">
        <f aca="false">IF(pos_xz&lt;L_rampe,Poids*COS(Beta),0)</f>
        <v>0</v>
      </c>
      <c r="V879" s="419" t="n">
        <f aca="false">Rho_moyen*(20000-Alt_rampe-pos_z)/(20000+Alt_rampe+pos_z)</f>
        <v>1.22600466958475</v>
      </c>
      <c r="W879" s="418" t="n">
        <f aca="false">1/2*Rho*Sref*Cx*vit_xz^2</f>
        <v>5.59269308033676</v>
      </c>
      <c r="X879" s="402"/>
      <c r="Y879" s="423" t="str">
        <f aca="false">IF(AND(pos_z&lt;=0,K878&gt;0),"Impact balistique","") &amp; IF(AND(H880&lt;0,vit_z&gt;=0),"Apogée","") &amp; IF(AND(Poussee=0,Q878&gt;0),"Fin de propulsion","") &amp; IF(AND(L880&gt;L_rampe,pos_xz&lt;=L_rampe),"Sortie de rampe","")</f>
        <v/>
      </c>
      <c r="Z879" s="424" t="str">
        <f aca="false">IF(ABS(t-T_para)&lt;pas/2,"Para","")</f>
        <v/>
      </c>
      <c r="AA879" s="425" t="str">
        <f aca="false">IF(ABS(t-T_satellite)&lt;pas/2,"Satellite","")</f>
        <v/>
      </c>
      <c r="AB879" s="413"/>
      <c r="AC879" s="421" t="e">
        <f aca="false">IF(ABS(t-ROUND(t,0))&lt;0.001,t,NA())</f>
        <v>#N/A</v>
      </c>
      <c r="AD879" s="426" t="e">
        <f aca="false">IF(ABS(t-ROUND(t,0))&lt;0.001,pos_x,NA())</f>
        <v>#N/A</v>
      </c>
      <c r="AE879" s="427" t="e">
        <f aca="false">IF(t&lt;T_para, pos_z, NA())</f>
        <v>#N/A</v>
      </c>
      <c r="AF879" s="413"/>
      <c r="AG879" s="419" t="n">
        <f aca="false">IF(AND(L878&lt;L_rampe,Poussee&lt;Poids*SIN(M878)),0,(-W878+Poussee)/m-Poids*SIN(M878)/m)</f>
        <v>5.94189862982127</v>
      </c>
      <c r="AH879" s="418" t="n">
        <f aca="false">IF(AND(L878&lt;L_rampe,Poussee&lt;Poids*SIN(M878)), g*SIN(M878), (-W878+Poussee)/m)</f>
        <v>-3.76783447380526</v>
      </c>
    </row>
    <row r="880" customFormat="false" ht="12" hidden="false" customHeight="false" outlineLevel="0" collapsed="false">
      <c r="A880" s="417" t="n">
        <f aca="false">IF(B879+0.01&lt;=T_ini+ROUNDUP(Temps_fin_propu,0), 0.01, IF(K879&gt;0, 0.1, 0.0001))</f>
        <v>0.0001</v>
      </c>
      <c r="B880" s="418" t="n">
        <f aca="false">B879+pas</f>
        <v>16.5530999999998</v>
      </c>
      <c r="C880" s="402"/>
      <c r="D880" s="419" t="n">
        <f aca="false">IF(AND(L879&lt;L_rampe,Poussee&lt;Poids*SIN(M879)),0,(-W879+Poussee)/m*COS(M879)-U879/m*SIN(M879))</f>
        <v>-0.537328842914965</v>
      </c>
      <c r="E880" s="420" t="n">
        <f aca="false">IF(AND(L879&lt;L_rampe,Poussee&lt;Poids*SIN(M879)),0,(-W879+Poussee)/m*SIN(M879)+U879/m*COS(M879)-Poids/m)</f>
        <v>-6.0806108264561</v>
      </c>
      <c r="F880" s="418" t="n">
        <f aca="false">SQRT(acc_x^2+acc_z^2)</f>
        <v>6.10430588259169</v>
      </c>
      <c r="G880" s="419" t="n">
        <f aca="false">G879+acc_x*pas</f>
        <v>10.2587309023202</v>
      </c>
      <c r="H880" s="420" t="n">
        <f aca="false">H879+acc_z*pas</f>
        <v>-71.2028166466077</v>
      </c>
      <c r="I880" s="418" t="n">
        <f aca="false">SQRT(vit_x^2+vit_z^2)</f>
        <v>71.938047361161</v>
      </c>
      <c r="J880" s="419" t="n">
        <f aca="false">J879+0.5*(vit_x+G879)*pas*(K879&gt;=0)</f>
        <v>211.791153319536</v>
      </c>
      <c r="K880" s="420" t="n">
        <f aca="false">K879+0.5*(vit_z+H879)*pas</f>
        <v>-8.20514285985654</v>
      </c>
      <c r="L880" s="418" t="n">
        <f aca="false">SQRT(pos_x^2+pos_z^2)</f>
        <v>211.950034191481</v>
      </c>
      <c r="M880" s="419" t="n">
        <f aca="false">IF(AND(L879&gt;L_rampe,G880&gt;0),ATAN2(G880,H880),$M$4)</f>
        <v>-1.42770342954644</v>
      </c>
      <c r="N880" s="418" t="n">
        <f aca="false">DEGREES(Beta)</f>
        <v>-81.8013809093641</v>
      </c>
      <c r="O880" s="402"/>
      <c r="P880" s="421" t="n">
        <f aca="false">MATCH(t-pas/2-T_ini,CdP_t)</f>
        <v>23</v>
      </c>
      <c r="Q880" s="418" t="n">
        <f aca="false">(INDEX(CdP,2,i_P+1)-INDEX(CdP,2,i_P+0))/(INDEX(CdP,1,i_P+1)-INDEX(CdP,1,i_P+0))*(t-pas/2-T_ini-INDEX(CdP,1,i_P+0))+INDEX(CdP,2,i_P+0)</f>
        <v>0</v>
      </c>
      <c r="R880" s="419" t="n">
        <f aca="false">Poussee/(g*ISP)</f>
        <v>0</v>
      </c>
      <c r="S880" s="420" t="n">
        <f aca="false">S879-Débit*pas</f>
        <v>1.4843</v>
      </c>
      <c r="T880" s="418" t="n">
        <f aca="false">m*g</f>
        <v>14.560983</v>
      </c>
      <c r="U880" s="422" t="n">
        <f aca="false">IF(pos_xz&lt;L_rampe,Poids*COS(Beta),0)</f>
        <v>0</v>
      </c>
      <c r="V880" s="419" t="n">
        <f aca="false">Rho_moyen*(20000-Alt_rampe-pos_z)/(20000+Alt_rampe+pos_z)</f>
        <v>1.22600554253134</v>
      </c>
      <c r="W880" s="418" t="n">
        <f aca="false">1/2*Rho*Sref*Cx*vit_xz^2</f>
        <v>5.59278945116866</v>
      </c>
      <c r="X880" s="402"/>
      <c r="Y880" s="423" t="str">
        <f aca="false">IF(AND(pos_z&lt;=0,K879&gt;0),"Impact balistique","") &amp; IF(AND(H881&lt;0,vit_z&gt;=0),"Apogée","") &amp; IF(AND(Poussee=0,Q879&gt;0),"Fin de propulsion","") &amp; IF(AND(L881&gt;L_rampe,pos_xz&lt;=L_rampe),"Sortie de rampe","")</f>
        <v/>
      </c>
      <c r="Z880" s="424" t="str">
        <f aca="false">IF(ABS(t-T_para)&lt;pas/2,"Para","")</f>
        <v/>
      </c>
      <c r="AA880" s="425" t="str">
        <f aca="false">IF(ABS(t-T_satellite)&lt;pas/2,"Satellite","")</f>
        <v/>
      </c>
      <c r="AB880" s="413"/>
      <c r="AC880" s="421" t="e">
        <f aca="false">IF(ABS(t-ROUND(t,0))&lt;0.001,t,NA())</f>
        <v>#N/A</v>
      </c>
      <c r="AD880" s="426" t="e">
        <f aca="false">IF(ABS(t-ROUND(t,0))&lt;0.001,pos_x,NA())</f>
        <v>#N/A</v>
      </c>
      <c r="AE880" s="427" t="e">
        <f aca="false">IF(t&lt;T_para, pos_z, NA())</f>
        <v>#N/A</v>
      </c>
      <c r="AF880" s="413"/>
      <c r="AG880" s="419" t="n">
        <f aca="false">IF(AND(L879&lt;L_rampe,Poussee&lt;Poids*SIN(M879)),0,(-W879+Poussee)/m-Poids*SIN(M879)/m)</f>
        <v>5.94183642366379</v>
      </c>
      <c r="AH880" s="418" t="n">
        <f aca="false">IF(AND(L879&lt;L_rampe,Poussee&lt;Poids*SIN(M879)), g*SIN(M879), (-W879+Poussee)/m)</f>
        <v>-3.76789940061764</v>
      </c>
    </row>
    <row r="881" customFormat="false" ht="12" hidden="false" customHeight="false" outlineLevel="0" collapsed="false">
      <c r="A881" s="417" t="n">
        <f aca="false">IF(B880+0.01&lt;=T_ini+ROUNDUP(Temps_fin_propu,0), 0.01, IF(K880&gt;0, 0.1, 0.0001))</f>
        <v>0.0001</v>
      </c>
      <c r="B881" s="418" t="n">
        <f aca="false">B880+pas</f>
        <v>16.5531999999998</v>
      </c>
      <c r="C881" s="402"/>
      <c r="D881" s="419" t="n">
        <f aca="false">IF(AND(L880&lt;L_rampe,Poussee&lt;Poids*SIN(M880)),0,(-W880+Poussee)/m*COS(M880)-U880/m*SIN(M880))</f>
        <v>-0.537330849283922</v>
      </c>
      <c r="E881" s="420" t="n">
        <f aca="false">IF(AND(L880&lt;L_rampe,Poussee&lt;Poids*SIN(M880)),0,(-W880+Poussee)/m*SIN(M880)+U880/m*COS(M880)-Poids/m)</f>
        <v>-6.08054551830812</v>
      </c>
      <c r="F881" s="418" t="n">
        <f aca="false">SQRT(acc_x^2+acc_z^2)</f>
        <v>6.10424100456471</v>
      </c>
      <c r="G881" s="419" t="n">
        <f aca="false">G880+acc_x*pas</f>
        <v>10.2586771692353</v>
      </c>
      <c r="H881" s="420" t="n">
        <f aca="false">H880+acc_z*pas</f>
        <v>-71.2034247011595</v>
      </c>
      <c r="I881" s="418" t="n">
        <f aca="false">SQRT(vit_x^2+vit_z^2)</f>
        <v>71.9386415387188</v>
      </c>
      <c r="J881" s="419" t="n">
        <f aca="false">J880+0.5*(vit_x+G880)*pas*(K880&gt;=0)</f>
        <v>211.791153319536</v>
      </c>
      <c r="K881" s="420" t="n">
        <f aca="false">K880+0.5*(vit_z+H880)*pas</f>
        <v>-8.21226317192393</v>
      </c>
      <c r="L881" s="418" t="n">
        <f aca="false">SQRT(pos_x^2+pos_z^2)</f>
        <v>211.950309956896</v>
      </c>
      <c r="M881" s="419" t="n">
        <f aca="false">IF(AND(L880&gt;L_rampe,G881&gt;0),ATAN2(G881,H881),$M$4)</f>
        <v>-1.42770537419787</v>
      </c>
      <c r="N881" s="418" t="n">
        <f aca="false">DEGREES(Beta)</f>
        <v>-81.8014923296837</v>
      </c>
      <c r="O881" s="402"/>
      <c r="P881" s="421" t="n">
        <f aca="false">MATCH(t-pas/2-T_ini,CdP_t)</f>
        <v>23</v>
      </c>
      <c r="Q881" s="418" t="n">
        <f aca="false">(INDEX(CdP,2,i_P+1)-INDEX(CdP,2,i_P+0))/(INDEX(CdP,1,i_P+1)-INDEX(CdP,1,i_P+0))*(t-pas/2-T_ini-INDEX(CdP,1,i_P+0))+INDEX(CdP,2,i_P+0)</f>
        <v>0</v>
      </c>
      <c r="R881" s="419" t="n">
        <f aca="false">Poussee/(g*ISP)</f>
        <v>0</v>
      </c>
      <c r="S881" s="420" t="n">
        <f aca="false">S880-Débit*pas</f>
        <v>1.4843</v>
      </c>
      <c r="T881" s="418" t="n">
        <f aca="false">m*g</f>
        <v>14.560983</v>
      </c>
      <c r="U881" s="422" t="n">
        <f aca="false">IF(pos_xz&lt;L_rampe,Poids*COS(Beta),0)</f>
        <v>0</v>
      </c>
      <c r="V881" s="419" t="n">
        <f aca="false">Rho_moyen*(20000-Alt_rampe-pos_z)/(20000+Alt_rampe+pos_z)</f>
        <v>1.226006415486</v>
      </c>
      <c r="W881" s="418" t="n">
        <f aca="false">1/2*Rho*Sref*Cx*vit_xz^2</f>
        <v>5.59288582196483</v>
      </c>
      <c r="X881" s="402"/>
      <c r="Y881" s="423" t="str">
        <f aca="false">IF(AND(pos_z&lt;=0,K880&gt;0),"Impact balistique","") &amp; IF(AND(H882&lt;0,vit_z&gt;=0),"Apogée","") &amp; IF(AND(Poussee=0,Q880&gt;0),"Fin de propulsion","") &amp; IF(AND(L882&gt;L_rampe,pos_xz&lt;=L_rampe),"Sortie de rampe","")</f>
        <v/>
      </c>
      <c r="Z881" s="424" t="str">
        <f aca="false">IF(ABS(t-T_para)&lt;pas/2,"Para","")</f>
        <v/>
      </c>
      <c r="AA881" s="425" t="str">
        <f aca="false">IF(ABS(t-T_satellite)&lt;pas/2,"Satellite","")</f>
        <v/>
      </c>
      <c r="AB881" s="413"/>
      <c r="AC881" s="421" t="e">
        <f aca="false">IF(ABS(t-ROUND(t,0))&lt;0.001,t,NA())</f>
        <v>#N/A</v>
      </c>
      <c r="AD881" s="426" t="e">
        <f aca="false">IF(ABS(t-ROUND(t,0))&lt;0.001,pos_x,NA())</f>
        <v>#N/A</v>
      </c>
      <c r="AE881" s="427" t="e">
        <f aca="false">IF(t&lt;T_para, pos_z, NA())</f>
        <v>#N/A</v>
      </c>
      <c r="AF881" s="413"/>
      <c r="AG881" s="419" t="n">
        <f aca="false">IF(AND(L880&lt;L_rampe,Poussee&lt;Poids*SIN(M880)),0,(-W880+Poussee)/m-Poids*SIN(M880)/m)</f>
        <v>5.94177421743446</v>
      </c>
      <c r="AH881" s="418" t="n">
        <f aca="false">IF(AND(L880&lt;L_rampe,Poussee&lt;Poids*SIN(M880)), g*SIN(M880), (-W880+Poussee)/m)</f>
        <v>-3.76796432740596</v>
      </c>
    </row>
    <row r="882" customFormat="false" ht="12" hidden="false" customHeight="false" outlineLevel="0" collapsed="false">
      <c r="A882" s="417" t="n">
        <f aca="false">IF(B881+0.01&lt;=T_ini+ROUNDUP(Temps_fin_propu,0), 0.01, IF(K881&gt;0, 0.1, 0.0001))</f>
        <v>0.0001</v>
      </c>
      <c r="B882" s="418" t="n">
        <f aca="false">B881+pas</f>
        <v>16.5532999999998</v>
      </c>
      <c r="C882" s="402"/>
      <c r="D882" s="419" t="n">
        <f aca="false">IF(AND(L881&lt;L_rampe,Poussee&lt;Poids*SIN(M881)),0,(-W881+Poussee)/m*COS(M881)-U881/m*SIN(M881))</f>
        <v>-0.537332855555267</v>
      </c>
      <c r="E882" s="420" t="n">
        <f aca="false">IF(AND(L881&lt;L_rampe,Poussee&lt;Poids*SIN(M881)),0,(-W881+Poussee)/m*SIN(M881)+U881/m*COS(M881)-Poids/m)</f>
        <v>-6.08048021018479</v>
      </c>
      <c r="F882" s="418" t="n">
        <f aca="false">SQRT(acc_x^2+acc_z^2)</f>
        <v>6.10417612656352</v>
      </c>
      <c r="G882" s="419" t="n">
        <f aca="false">G881+acc_x*pas</f>
        <v>10.2586234359497</v>
      </c>
      <c r="H882" s="420" t="n">
        <f aca="false">H881+acc_z*pas</f>
        <v>-71.2040327491805</v>
      </c>
      <c r="I882" s="418" t="n">
        <f aca="false">SQRT(vit_x^2+vit_z^2)</f>
        <v>71.9392357100559</v>
      </c>
      <c r="J882" s="419" t="n">
        <f aca="false">J881+0.5*(vit_x+G881)*pas*(K881&gt;=0)</f>
        <v>211.791153319536</v>
      </c>
      <c r="K882" s="420" t="n">
        <f aca="false">K881+0.5*(vit_z+H881)*pas</f>
        <v>-8.21938354479644</v>
      </c>
      <c r="L882" s="418" t="n">
        <f aca="false">SQRT(pos_x^2+pos_z^2)</f>
        <v>211.950585963511</v>
      </c>
      <c r="M882" s="419" t="n">
        <f aca="false">IF(AND(L881&gt;L_rampe,G882&gt;0),ATAN2(G882,H882),$M$4)</f>
        <v>-1.42770731880699</v>
      </c>
      <c r="N882" s="418" t="n">
        <f aca="false">DEGREES(Beta)</f>
        <v>-81.8016037475791</v>
      </c>
      <c r="O882" s="402"/>
      <c r="P882" s="421" t="n">
        <f aca="false">MATCH(t-pas/2-T_ini,CdP_t)</f>
        <v>23</v>
      </c>
      <c r="Q882" s="418" t="n">
        <f aca="false">(INDEX(CdP,2,i_P+1)-INDEX(CdP,2,i_P+0))/(INDEX(CdP,1,i_P+1)-INDEX(CdP,1,i_P+0))*(t-pas/2-T_ini-INDEX(CdP,1,i_P+0))+INDEX(CdP,2,i_P+0)</f>
        <v>0</v>
      </c>
      <c r="R882" s="419" t="n">
        <f aca="false">Poussee/(g*ISP)</f>
        <v>0</v>
      </c>
      <c r="S882" s="420" t="n">
        <f aca="false">S881-Débit*pas</f>
        <v>1.4843</v>
      </c>
      <c r="T882" s="418" t="n">
        <f aca="false">m*g</f>
        <v>14.560983</v>
      </c>
      <c r="U882" s="422" t="n">
        <f aca="false">IF(pos_xz&lt;L_rampe,Poids*COS(Beta),0)</f>
        <v>0</v>
      </c>
      <c r="V882" s="419" t="n">
        <f aca="false">Rho_moyen*(20000-Alt_rampe-pos_z)/(20000+Alt_rampe+pos_z)</f>
        <v>1.22600728844874</v>
      </c>
      <c r="W882" s="418" t="n">
        <f aca="false">1/2*Rho*Sref*Cx*vit_xz^2</f>
        <v>5.59298219272523</v>
      </c>
      <c r="X882" s="402"/>
      <c r="Y882" s="423" t="str">
        <f aca="false">IF(AND(pos_z&lt;=0,K881&gt;0),"Impact balistique","") &amp; IF(AND(H883&lt;0,vit_z&gt;=0),"Apogée","") &amp; IF(AND(Poussee=0,Q881&gt;0),"Fin de propulsion","") &amp; IF(AND(L883&gt;L_rampe,pos_xz&lt;=L_rampe),"Sortie de rampe","")</f>
        <v/>
      </c>
      <c r="Z882" s="424" t="str">
        <f aca="false">IF(ABS(t-T_para)&lt;pas/2,"Para","")</f>
        <v/>
      </c>
      <c r="AA882" s="425" t="str">
        <f aca="false">IF(ABS(t-T_satellite)&lt;pas/2,"Satellite","")</f>
        <v/>
      </c>
      <c r="AB882" s="413"/>
      <c r="AC882" s="421" t="e">
        <f aca="false">IF(ABS(t-ROUND(t,0))&lt;0.001,t,NA())</f>
        <v>#N/A</v>
      </c>
      <c r="AD882" s="426" t="e">
        <f aca="false">IF(ABS(t-ROUND(t,0))&lt;0.001,pos_x,NA())</f>
        <v>#N/A</v>
      </c>
      <c r="AE882" s="427" t="e">
        <f aca="false">IF(t&lt;T_para, pos_z, NA())</f>
        <v>#N/A</v>
      </c>
      <c r="AF882" s="413"/>
      <c r="AG882" s="419" t="n">
        <f aca="false">IF(AND(L881&lt;L_rampe,Poussee&lt;Poids*SIN(M881)),0,(-W881+Poussee)/m-Poids*SIN(M881)/m)</f>
        <v>5.9417120111333</v>
      </c>
      <c r="AH882" s="418" t="n">
        <f aca="false">IF(AND(L881&lt;L_rampe,Poussee&lt;Poids*SIN(M881)), g*SIN(M881), (-W881+Poussee)/m)</f>
        <v>-3.7680292541702</v>
      </c>
    </row>
    <row r="883" customFormat="false" ht="12" hidden="false" customHeight="false" outlineLevel="0" collapsed="false">
      <c r="A883" s="417" t="n">
        <f aca="false">IF(B882+0.01&lt;=T_ini+ROUNDUP(Temps_fin_propu,0), 0.01, IF(K882&gt;0, 0.1, 0.0001))</f>
        <v>0.0001</v>
      </c>
      <c r="B883" s="418" t="n">
        <f aca="false">B882+pas</f>
        <v>16.5533999999998</v>
      </c>
      <c r="C883" s="402"/>
      <c r="D883" s="419" t="n">
        <f aca="false">IF(AND(L882&lt;L_rampe,Poussee&lt;Poids*SIN(M882)),0,(-W882+Poussee)/m*COS(M882)-U882/m*SIN(M882))</f>
        <v>-0.537334861728999</v>
      </c>
      <c r="E883" s="420" t="n">
        <f aca="false">IF(AND(L882&lt;L_rampe,Poussee&lt;Poids*SIN(M882)),0,(-W882+Poussee)/m*SIN(M882)+U882/m*COS(M882)-Poids/m)</f>
        <v>-6.08041490208614</v>
      </c>
      <c r="F883" s="418" t="n">
        <f aca="false">SQRT(acc_x^2+acc_z^2)</f>
        <v>6.10411124858816</v>
      </c>
      <c r="G883" s="419" t="n">
        <f aca="false">G882+acc_x*pas</f>
        <v>10.2585697024636</v>
      </c>
      <c r="H883" s="420" t="n">
        <f aca="false">H882+acc_z*pas</f>
        <v>-71.2046407906707</v>
      </c>
      <c r="I883" s="418" t="n">
        <f aca="false">SQRT(vit_x^2+vit_z^2)</f>
        <v>71.9398298751724</v>
      </c>
      <c r="J883" s="419" t="n">
        <f aca="false">J882+0.5*(vit_x+G882)*pas*(K882&gt;=0)</f>
        <v>211.791153319536</v>
      </c>
      <c r="K883" s="420" t="n">
        <f aca="false">K882+0.5*(vit_z+H882)*pas</f>
        <v>-8.22650397847344</v>
      </c>
      <c r="L883" s="418" t="n">
        <f aca="false">SQRT(pos_x^2+pos_z^2)</f>
        <v>211.950862211332</v>
      </c>
      <c r="M883" s="419" t="n">
        <f aca="false">IF(AND(L882&gt;L_rampe,G883&gt;0),ATAN2(G883,H883),$M$4)</f>
        <v>-1.4277092633738</v>
      </c>
      <c r="N883" s="418" t="n">
        <f aca="false">DEGREES(Beta)</f>
        <v>-81.8017151630506</v>
      </c>
      <c r="O883" s="402"/>
      <c r="P883" s="421" t="n">
        <f aca="false">MATCH(t-pas/2-T_ini,CdP_t)</f>
        <v>23</v>
      </c>
      <c r="Q883" s="418" t="n">
        <f aca="false">(INDEX(CdP,2,i_P+1)-INDEX(CdP,2,i_P+0))/(INDEX(CdP,1,i_P+1)-INDEX(CdP,1,i_P+0))*(t-pas/2-T_ini-INDEX(CdP,1,i_P+0))+INDEX(CdP,2,i_P+0)</f>
        <v>0</v>
      </c>
      <c r="R883" s="419" t="n">
        <f aca="false">Poussee/(g*ISP)</f>
        <v>0</v>
      </c>
      <c r="S883" s="420" t="n">
        <f aca="false">S882-Débit*pas</f>
        <v>1.4843</v>
      </c>
      <c r="T883" s="418" t="n">
        <f aca="false">m*g</f>
        <v>14.560983</v>
      </c>
      <c r="U883" s="422" t="n">
        <f aca="false">IF(pos_xz&lt;L_rampe,Poids*COS(Beta),0)</f>
        <v>0</v>
      </c>
      <c r="V883" s="419" t="n">
        <f aca="false">Rho_moyen*(20000-Alt_rampe-pos_z)/(20000+Alt_rampe+pos_z)</f>
        <v>1.22600816141956</v>
      </c>
      <c r="W883" s="418" t="n">
        <f aca="false">1/2*Rho*Sref*Cx*vit_xz^2</f>
        <v>5.59307856344986</v>
      </c>
      <c r="X883" s="402"/>
      <c r="Y883" s="423" t="str">
        <f aca="false">IF(AND(pos_z&lt;=0,K882&gt;0),"Impact balistique","") &amp; IF(AND(H884&lt;0,vit_z&gt;=0),"Apogée","") &amp; IF(AND(Poussee=0,Q882&gt;0),"Fin de propulsion","") &amp; IF(AND(L884&gt;L_rampe,pos_xz&lt;=L_rampe),"Sortie de rampe","")</f>
        <v/>
      </c>
      <c r="Z883" s="424" t="str">
        <f aca="false">IF(ABS(t-T_para)&lt;pas/2,"Para","")</f>
        <v/>
      </c>
      <c r="AA883" s="425" t="str">
        <f aca="false">IF(ABS(t-T_satellite)&lt;pas/2,"Satellite","")</f>
        <v/>
      </c>
      <c r="AB883" s="413"/>
      <c r="AC883" s="421" t="e">
        <f aca="false">IF(ABS(t-ROUND(t,0))&lt;0.001,t,NA())</f>
        <v>#N/A</v>
      </c>
      <c r="AD883" s="426" t="e">
        <f aca="false">IF(ABS(t-ROUND(t,0))&lt;0.001,pos_x,NA())</f>
        <v>#N/A</v>
      </c>
      <c r="AE883" s="427" t="e">
        <f aca="false">IF(t&lt;T_para, pos_z, NA())</f>
        <v>#N/A</v>
      </c>
      <c r="AF883" s="413"/>
      <c r="AG883" s="419" t="n">
        <f aca="false">IF(AND(L882&lt;L_rampe,Poussee&lt;Poids*SIN(M882)),0,(-W882+Poussee)/m-Poids*SIN(M882)/m)</f>
        <v>5.94164980476032</v>
      </c>
      <c r="AH883" s="418" t="n">
        <f aca="false">IF(AND(L882&lt;L_rampe,Poussee&lt;Poids*SIN(M882)), g*SIN(M882), (-W882+Poussee)/m)</f>
        <v>-3.76809418091036</v>
      </c>
    </row>
    <row r="884" customFormat="false" ht="12" hidden="false" customHeight="false" outlineLevel="0" collapsed="false">
      <c r="A884" s="417" t="n">
        <f aca="false">IF(B883+0.01&lt;=T_ini+ROUNDUP(Temps_fin_propu,0), 0.01, IF(K883&gt;0, 0.1, 0.0001))</f>
        <v>0.0001</v>
      </c>
      <c r="B884" s="418" t="n">
        <f aca="false">B883+pas</f>
        <v>16.5534999999998</v>
      </c>
      <c r="C884" s="402"/>
      <c r="D884" s="419" t="n">
        <f aca="false">IF(AND(L883&lt;L_rampe,Poussee&lt;Poids*SIN(M883)),0,(-W883+Poussee)/m*COS(M883)-U883/m*SIN(M883))</f>
        <v>-0.537336867805119</v>
      </c>
      <c r="E884" s="420" t="n">
        <f aca="false">IF(AND(L883&lt;L_rampe,Poussee&lt;Poids*SIN(M883)),0,(-W883+Poussee)/m*SIN(M883)+U883/m*COS(M883)-Poids/m)</f>
        <v>-6.08034959401217</v>
      </c>
      <c r="F884" s="418" t="n">
        <f aca="false">SQRT(acc_x^2+acc_z^2)</f>
        <v>6.10404637063863</v>
      </c>
      <c r="G884" s="419" t="n">
        <f aca="false">G883+acc_x*pas</f>
        <v>10.2585159687768</v>
      </c>
      <c r="H884" s="420" t="n">
        <f aca="false">H883+acc_z*pas</f>
        <v>-71.2052488256301</v>
      </c>
      <c r="I884" s="418" t="n">
        <f aca="false">SQRT(vit_x^2+vit_z^2)</f>
        <v>71.9404240340683</v>
      </c>
      <c r="J884" s="419" t="n">
        <f aca="false">J883+0.5*(vit_x+G883)*pas*(K883&gt;=0)</f>
        <v>211.791153319536</v>
      </c>
      <c r="K884" s="420" t="n">
        <f aca="false">K883+0.5*(vit_z+H883)*pas</f>
        <v>-8.23362447295425</v>
      </c>
      <c r="L884" s="418" t="n">
        <f aca="false">SQRT(pos_x^2+pos_z^2)</f>
        <v>211.951138700364</v>
      </c>
      <c r="M884" s="419" t="n">
        <f aca="false">IF(AND(L883&gt;L_rampe,G884&gt;0),ATAN2(G884,H884),$M$4)</f>
        <v>-1.42771120789831</v>
      </c>
      <c r="N884" s="418" t="n">
        <f aca="false">DEGREES(Beta)</f>
        <v>-81.801826576098</v>
      </c>
      <c r="O884" s="402"/>
      <c r="P884" s="421" t="n">
        <f aca="false">MATCH(t-pas/2-T_ini,CdP_t)</f>
        <v>23</v>
      </c>
      <c r="Q884" s="418" t="n">
        <f aca="false">(INDEX(CdP,2,i_P+1)-INDEX(CdP,2,i_P+0))/(INDEX(CdP,1,i_P+1)-INDEX(CdP,1,i_P+0))*(t-pas/2-T_ini-INDEX(CdP,1,i_P+0))+INDEX(CdP,2,i_P+0)</f>
        <v>0</v>
      </c>
      <c r="R884" s="419" t="n">
        <f aca="false">Poussee/(g*ISP)</f>
        <v>0</v>
      </c>
      <c r="S884" s="420" t="n">
        <f aca="false">S883-Débit*pas</f>
        <v>1.4843</v>
      </c>
      <c r="T884" s="418" t="n">
        <f aca="false">m*g</f>
        <v>14.560983</v>
      </c>
      <c r="U884" s="422" t="n">
        <f aca="false">IF(pos_xz&lt;L_rampe,Poids*COS(Beta),0)</f>
        <v>0</v>
      </c>
      <c r="V884" s="419" t="n">
        <f aca="false">Rho_moyen*(20000-Alt_rampe-pos_z)/(20000+Alt_rampe+pos_z)</f>
        <v>1.22600903439845</v>
      </c>
      <c r="W884" s="418" t="n">
        <f aca="false">1/2*Rho*Sref*Cx*vit_xz^2</f>
        <v>5.59317493413868</v>
      </c>
      <c r="X884" s="402"/>
      <c r="Y884" s="423" t="str">
        <f aca="false">IF(AND(pos_z&lt;=0,K883&gt;0),"Impact balistique","") &amp; IF(AND(H885&lt;0,vit_z&gt;=0),"Apogée","") &amp; IF(AND(Poussee=0,Q883&gt;0),"Fin de propulsion","") &amp; IF(AND(L885&gt;L_rampe,pos_xz&lt;=L_rampe),"Sortie de rampe","")</f>
        <v/>
      </c>
      <c r="Z884" s="424" t="str">
        <f aca="false">IF(ABS(t-T_para)&lt;pas/2,"Para","")</f>
        <v/>
      </c>
      <c r="AA884" s="425" t="str">
        <f aca="false">IF(ABS(t-T_satellite)&lt;pas/2,"Satellite","")</f>
        <v/>
      </c>
      <c r="AB884" s="413"/>
      <c r="AC884" s="421" t="e">
        <f aca="false">IF(ABS(t-ROUND(t,0))&lt;0.001,t,NA())</f>
        <v>#N/A</v>
      </c>
      <c r="AD884" s="426" t="e">
        <f aca="false">IF(ABS(t-ROUND(t,0))&lt;0.001,pos_x,NA())</f>
        <v>#N/A</v>
      </c>
      <c r="AE884" s="427" t="e">
        <f aca="false">IF(t&lt;T_para, pos_z, NA())</f>
        <v>#N/A</v>
      </c>
      <c r="AF884" s="413"/>
      <c r="AG884" s="419" t="n">
        <f aca="false">IF(AND(L883&lt;L_rampe,Poussee&lt;Poids*SIN(M883)),0,(-W883+Poussee)/m-Poids*SIN(M883)/m)</f>
        <v>5.94158759831555</v>
      </c>
      <c r="AH884" s="418" t="n">
        <f aca="false">IF(AND(L883&lt;L_rampe,Poussee&lt;Poids*SIN(M883)), g*SIN(M883), (-W883+Poussee)/m)</f>
        <v>-3.7681591076264</v>
      </c>
    </row>
    <row r="885" customFormat="false" ht="12" hidden="false" customHeight="false" outlineLevel="0" collapsed="false">
      <c r="A885" s="417" t="n">
        <f aca="false">IF(B884+0.01&lt;=T_ini+ROUNDUP(Temps_fin_propu,0), 0.01, IF(K884&gt;0, 0.1, 0.0001))</f>
        <v>0.0001</v>
      </c>
      <c r="B885" s="418" t="n">
        <f aca="false">B884+pas</f>
        <v>16.5535999999998</v>
      </c>
      <c r="C885" s="402"/>
      <c r="D885" s="419" t="n">
        <f aca="false">IF(AND(L884&lt;L_rampe,Poussee&lt;Poids*SIN(M884)),0,(-W884+Poussee)/m*COS(M884)-U884/m*SIN(M884))</f>
        <v>-0.537338873783629</v>
      </c>
      <c r="E885" s="420" t="n">
        <f aca="false">IF(AND(L884&lt;L_rampe,Poussee&lt;Poids*SIN(M884)),0,(-W884+Poussee)/m*SIN(M884)+U884/m*COS(M884)-Poids/m)</f>
        <v>-6.08028428596291</v>
      </c>
      <c r="F885" s="418" t="n">
        <f aca="false">SQRT(acc_x^2+acc_z^2)</f>
        <v>6.10398149271494</v>
      </c>
      <c r="G885" s="419" t="n">
        <f aca="false">G884+acc_x*pas</f>
        <v>10.2584622348894</v>
      </c>
      <c r="H885" s="420" t="n">
        <f aca="false">H884+acc_z*pas</f>
        <v>-71.2058568540587</v>
      </c>
      <c r="I885" s="418" t="n">
        <f aca="false">SQRT(vit_x^2+vit_z^2)</f>
        <v>71.9410181867435</v>
      </c>
      <c r="J885" s="419" t="n">
        <f aca="false">J884+0.5*(vit_x+G884)*pas*(K884&gt;=0)</f>
        <v>211.791153319536</v>
      </c>
      <c r="K885" s="420" t="n">
        <f aca="false">K884+0.5*(vit_z+H884)*pas</f>
        <v>-8.24074502823824</v>
      </c>
      <c r="L885" s="418" t="n">
        <f aca="false">SQRT(pos_x^2+pos_z^2)</f>
        <v>211.951415430612</v>
      </c>
      <c r="M885" s="419" t="n">
        <f aca="false">IF(AND(L884&gt;L_rampe,G885&gt;0),ATAN2(G885,H885),$M$4)</f>
        <v>-1.42771315238051</v>
      </c>
      <c r="N885" s="418" t="n">
        <f aca="false">DEGREES(Beta)</f>
        <v>-81.8019379867217</v>
      </c>
      <c r="O885" s="402"/>
      <c r="P885" s="421" t="n">
        <f aca="false">MATCH(t-pas/2-T_ini,CdP_t)</f>
        <v>23</v>
      </c>
      <c r="Q885" s="418" t="n">
        <f aca="false">(INDEX(CdP,2,i_P+1)-INDEX(CdP,2,i_P+0))/(INDEX(CdP,1,i_P+1)-INDEX(CdP,1,i_P+0))*(t-pas/2-T_ini-INDEX(CdP,1,i_P+0))+INDEX(CdP,2,i_P+0)</f>
        <v>0</v>
      </c>
      <c r="R885" s="419" t="n">
        <f aca="false">Poussee/(g*ISP)</f>
        <v>0</v>
      </c>
      <c r="S885" s="420" t="n">
        <f aca="false">S884-Débit*pas</f>
        <v>1.4843</v>
      </c>
      <c r="T885" s="418" t="n">
        <f aca="false">m*g</f>
        <v>14.560983</v>
      </c>
      <c r="U885" s="422" t="n">
        <f aca="false">IF(pos_xz&lt;L_rampe,Poids*COS(Beta),0)</f>
        <v>0</v>
      </c>
      <c r="V885" s="419" t="n">
        <f aca="false">Rho_moyen*(20000-Alt_rampe-pos_z)/(20000+Alt_rampe+pos_z)</f>
        <v>1.22600990738542</v>
      </c>
      <c r="W885" s="418" t="n">
        <f aca="false">1/2*Rho*Sref*Cx*vit_xz^2</f>
        <v>5.59327130479167</v>
      </c>
      <c r="X885" s="402"/>
      <c r="Y885" s="423" t="str">
        <f aca="false">IF(AND(pos_z&lt;=0,K884&gt;0),"Impact balistique","") &amp; IF(AND(H886&lt;0,vit_z&gt;=0),"Apogée","") &amp; IF(AND(Poussee=0,Q884&gt;0),"Fin de propulsion","") &amp; IF(AND(L886&gt;L_rampe,pos_xz&lt;=L_rampe),"Sortie de rampe","")</f>
        <v/>
      </c>
      <c r="Z885" s="424" t="str">
        <f aca="false">IF(ABS(t-T_para)&lt;pas/2,"Para","")</f>
        <v/>
      </c>
      <c r="AA885" s="425" t="str">
        <f aca="false">IF(ABS(t-T_satellite)&lt;pas/2,"Satellite","")</f>
        <v/>
      </c>
      <c r="AB885" s="413"/>
      <c r="AC885" s="421" t="e">
        <f aca="false">IF(ABS(t-ROUND(t,0))&lt;0.001,t,NA())</f>
        <v>#N/A</v>
      </c>
      <c r="AD885" s="426" t="e">
        <f aca="false">IF(ABS(t-ROUND(t,0))&lt;0.001,pos_x,NA())</f>
        <v>#N/A</v>
      </c>
      <c r="AE885" s="427" t="e">
        <f aca="false">IF(t&lt;T_para, pos_z, NA())</f>
        <v>#N/A</v>
      </c>
      <c r="AF885" s="413"/>
      <c r="AG885" s="419" t="n">
        <f aca="false">IF(AND(L884&lt;L_rampe,Poussee&lt;Poids*SIN(M884)),0,(-W884+Poussee)/m-Poids*SIN(M884)/m)</f>
        <v>5.941525391799</v>
      </c>
      <c r="AH885" s="418" t="n">
        <f aca="false">IF(AND(L884&lt;L_rampe,Poussee&lt;Poids*SIN(M884)), g*SIN(M884), (-W884+Poussee)/m)</f>
        <v>-3.76822403431832</v>
      </c>
    </row>
    <row r="886" customFormat="false" ht="12" hidden="false" customHeight="false" outlineLevel="0" collapsed="false">
      <c r="A886" s="417" t="n">
        <f aca="false">IF(B885+0.01&lt;=T_ini+ROUNDUP(Temps_fin_propu,0), 0.01, IF(K885&gt;0, 0.1, 0.0001))</f>
        <v>0.0001</v>
      </c>
      <c r="B886" s="418" t="n">
        <f aca="false">B885+pas</f>
        <v>16.5536999999998</v>
      </c>
      <c r="C886" s="402"/>
      <c r="D886" s="419" t="n">
        <f aca="false">IF(AND(L885&lt;L_rampe,Poussee&lt;Poids*SIN(M885)),0,(-W885+Poussee)/m*COS(M885)-U885/m*SIN(M885))</f>
        <v>-0.537340879664528</v>
      </c>
      <c r="E886" s="420" t="n">
        <f aca="false">IF(AND(L885&lt;L_rampe,Poussee&lt;Poids*SIN(M885)),0,(-W885+Poussee)/m*SIN(M885)+U885/m*COS(M885)-Poids/m)</f>
        <v>-6.08021897793837</v>
      </c>
      <c r="F886" s="418" t="n">
        <f aca="false">SQRT(acc_x^2+acc_z^2)</f>
        <v>6.10391661481713</v>
      </c>
      <c r="G886" s="419" t="n">
        <f aca="false">G885+acc_x*pas</f>
        <v>10.2584085008014</v>
      </c>
      <c r="H886" s="420" t="n">
        <f aca="false">H885+acc_z*pas</f>
        <v>-71.2064648759565</v>
      </c>
      <c r="I886" s="418" t="n">
        <f aca="false">SQRT(vit_x^2+vit_z^2)</f>
        <v>71.941612333198</v>
      </c>
      <c r="J886" s="419" t="n">
        <f aca="false">J885+0.5*(vit_x+G885)*pas*(K885&gt;=0)</f>
        <v>211.791153319536</v>
      </c>
      <c r="K886" s="420" t="n">
        <f aca="false">K885+0.5*(vit_z+H885)*pas</f>
        <v>-8.24786564432474</v>
      </c>
      <c r="L886" s="418" t="n">
        <f aca="false">SQRT(pos_x^2+pos_z^2)</f>
        <v>211.95169240208</v>
      </c>
      <c r="M886" s="419" t="n">
        <f aca="false">IF(AND(L885&gt;L_rampe,G886&gt;0),ATAN2(G886,H886),$M$4)</f>
        <v>-1.42771509682041</v>
      </c>
      <c r="N886" s="418" t="n">
        <f aca="false">DEGREES(Beta)</f>
        <v>-81.8020493949215</v>
      </c>
      <c r="O886" s="402"/>
      <c r="P886" s="421" t="n">
        <f aca="false">MATCH(t-pas/2-T_ini,CdP_t)</f>
        <v>23</v>
      </c>
      <c r="Q886" s="418" t="n">
        <f aca="false">(INDEX(CdP,2,i_P+1)-INDEX(CdP,2,i_P+0))/(INDEX(CdP,1,i_P+1)-INDEX(CdP,1,i_P+0))*(t-pas/2-T_ini-INDEX(CdP,1,i_P+0))+INDEX(CdP,2,i_P+0)</f>
        <v>0</v>
      </c>
      <c r="R886" s="419" t="n">
        <f aca="false">Poussee/(g*ISP)</f>
        <v>0</v>
      </c>
      <c r="S886" s="420" t="n">
        <f aca="false">S885-Débit*pas</f>
        <v>1.4843</v>
      </c>
      <c r="T886" s="418" t="n">
        <f aca="false">m*g</f>
        <v>14.560983</v>
      </c>
      <c r="U886" s="422" t="n">
        <f aca="false">IF(pos_xz&lt;L_rampe,Poids*COS(Beta),0)</f>
        <v>0</v>
      </c>
      <c r="V886" s="419" t="n">
        <f aca="false">Rho_moyen*(20000-Alt_rampe-pos_z)/(20000+Alt_rampe+pos_z)</f>
        <v>1.22601078038047</v>
      </c>
      <c r="W886" s="418" t="n">
        <f aca="false">1/2*Rho*Sref*Cx*vit_xz^2</f>
        <v>5.5933676754088</v>
      </c>
      <c r="X886" s="402"/>
      <c r="Y886" s="423" t="str">
        <f aca="false">IF(AND(pos_z&lt;=0,K885&gt;0),"Impact balistique","") &amp; IF(AND(H887&lt;0,vit_z&gt;=0),"Apogée","") &amp; IF(AND(Poussee=0,Q885&gt;0),"Fin de propulsion","") &amp; IF(AND(L887&gt;L_rampe,pos_xz&lt;=L_rampe),"Sortie de rampe","")</f>
        <v/>
      </c>
      <c r="Z886" s="424" t="str">
        <f aca="false">IF(ABS(t-T_para)&lt;pas/2,"Para","")</f>
        <v/>
      </c>
      <c r="AA886" s="425" t="str">
        <f aca="false">IF(ABS(t-T_satellite)&lt;pas/2,"Satellite","")</f>
        <v/>
      </c>
      <c r="AB886" s="413"/>
      <c r="AC886" s="421" t="e">
        <f aca="false">IF(ABS(t-ROUND(t,0))&lt;0.001,t,NA())</f>
        <v>#N/A</v>
      </c>
      <c r="AD886" s="426" t="e">
        <f aca="false">IF(ABS(t-ROUND(t,0))&lt;0.001,pos_x,NA())</f>
        <v>#N/A</v>
      </c>
      <c r="AE886" s="427" t="e">
        <f aca="false">IF(t&lt;T_para, pos_z, NA())</f>
        <v>#N/A</v>
      </c>
      <c r="AF886" s="413"/>
      <c r="AG886" s="419" t="n">
        <f aca="false">IF(AND(L885&lt;L_rampe,Poussee&lt;Poids*SIN(M885)),0,(-W885+Poussee)/m-Poids*SIN(M885)/m)</f>
        <v>5.9414631852107</v>
      </c>
      <c r="AH886" s="418" t="n">
        <f aca="false">IF(AND(L885&lt;L_rampe,Poussee&lt;Poids*SIN(M885)), g*SIN(M885), (-W885+Poussee)/m)</f>
        <v>-3.76828896098611</v>
      </c>
    </row>
    <row r="887" customFormat="false" ht="12" hidden="false" customHeight="false" outlineLevel="0" collapsed="false">
      <c r="A887" s="417" t="n">
        <f aca="false">IF(B886+0.01&lt;=T_ini+ROUNDUP(Temps_fin_propu,0), 0.01, IF(K886&gt;0, 0.1, 0.0001))</f>
        <v>0.0001</v>
      </c>
      <c r="B887" s="418" t="n">
        <f aca="false">B886+pas</f>
        <v>16.5537999999998</v>
      </c>
      <c r="C887" s="402"/>
      <c r="D887" s="419" t="n">
        <f aca="false">IF(AND(L886&lt;L_rampe,Poussee&lt;Poids*SIN(M886)),0,(-W886+Poussee)/m*COS(M886)-U886/m*SIN(M886))</f>
        <v>-0.537342885447818</v>
      </c>
      <c r="E887" s="420" t="n">
        <f aca="false">IF(AND(L886&lt;L_rampe,Poussee&lt;Poids*SIN(M886)),0,(-W886+Poussee)/m*SIN(M886)+U886/m*COS(M886)-Poids/m)</f>
        <v>-6.08015366993857</v>
      </c>
      <c r="F887" s="418" t="n">
        <f aca="false">SQRT(acc_x^2+acc_z^2)</f>
        <v>6.10385173694519</v>
      </c>
      <c r="G887" s="419" t="n">
        <f aca="false">G886+acc_x*pas</f>
        <v>10.2583547665129</v>
      </c>
      <c r="H887" s="420" t="n">
        <f aca="false">H886+acc_z*pas</f>
        <v>-71.2070728913235</v>
      </c>
      <c r="I887" s="418" t="n">
        <f aca="false">SQRT(vit_x^2+vit_z^2)</f>
        <v>71.9422064734318</v>
      </c>
      <c r="J887" s="419" t="n">
        <f aca="false">J886+0.5*(vit_x+G886)*pas*(K886&gt;=0)</f>
        <v>211.791153319536</v>
      </c>
      <c r="K887" s="420" t="n">
        <f aca="false">K886+0.5*(vit_z+H886)*pas</f>
        <v>-8.2549863212131</v>
      </c>
      <c r="L887" s="418" t="n">
        <f aca="false">SQRT(pos_x^2+pos_z^2)</f>
        <v>211.951969614775</v>
      </c>
      <c r="M887" s="419" t="n">
        <f aca="false">IF(AND(L886&gt;L_rampe,G887&gt;0),ATAN2(G887,H887),$M$4)</f>
        <v>-1.42771704121801</v>
      </c>
      <c r="N887" s="418" t="n">
        <f aca="false">DEGREES(Beta)</f>
        <v>-81.8021608006976</v>
      </c>
      <c r="O887" s="402"/>
      <c r="P887" s="421" t="n">
        <f aca="false">MATCH(t-pas/2-T_ini,CdP_t)</f>
        <v>23</v>
      </c>
      <c r="Q887" s="418" t="n">
        <f aca="false">(INDEX(CdP,2,i_P+1)-INDEX(CdP,2,i_P+0))/(INDEX(CdP,1,i_P+1)-INDEX(CdP,1,i_P+0))*(t-pas/2-T_ini-INDEX(CdP,1,i_P+0))+INDEX(CdP,2,i_P+0)</f>
        <v>0</v>
      </c>
      <c r="R887" s="419" t="n">
        <f aca="false">Poussee/(g*ISP)</f>
        <v>0</v>
      </c>
      <c r="S887" s="420" t="n">
        <f aca="false">S886-Débit*pas</f>
        <v>1.4843</v>
      </c>
      <c r="T887" s="418" t="n">
        <f aca="false">m*g</f>
        <v>14.560983</v>
      </c>
      <c r="U887" s="422" t="n">
        <f aca="false">IF(pos_xz&lt;L_rampe,Poids*COS(Beta),0)</f>
        <v>0</v>
      </c>
      <c r="V887" s="419" t="n">
        <f aca="false">Rho_moyen*(20000-Alt_rampe-pos_z)/(20000+Alt_rampe+pos_z)</f>
        <v>1.22601165338359</v>
      </c>
      <c r="W887" s="418" t="n">
        <f aca="false">1/2*Rho*Sref*Cx*vit_xz^2</f>
        <v>5.59346404599006</v>
      </c>
      <c r="X887" s="402"/>
      <c r="Y887" s="423" t="str">
        <f aca="false">IF(AND(pos_z&lt;=0,K886&gt;0),"Impact balistique","") &amp; IF(AND(H888&lt;0,vit_z&gt;=0),"Apogée","") &amp; IF(AND(Poussee=0,Q886&gt;0),"Fin de propulsion","") &amp; IF(AND(L888&gt;L_rampe,pos_xz&lt;=L_rampe),"Sortie de rampe","")</f>
        <v/>
      </c>
      <c r="Z887" s="424" t="str">
        <f aca="false">IF(ABS(t-T_para)&lt;pas/2,"Para","")</f>
        <v/>
      </c>
      <c r="AA887" s="425" t="str">
        <f aca="false">IF(ABS(t-T_satellite)&lt;pas/2,"Satellite","")</f>
        <v/>
      </c>
      <c r="AB887" s="413"/>
      <c r="AC887" s="421" t="e">
        <f aca="false">IF(ABS(t-ROUND(t,0))&lt;0.001,t,NA())</f>
        <v>#N/A</v>
      </c>
      <c r="AD887" s="426" t="e">
        <f aca="false">IF(ABS(t-ROUND(t,0))&lt;0.001,pos_x,NA())</f>
        <v>#N/A</v>
      </c>
      <c r="AE887" s="427" t="e">
        <f aca="false">IF(t&lt;T_para, pos_z, NA())</f>
        <v>#N/A</v>
      </c>
      <c r="AF887" s="413"/>
      <c r="AG887" s="419" t="n">
        <f aca="false">IF(AND(L886&lt;L_rampe,Poussee&lt;Poids*SIN(M886)),0,(-W886+Poussee)/m-Poids*SIN(M886)/m)</f>
        <v>5.94140097855068</v>
      </c>
      <c r="AH887" s="418" t="n">
        <f aca="false">IF(AND(L886&lt;L_rampe,Poussee&lt;Poids*SIN(M886)), g*SIN(M886), (-W886+Poussee)/m)</f>
        <v>-3.76835388762973</v>
      </c>
    </row>
    <row r="888" customFormat="false" ht="12" hidden="false" customHeight="false" outlineLevel="0" collapsed="false">
      <c r="A888" s="417" t="n">
        <f aca="false">IF(B887+0.01&lt;=T_ini+ROUNDUP(Temps_fin_propu,0), 0.01, IF(K887&gt;0, 0.1, 0.0001))</f>
        <v>0.0001</v>
      </c>
      <c r="B888" s="418" t="n">
        <f aca="false">B887+pas</f>
        <v>16.5538999999998</v>
      </c>
      <c r="C888" s="402"/>
      <c r="D888" s="419" t="n">
        <f aca="false">IF(AND(L887&lt;L_rampe,Poussee&lt;Poids*SIN(M887)),0,(-W887+Poussee)/m*COS(M887)-U887/m*SIN(M887))</f>
        <v>-0.537344891133499</v>
      </c>
      <c r="E888" s="420" t="n">
        <f aca="false">IF(AND(L887&lt;L_rampe,Poussee&lt;Poids*SIN(M887)),0,(-W887+Poussee)/m*SIN(M887)+U887/m*COS(M887)-Poids/m)</f>
        <v>-6.08008836196352</v>
      </c>
      <c r="F888" s="418" t="n">
        <f aca="false">SQRT(acc_x^2+acc_z^2)</f>
        <v>6.10378685909916</v>
      </c>
      <c r="G888" s="419" t="n">
        <f aca="false">G887+acc_x*pas</f>
        <v>10.2583010320238</v>
      </c>
      <c r="H888" s="420" t="n">
        <f aca="false">H887+acc_z*pas</f>
        <v>-71.2076809001597</v>
      </c>
      <c r="I888" s="418" t="n">
        <f aca="false">SQRT(vit_x^2+vit_z^2)</f>
        <v>71.942800607445</v>
      </c>
      <c r="J888" s="419" t="n">
        <f aca="false">J887+0.5*(vit_x+G887)*pas*(K887&gt;=0)</f>
        <v>211.791153319536</v>
      </c>
      <c r="K888" s="420" t="n">
        <f aca="false">K887+0.5*(vit_z+H887)*pas</f>
        <v>-8.26210705890268</v>
      </c>
      <c r="L888" s="418" t="n">
        <f aca="false">SQRT(pos_x^2+pos_z^2)</f>
        <v>211.952247068702</v>
      </c>
      <c r="M888" s="419" t="n">
        <f aca="false">IF(AND(L887&gt;L_rampe,G888&gt;0),ATAN2(G888,H888),$M$4)</f>
        <v>-1.42771898557331</v>
      </c>
      <c r="N888" s="418" t="n">
        <f aca="false">DEGREES(Beta)</f>
        <v>-81.8022722040501</v>
      </c>
      <c r="O888" s="402"/>
      <c r="P888" s="421" t="n">
        <f aca="false">MATCH(t-pas/2-T_ini,CdP_t)</f>
        <v>23</v>
      </c>
      <c r="Q888" s="418" t="n">
        <f aca="false">(INDEX(CdP,2,i_P+1)-INDEX(CdP,2,i_P+0))/(INDEX(CdP,1,i_P+1)-INDEX(CdP,1,i_P+0))*(t-pas/2-T_ini-INDEX(CdP,1,i_P+0))+INDEX(CdP,2,i_P+0)</f>
        <v>0</v>
      </c>
      <c r="R888" s="419" t="n">
        <f aca="false">Poussee/(g*ISP)</f>
        <v>0</v>
      </c>
      <c r="S888" s="420" t="n">
        <f aca="false">S887-Débit*pas</f>
        <v>1.4843</v>
      </c>
      <c r="T888" s="418" t="n">
        <f aca="false">m*g</f>
        <v>14.560983</v>
      </c>
      <c r="U888" s="422" t="n">
        <f aca="false">IF(pos_xz&lt;L_rampe,Poids*COS(Beta),0)</f>
        <v>0</v>
      </c>
      <c r="V888" s="419" t="n">
        <f aca="false">Rho_moyen*(20000-Alt_rampe-pos_z)/(20000+Alt_rampe+pos_z)</f>
        <v>1.22601252639479</v>
      </c>
      <c r="W888" s="418" t="n">
        <f aca="false">1/2*Rho*Sref*Cx*vit_xz^2</f>
        <v>5.59356041653541</v>
      </c>
      <c r="X888" s="402"/>
      <c r="Y888" s="423" t="str">
        <f aca="false">IF(AND(pos_z&lt;=0,K887&gt;0),"Impact balistique","") &amp; IF(AND(H889&lt;0,vit_z&gt;=0),"Apogée","") &amp; IF(AND(Poussee=0,Q887&gt;0),"Fin de propulsion","") &amp; IF(AND(L889&gt;L_rampe,pos_xz&lt;=L_rampe),"Sortie de rampe","")</f>
        <v/>
      </c>
      <c r="Z888" s="424" t="str">
        <f aca="false">IF(ABS(t-T_para)&lt;pas/2,"Para","")</f>
        <v/>
      </c>
      <c r="AA888" s="425" t="str">
        <f aca="false">IF(ABS(t-T_satellite)&lt;pas/2,"Satellite","")</f>
        <v/>
      </c>
      <c r="AB888" s="413"/>
      <c r="AC888" s="421" t="e">
        <f aca="false">IF(ABS(t-ROUND(t,0))&lt;0.001,t,NA())</f>
        <v>#N/A</v>
      </c>
      <c r="AD888" s="426" t="e">
        <f aca="false">IF(ABS(t-ROUND(t,0))&lt;0.001,pos_x,NA())</f>
        <v>#N/A</v>
      </c>
      <c r="AE888" s="427" t="e">
        <f aca="false">IF(t&lt;T_para, pos_z, NA())</f>
        <v>#N/A</v>
      </c>
      <c r="AF888" s="413"/>
      <c r="AG888" s="419" t="n">
        <f aca="false">IF(AND(L887&lt;L_rampe,Poussee&lt;Poids*SIN(M887)),0,(-W887+Poussee)/m-Poids*SIN(M887)/m)</f>
        <v>5.94133877181893</v>
      </c>
      <c r="AH888" s="418" t="n">
        <f aca="false">IF(AND(L887&lt;L_rampe,Poussee&lt;Poids*SIN(M887)), g*SIN(M887), (-W887+Poussee)/m)</f>
        <v>-3.76841881424918</v>
      </c>
    </row>
    <row r="889" customFormat="false" ht="12" hidden="false" customHeight="false" outlineLevel="0" collapsed="false">
      <c r="A889" s="417" t="n">
        <f aca="false">IF(B888+0.01&lt;=T_ini+ROUNDUP(Temps_fin_propu,0), 0.01, IF(K888&gt;0, 0.1, 0.0001))</f>
        <v>0.0001</v>
      </c>
      <c r="B889" s="418" t="n">
        <f aca="false">B888+pas</f>
        <v>16.5539999999998</v>
      </c>
      <c r="C889" s="402"/>
      <c r="D889" s="419" t="n">
        <f aca="false">IF(AND(L888&lt;L_rampe,Poussee&lt;Poids*SIN(M888)),0,(-W888+Poussee)/m*COS(M888)-U888/m*SIN(M888))</f>
        <v>-0.537346896721572</v>
      </c>
      <c r="E889" s="420" t="n">
        <f aca="false">IF(AND(L888&lt;L_rampe,Poussee&lt;Poids*SIN(M888)),0,(-W888+Poussee)/m*SIN(M888)+U888/m*COS(M888)-Poids/m)</f>
        <v>-6.08002305401325</v>
      </c>
      <c r="F889" s="418" t="n">
        <f aca="false">SQRT(acc_x^2+acc_z^2)</f>
        <v>6.10372198127903</v>
      </c>
      <c r="G889" s="419" t="n">
        <f aca="false">G888+acc_x*pas</f>
        <v>10.2582472973341</v>
      </c>
      <c r="H889" s="420" t="n">
        <f aca="false">H888+acc_z*pas</f>
        <v>-71.2082889024651</v>
      </c>
      <c r="I889" s="418" t="n">
        <f aca="false">SQRT(vit_x^2+vit_z^2)</f>
        <v>71.9433947352375</v>
      </c>
      <c r="J889" s="419" t="n">
        <f aca="false">J888+0.5*(vit_x+G888)*pas*(K888&gt;=0)</f>
        <v>211.791153319536</v>
      </c>
      <c r="K889" s="420" t="n">
        <f aca="false">K888+0.5*(vit_z+H888)*pas</f>
        <v>-8.26922785739281</v>
      </c>
      <c r="L889" s="418" t="n">
        <f aca="false">SQRT(pos_x^2+pos_z^2)</f>
        <v>211.952524763865</v>
      </c>
      <c r="M889" s="419" t="n">
        <f aca="false">IF(AND(L888&gt;L_rampe,G889&gt;0),ATAN2(G889,H889),$M$4)</f>
        <v>-1.42772092988631</v>
      </c>
      <c r="N889" s="418" t="n">
        <f aca="false">DEGREES(Beta)</f>
        <v>-81.802383604979</v>
      </c>
      <c r="O889" s="402"/>
      <c r="P889" s="421" t="n">
        <f aca="false">MATCH(t-pas/2-T_ini,CdP_t)</f>
        <v>23</v>
      </c>
      <c r="Q889" s="418" t="n">
        <f aca="false">(INDEX(CdP,2,i_P+1)-INDEX(CdP,2,i_P+0))/(INDEX(CdP,1,i_P+1)-INDEX(CdP,1,i_P+0))*(t-pas/2-T_ini-INDEX(CdP,1,i_P+0))+INDEX(CdP,2,i_P+0)</f>
        <v>0</v>
      </c>
      <c r="R889" s="419" t="n">
        <f aca="false">Poussee/(g*ISP)</f>
        <v>0</v>
      </c>
      <c r="S889" s="420" t="n">
        <f aca="false">S888-Débit*pas</f>
        <v>1.4843</v>
      </c>
      <c r="T889" s="418" t="n">
        <f aca="false">m*g</f>
        <v>14.560983</v>
      </c>
      <c r="U889" s="422" t="n">
        <f aca="false">IF(pos_xz&lt;L_rampe,Poids*COS(Beta),0)</f>
        <v>0</v>
      </c>
      <c r="V889" s="419" t="n">
        <f aca="false">Rho_moyen*(20000-Alt_rampe-pos_z)/(20000+Alt_rampe+pos_z)</f>
        <v>1.22601339941406</v>
      </c>
      <c r="W889" s="418" t="n">
        <f aca="false">1/2*Rho*Sref*Cx*vit_xz^2</f>
        <v>5.59365678704484</v>
      </c>
      <c r="X889" s="402"/>
      <c r="Y889" s="423" t="str">
        <f aca="false">IF(AND(pos_z&lt;=0,K888&gt;0),"Impact balistique","") &amp; IF(AND(H890&lt;0,vit_z&gt;=0),"Apogée","") &amp; IF(AND(Poussee=0,Q888&gt;0),"Fin de propulsion","") &amp; IF(AND(L890&gt;L_rampe,pos_xz&lt;=L_rampe),"Sortie de rampe","")</f>
        <v/>
      </c>
      <c r="Z889" s="424" t="str">
        <f aca="false">IF(ABS(t-T_para)&lt;pas/2,"Para","")</f>
        <v/>
      </c>
      <c r="AA889" s="425" t="str">
        <f aca="false">IF(ABS(t-T_satellite)&lt;pas/2,"Satellite","")</f>
        <v/>
      </c>
      <c r="AB889" s="413"/>
      <c r="AC889" s="421" t="e">
        <f aca="false">IF(ABS(t-ROUND(t,0))&lt;0.001,t,NA())</f>
        <v>#N/A</v>
      </c>
      <c r="AD889" s="426" t="e">
        <f aca="false">IF(ABS(t-ROUND(t,0))&lt;0.001,pos_x,NA())</f>
        <v>#N/A</v>
      </c>
      <c r="AE889" s="427" t="e">
        <f aca="false">IF(t&lt;T_para, pos_z, NA())</f>
        <v>#N/A</v>
      </c>
      <c r="AF889" s="413"/>
      <c r="AG889" s="419" t="n">
        <f aca="false">IF(AND(L888&lt;L_rampe,Poussee&lt;Poids*SIN(M888)),0,(-W888+Poussee)/m-Poids*SIN(M888)/m)</f>
        <v>5.9412765650155</v>
      </c>
      <c r="AH889" s="418" t="n">
        <f aca="false">IF(AND(L888&lt;L_rampe,Poussee&lt;Poids*SIN(M888)), g*SIN(M888), (-W888+Poussee)/m)</f>
        <v>-3.76848374084445</v>
      </c>
    </row>
    <row r="890" customFormat="false" ht="12" hidden="false" customHeight="false" outlineLevel="0" collapsed="false">
      <c r="A890" s="417" t="n">
        <f aca="false">IF(B889+0.01&lt;=T_ini+ROUNDUP(Temps_fin_propu,0), 0.01, IF(K889&gt;0, 0.1, 0.0001))</f>
        <v>0.0001</v>
      </c>
      <c r="B890" s="418" t="n">
        <f aca="false">B889+pas</f>
        <v>16.5540999999998</v>
      </c>
      <c r="C890" s="402"/>
      <c r="D890" s="419" t="n">
        <f aca="false">IF(AND(L889&lt;L_rampe,Poussee&lt;Poids*SIN(M889)),0,(-W889+Poussee)/m*COS(M889)-U889/m*SIN(M889))</f>
        <v>-0.537348902212038</v>
      </c>
      <c r="E890" s="420" t="n">
        <f aca="false">IF(AND(L889&lt;L_rampe,Poussee&lt;Poids*SIN(M889)),0,(-W889+Poussee)/m*SIN(M889)+U889/m*COS(M889)-Poids/m)</f>
        <v>-6.07995774608776</v>
      </c>
      <c r="F890" s="418" t="n">
        <f aca="false">SQRT(acc_x^2+acc_z^2)</f>
        <v>6.10365710348484</v>
      </c>
      <c r="G890" s="419" t="n">
        <f aca="false">G889+acc_x*pas</f>
        <v>10.2581935624439</v>
      </c>
      <c r="H890" s="420" t="n">
        <f aca="false">H889+acc_z*pas</f>
        <v>-71.2088968982397</v>
      </c>
      <c r="I890" s="418" t="n">
        <f aca="false">SQRT(vit_x^2+vit_z^2)</f>
        <v>71.9439888568093</v>
      </c>
      <c r="J890" s="419" t="n">
        <f aca="false">J889+0.5*(vit_x+G889)*pas*(K889&gt;=0)</f>
        <v>211.791153319536</v>
      </c>
      <c r="K890" s="420" t="n">
        <f aca="false">K889+0.5*(vit_z+H889)*pas</f>
        <v>-8.27634871668284</v>
      </c>
      <c r="L890" s="418" t="n">
        <f aca="false">SQRT(pos_x^2+pos_z^2)</f>
        <v>211.95280270027</v>
      </c>
      <c r="M890" s="419" t="n">
        <f aca="false">IF(AND(L889&gt;L_rampe,G890&gt;0),ATAN2(G890,H890),$M$4)</f>
        <v>-1.42772287415702</v>
      </c>
      <c r="N890" s="418" t="n">
        <f aca="false">DEGREES(Beta)</f>
        <v>-81.8024950034845</v>
      </c>
      <c r="O890" s="402"/>
      <c r="P890" s="421" t="n">
        <f aca="false">MATCH(t-pas/2-T_ini,CdP_t)</f>
        <v>23</v>
      </c>
      <c r="Q890" s="418" t="n">
        <f aca="false">(INDEX(CdP,2,i_P+1)-INDEX(CdP,2,i_P+0))/(INDEX(CdP,1,i_P+1)-INDEX(CdP,1,i_P+0))*(t-pas/2-T_ini-INDEX(CdP,1,i_P+0))+INDEX(CdP,2,i_P+0)</f>
        <v>0</v>
      </c>
      <c r="R890" s="419" t="n">
        <f aca="false">Poussee/(g*ISP)</f>
        <v>0</v>
      </c>
      <c r="S890" s="420" t="n">
        <f aca="false">S889-Débit*pas</f>
        <v>1.4843</v>
      </c>
      <c r="T890" s="418" t="n">
        <f aca="false">m*g</f>
        <v>14.560983</v>
      </c>
      <c r="U890" s="422" t="n">
        <f aca="false">IF(pos_xz&lt;L_rampe,Poids*COS(Beta),0)</f>
        <v>0</v>
      </c>
      <c r="V890" s="419" t="n">
        <f aca="false">Rho_moyen*(20000-Alt_rampe-pos_z)/(20000+Alt_rampe+pos_z)</f>
        <v>1.22601427244141</v>
      </c>
      <c r="W890" s="418" t="n">
        <f aca="false">1/2*Rho*Sref*Cx*vit_xz^2</f>
        <v>5.59375315751832</v>
      </c>
      <c r="X890" s="402"/>
      <c r="Y890" s="423" t="str">
        <f aca="false">IF(AND(pos_z&lt;=0,K889&gt;0),"Impact balistique","") &amp; IF(AND(H891&lt;0,vit_z&gt;=0),"Apogée","") &amp; IF(AND(Poussee=0,Q889&gt;0),"Fin de propulsion","") &amp; IF(AND(L891&gt;L_rampe,pos_xz&lt;=L_rampe),"Sortie de rampe","")</f>
        <v/>
      </c>
      <c r="Z890" s="424" t="str">
        <f aca="false">IF(ABS(t-T_para)&lt;pas/2,"Para","")</f>
        <v/>
      </c>
      <c r="AA890" s="425" t="str">
        <f aca="false">IF(ABS(t-T_satellite)&lt;pas/2,"Satellite","")</f>
        <v/>
      </c>
      <c r="AB890" s="413"/>
      <c r="AC890" s="421" t="e">
        <f aca="false">IF(ABS(t-ROUND(t,0))&lt;0.001,t,NA())</f>
        <v>#N/A</v>
      </c>
      <c r="AD890" s="426" t="e">
        <f aca="false">IF(ABS(t-ROUND(t,0))&lt;0.001,pos_x,NA())</f>
        <v>#N/A</v>
      </c>
      <c r="AE890" s="427" t="e">
        <f aca="false">IF(t&lt;T_para, pos_z, NA())</f>
        <v>#N/A</v>
      </c>
      <c r="AF890" s="413"/>
      <c r="AG890" s="419" t="n">
        <f aca="false">IF(AND(L889&lt;L_rampe,Poussee&lt;Poids*SIN(M889)),0,(-W889+Poussee)/m-Poids*SIN(M889)/m)</f>
        <v>5.9412143581404</v>
      </c>
      <c r="AH890" s="418" t="n">
        <f aca="false">IF(AND(L889&lt;L_rampe,Poussee&lt;Poids*SIN(M889)), g*SIN(M889), (-W889+Poussee)/m)</f>
        <v>-3.76854866741551</v>
      </c>
    </row>
    <row r="891" customFormat="false" ht="12" hidden="false" customHeight="false" outlineLevel="0" collapsed="false">
      <c r="A891" s="417" t="n">
        <f aca="false">IF(B890+0.01&lt;=T_ini+ROUNDUP(Temps_fin_propu,0), 0.01, IF(K890&gt;0, 0.1, 0.0001))</f>
        <v>0.0001</v>
      </c>
      <c r="B891" s="418" t="n">
        <f aca="false">B890+pas</f>
        <v>16.5541999999998</v>
      </c>
      <c r="C891" s="402"/>
      <c r="D891" s="419" t="n">
        <f aca="false">IF(AND(L890&lt;L_rampe,Poussee&lt;Poids*SIN(M890)),0,(-W890+Poussee)/m*COS(M890)-U890/m*SIN(M890))</f>
        <v>-0.537350907604898</v>
      </c>
      <c r="E891" s="420" t="n">
        <f aca="false">IF(AND(L890&lt;L_rampe,Poussee&lt;Poids*SIN(M890)),0,(-W890+Poussee)/m*SIN(M890)+U890/m*COS(M890)-Poids/m)</f>
        <v>-6.07989243818706</v>
      </c>
      <c r="F891" s="418" t="n">
        <f aca="false">SQRT(acc_x^2+acc_z^2)</f>
        <v>6.1035922257166</v>
      </c>
      <c r="G891" s="419" t="n">
        <f aca="false">G890+acc_x*pas</f>
        <v>10.2581398273531</v>
      </c>
      <c r="H891" s="420" t="n">
        <f aca="false">H890+acc_z*pas</f>
        <v>-71.2095048874835</v>
      </c>
      <c r="I891" s="418" t="n">
        <f aca="false">SQRT(vit_x^2+vit_z^2)</f>
        <v>71.9445829721604</v>
      </c>
      <c r="J891" s="419" t="n">
        <f aca="false">J890+0.5*(vit_x+G890)*pas*(K890&gt;=0)</f>
        <v>211.791153319536</v>
      </c>
      <c r="K891" s="420" t="n">
        <f aca="false">K890+0.5*(vit_z+H890)*pas</f>
        <v>-8.28346963677213</v>
      </c>
      <c r="L891" s="418" t="n">
        <f aca="false">SQRT(pos_x^2+pos_z^2)</f>
        <v>211.953080877921</v>
      </c>
      <c r="M891" s="419" t="n">
        <f aca="false">IF(AND(L890&gt;L_rampe,G891&gt;0),ATAN2(G891,H891),$M$4)</f>
        <v>-1.42772481838542</v>
      </c>
      <c r="N891" s="418" t="n">
        <f aca="false">DEGREES(Beta)</f>
        <v>-81.8026063995667</v>
      </c>
      <c r="O891" s="402"/>
      <c r="P891" s="421" t="n">
        <f aca="false">MATCH(t-pas/2-T_ini,CdP_t)</f>
        <v>23</v>
      </c>
      <c r="Q891" s="418" t="n">
        <f aca="false">(INDEX(CdP,2,i_P+1)-INDEX(CdP,2,i_P+0))/(INDEX(CdP,1,i_P+1)-INDEX(CdP,1,i_P+0))*(t-pas/2-T_ini-INDEX(CdP,1,i_P+0))+INDEX(CdP,2,i_P+0)</f>
        <v>0</v>
      </c>
      <c r="R891" s="419" t="n">
        <f aca="false">Poussee/(g*ISP)</f>
        <v>0</v>
      </c>
      <c r="S891" s="420" t="n">
        <f aca="false">S890-Débit*pas</f>
        <v>1.4843</v>
      </c>
      <c r="T891" s="418" t="n">
        <f aca="false">m*g</f>
        <v>14.560983</v>
      </c>
      <c r="U891" s="422" t="n">
        <f aca="false">IF(pos_xz&lt;L_rampe,Poids*COS(Beta),0)</f>
        <v>0</v>
      </c>
      <c r="V891" s="419" t="n">
        <f aca="false">Rho_moyen*(20000-Alt_rampe-pos_z)/(20000+Alt_rampe+pos_z)</f>
        <v>1.22601514547684</v>
      </c>
      <c r="W891" s="418" t="n">
        <f aca="false">1/2*Rho*Sref*Cx*vit_xz^2</f>
        <v>5.59384952795582</v>
      </c>
      <c r="X891" s="402"/>
      <c r="Y891" s="423" t="str">
        <f aca="false">IF(AND(pos_z&lt;=0,K890&gt;0),"Impact balistique","") &amp; IF(AND(H892&lt;0,vit_z&gt;=0),"Apogée","") &amp; IF(AND(Poussee=0,Q890&gt;0),"Fin de propulsion","") &amp; IF(AND(L892&gt;L_rampe,pos_xz&lt;=L_rampe),"Sortie de rampe","")</f>
        <v/>
      </c>
      <c r="Z891" s="424" t="str">
        <f aca="false">IF(ABS(t-T_para)&lt;pas/2,"Para","")</f>
        <v/>
      </c>
      <c r="AA891" s="425" t="str">
        <f aca="false">IF(ABS(t-T_satellite)&lt;pas/2,"Satellite","")</f>
        <v/>
      </c>
      <c r="AB891" s="413"/>
      <c r="AC891" s="421" t="e">
        <f aca="false">IF(ABS(t-ROUND(t,0))&lt;0.001,t,NA())</f>
        <v>#N/A</v>
      </c>
      <c r="AD891" s="426" t="e">
        <f aca="false">IF(ABS(t-ROUND(t,0))&lt;0.001,pos_x,NA())</f>
        <v>#N/A</v>
      </c>
      <c r="AE891" s="427" t="e">
        <f aca="false">IF(t&lt;T_para, pos_z, NA())</f>
        <v>#N/A</v>
      </c>
      <c r="AF891" s="413"/>
      <c r="AG891" s="419" t="n">
        <f aca="false">IF(AND(L890&lt;L_rampe,Poussee&lt;Poids*SIN(M890)),0,(-W890+Poussee)/m-Poids*SIN(M890)/m)</f>
        <v>5.94115215119364</v>
      </c>
      <c r="AH891" s="418" t="n">
        <f aca="false">IF(AND(L890&lt;L_rampe,Poussee&lt;Poids*SIN(M890)), g*SIN(M890), (-W890+Poussee)/m)</f>
        <v>-3.76861359396235</v>
      </c>
    </row>
    <row r="892" customFormat="false" ht="12" hidden="false" customHeight="false" outlineLevel="0" collapsed="false">
      <c r="A892" s="417" t="n">
        <f aca="false">IF(B891+0.01&lt;=T_ini+ROUNDUP(Temps_fin_propu,0), 0.01, IF(K891&gt;0, 0.1, 0.0001))</f>
        <v>0.0001</v>
      </c>
      <c r="B892" s="418" t="n">
        <f aca="false">B891+pas</f>
        <v>16.5542999999998</v>
      </c>
      <c r="C892" s="402"/>
      <c r="D892" s="419" t="n">
        <f aca="false">IF(AND(L891&lt;L_rampe,Poussee&lt;Poids*SIN(M891)),0,(-W891+Poussee)/m*COS(M891)-U891/m*SIN(M891))</f>
        <v>-0.537352912900151</v>
      </c>
      <c r="E892" s="420" t="n">
        <f aca="false">IF(AND(L891&lt;L_rampe,Poussee&lt;Poids*SIN(M891)),0,(-W891+Poussee)/m*SIN(M891)+U891/m*COS(M891)-Poids/m)</f>
        <v>-6.07982713031119</v>
      </c>
      <c r="F892" s="418" t="n">
        <f aca="false">SQRT(acc_x^2+acc_z^2)</f>
        <v>6.10352734797431</v>
      </c>
      <c r="G892" s="419" t="n">
        <f aca="false">G891+acc_x*pas</f>
        <v>10.2580860920618</v>
      </c>
      <c r="H892" s="420" t="n">
        <f aca="false">H891+acc_z*pas</f>
        <v>-71.2101128701966</v>
      </c>
      <c r="I892" s="418" t="n">
        <f aca="false">SQRT(vit_x^2+vit_z^2)</f>
        <v>71.9451770812908</v>
      </c>
      <c r="J892" s="419" t="n">
        <f aca="false">J891+0.5*(vit_x+G891)*pas*(K891&gt;=0)</f>
        <v>211.791153319536</v>
      </c>
      <c r="K892" s="420" t="n">
        <f aca="false">K891+0.5*(vit_z+H891)*pas</f>
        <v>-8.29059061766001</v>
      </c>
      <c r="L892" s="418" t="n">
        <f aca="false">SQRT(pos_x^2+pos_z^2)</f>
        <v>211.953359296825</v>
      </c>
      <c r="M892" s="419" t="n">
        <f aca="false">IF(AND(L891&gt;L_rampe,G892&gt;0),ATAN2(G892,H892),$M$4)</f>
        <v>-1.42772676257153</v>
      </c>
      <c r="N892" s="418" t="n">
        <f aca="false">DEGREES(Beta)</f>
        <v>-81.8027177932255</v>
      </c>
      <c r="O892" s="402"/>
      <c r="P892" s="421" t="n">
        <f aca="false">MATCH(t-pas/2-T_ini,CdP_t)</f>
        <v>23</v>
      </c>
      <c r="Q892" s="418" t="n">
        <f aca="false">(INDEX(CdP,2,i_P+1)-INDEX(CdP,2,i_P+0))/(INDEX(CdP,1,i_P+1)-INDEX(CdP,1,i_P+0))*(t-pas/2-T_ini-INDEX(CdP,1,i_P+0))+INDEX(CdP,2,i_P+0)</f>
        <v>0</v>
      </c>
      <c r="R892" s="419" t="n">
        <f aca="false">Poussee/(g*ISP)</f>
        <v>0</v>
      </c>
      <c r="S892" s="420" t="n">
        <f aca="false">S891-Débit*pas</f>
        <v>1.4843</v>
      </c>
      <c r="T892" s="418" t="n">
        <f aca="false">m*g</f>
        <v>14.560983</v>
      </c>
      <c r="U892" s="422" t="n">
        <f aca="false">IF(pos_xz&lt;L_rampe,Poids*COS(Beta),0)</f>
        <v>0</v>
      </c>
      <c r="V892" s="419" t="n">
        <f aca="false">Rho_moyen*(20000-Alt_rampe-pos_z)/(20000+Alt_rampe+pos_z)</f>
        <v>1.22601601852034</v>
      </c>
      <c r="W892" s="418" t="n">
        <f aca="false">1/2*Rho*Sref*Cx*vit_xz^2</f>
        <v>5.59394589835733</v>
      </c>
      <c r="X892" s="402"/>
      <c r="Y892" s="423" t="str">
        <f aca="false">IF(AND(pos_z&lt;=0,K891&gt;0),"Impact balistique","") &amp; IF(AND(H893&lt;0,vit_z&gt;=0),"Apogée","") &amp; IF(AND(Poussee=0,Q891&gt;0),"Fin de propulsion","") &amp; IF(AND(L893&gt;L_rampe,pos_xz&lt;=L_rampe),"Sortie de rampe","")</f>
        <v/>
      </c>
      <c r="Z892" s="424" t="str">
        <f aca="false">IF(ABS(t-T_para)&lt;pas/2,"Para","")</f>
        <v/>
      </c>
      <c r="AA892" s="425" t="str">
        <f aca="false">IF(ABS(t-T_satellite)&lt;pas/2,"Satellite","")</f>
        <v/>
      </c>
      <c r="AB892" s="413"/>
      <c r="AC892" s="421" t="e">
        <f aca="false">IF(ABS(t-ROUND(t,0))&lt;0.001,t,NA())</f>
        <v>#N/A</v>
      </c>
      <c r="AD892" s="426" t="e">
        <f aca="false">IF(ABS(t-ROUND(t,0))&lt;0.001,pos_x,NA())</f>
        <v>#N/A</v>
      </c>
      <c r="AE892" s="427" t="e">
        <f aca="false">IF(t&lt;T_para, pos_z, NA())</f>
        <v>#N/A</v>
      </c>
      <c r="AF892" s="413"/>
      <c r="AG892" s="419" t="n">
        <f aca="false">IF(AND(L891&lt;L_rampe,Poussee&lt;Poids*SIN(M891)),0,(-W891+Poussee)/m-Poids*SIN(M891)/m)</f>
        <v>5.94108994417526</v>
      </c>
      <c r="AH892" s="418" t="n">
        <f aca="false">IF(AND(L891&lt;L_rampe,Poussee&lt;Poids*SIN(M891)), g*SIN(M891), (-W891+Poussee)/m)</f>
        <v>-3.76867852048496</v>
      </c>
    </row>
    <row r="893" customFormat="false" ht="12" hidden="false" customHeight="false" outlineLevel="0" collapsed="false">
      <c r="A893" s="417" t="n">
        <f aca="false">IF(B892+0.01&lt;=T_ini+ROUNDUP(Temps_fin_propu,0), 0.01, IF(K892&gt;0, 0.1, 0.0001))</f>
        <v>0.0001</v>
      </c>
      <c r="B893" s="418" t="n">
        <f aca="false">B892+pas</f>
        <v>16.5543999999998</v>
      </c>
      <c r="C893" s="402"/>
      <c r="D893" s="419" t="n">
        <f aca="false">IF(AND(L892&lt;L_rampe,Poussee&lt;Poids*SIN(M892)),0,(-W892+Poussee)/m*COS(M892)-U892/m*SIN(M892))</f>
        <v>-0.537354918097799</v>
      </c>
      <c r="E893" s="420" t="n">
        <f aca="false">IF(AND(L892&lt;L_rampe,Poussee&lt;Poids*SIN(M892)),0,(-W892+Poussee)/m*SIN(M892)+U892/m*COS(M892)-Poids/m)</f>
        <v>-6.07976182246016</v>
      </c>
      <c r="F893" s="418" t="n">
        <f aca="false">SQRT(acc_x^2+acc_z^2)</f>
        <v>6.103462470258</v>
      </c>
      <c r="G893" s="419" t="n">
        <f aca="false">G892+acc_x*pas</f>
        <v>10.25803235657</v>
      </c>
      <c r="H893" s="420" t="n">
        <f aca="false">H892+acc_z*pas</f>
        <v>-71.2107208463788</v>
      </c>
      <c r="I893" s="418" t="n">
        <f aca="false">SQRT(vit_x^2+vit_z^2)</f>
        <v>71.9457711842005</v>
      </c>
      <c r="J893" s="419" t="n">
        <f aca="false">J892+0.5*(vit_x+G892)*pas*(K892&gt;=0)</f>
        <v>211.791153319536</v>
      </c>
      <c r="K893" s="420" t="n">
        <f aca="false">K892+0.5*(vit_z+H892)*pas</f>
        <v>-8.29771165934584</v>
      </c>
      <c r="L893" s="418" t="n">
        <f aca="false">SQRT(pos_x^2+pos_z^2)</f>
        <v>211.953637956986</v>
      </c>
      <c r="M893" s="419" t="n">
        <f aca="false">IF(AND(L892&gt;L_rampe,G893&gt;0),ATAN2(G893,H893),$M$4)</f>
        <v>-1.42772870671535</v>
      </c>
      <c r="N893" s="418" t="n">
        <f aca="false">DEGREES(Beta)</f>
        <v>-81.8028291844611</v>
      </c>
      <c r="O893" s="402"/>
      <c r="P893" s="421" t="n">
        <f aca="false">MATCH(t-pas/2-T_ini,CdP_t)</f>
        <v>23</v>
      </c>
      <c r="Q893" s="418" t="n">
        <f aca="false">(INDEX(CdP,2,i_P+1)-INDEX(CdP,2,i_P+0))/(INDEX(CdP,1,i_P+1)-INDEX(CdP,1,i_P+0))*(t-pas/2-T_ini-INDEX(CdP,1,i_P+0))+INDEX(CdP,2,i_P+0)</f>
        <v>0</v>
      </c>
      <c r="R893" s="419" t="n">
        <f aca="false">Poussee/(g*ISP)</f>
        <v>0</v>
      </c>
      <c r="S893" s="420" t="n">
        <f aca="false">S892-Débit*pas</f>
        <v>1.4843</v>
      </c>
      <c r="T893" s="418" t="n">
        <f aca="false">m*g</f>
        <v>14.560983</v>
      </c>
      <c r="U893" s="422" t="n">
        <f aca="false">IF(pos_xz&lt;L_rampe,Poids*COS(Beta),0)</f>
        <v>0</v>
      </c>
      <c r="V893" s="419" t="n">
        <f aca="false">Rho_moyen*(20000-Alt_rampe-pos_z)/(20000+Alt_rampe+pos_z)</f>
        <v>1.22601689157192</v>
      </c>
      <c r="W893" s="418" t="n">
        <f aca="false">1/2*Rho*Sref*Cx*vit_xz^2</f>
        <v>5.59404226872281</v>
      </c>
      <c r="X893" s="402"/>
      <c r="Y893" s="423" t="str">
        <f aca="false">IF(AND(pos_z&lt;=0,K892&gt;0),"Impact balistique","") &amp; IF(AND(H894&lt;0,vit_z&gt;=0),"Apogée","") &amp; IF(AND(Poussee=0,Q892&gt;0),"Fin de propulsion","") &amp; IF(AND(L894&gt;L_rampe,pos_xz&lt;=L_rampe),"Sortie de rampe","")</f>
        <v/>
      </c>
      <c r="Z893" s="424" t="str">
        <f aca="false">IF(ABS(t-T_para)&lt;pas/2,"Para","")</f>
        <v/>
      </c>
      <c r="AA893" s="425" t="str">
        <f aca="false">IF(ABS(t-T_satellite)&lt;pas/2,"Satellite","")</f>
        <v/>
      </c>
      <c r="AB893" s="413"/>
      <c r="AC893" s="421" t="e">
        <f aca="false">IF(ABS(t-ROUND(t,0))&lt;0.001,t,NA())</f>
        <v>#N/A</v>
      </c>
      <c r="AD893" s="426" t="e">
        <f aca="false">IF(ABS(t-ROUND(t,0))&lt;0.001,pos_x,NA())</f>
        <v>#N/A</v>
      </c>
      <c r="AE893" s="427" t="e">
        <f aca="false">IF(t&lt;T_para, pos_z, NA())</f>
        <v>#N/A</v>
      </c>
      <c r="AF893" s="413"/>
      <c r="AG893" s="419" t="n">
        <f aca="false">IF(AND(L892&lt;L_rampe,Poussee&lt;Poids*SIN(M892)),0,(-W892+Poussee)/m-Poids*SIN(M892)/m)</f>
        <v>5.94102773708527</v>
      </c>
      <c r="AH893" s="418" t="n">
        <f aca="false">IF(AND(L892&lt;L_rampe,Poussee&lt;Poids*SIN(M892)), g*SIN(M892), (-W892+Poussee)/m)</f>
        <v>-3.76874344698331</v>
      </c>
    </row>
    <row r="894" customFormat="false" ht="12" hidden="false" customHeight="false" outlineLevel="0" collapsed="false">
      <c r="A894" s="417" t="n">
        <f aca="false">IF(B893+0.01&lt;=T_ini+ROUNDUP(Temps_fin_propu,0), 0.01, IF(K893&gt;0, 0.1, 0.0001))</f>
        <v>0.0001</v>
      </c>
      <c r="B894" s="418" t="n">
        <f aca="false">B893+pas</f>
        <v>16.5544999999998</v>
      </c>
      <c r="C894" s="402"/>
      <c r="D894" s="419" t="n">
        <f aca="false">IF(AND(L893&lt;L_rampe,Poussee&lt;Poids*SIN(M893)),0,(-W893+Poussee)/m*COS(M893)-U893/m*SIN(M893))</f>
        <v>-0.537356923197843</v>
      </c>
      <c r="E894" s="420" t="n">
        <f aca="false">IF(AND(L893&lt;L_rampe,Poussee&lt;Poids*SIN(M893)),0,(-W893+Poussee)/m*SIN(M893)+U893/m*COS(M893)-Poids/m)</f>
        <v>-6.07969651463397</v>
      </c>
      <c r="F894" s="418" t="n">
        <f aca="false">SQRT(acc_x^2+acc_z^2)</f>
        <v>6.1033975925677</v>
      </c>
      <c r="G894" s="419" t="n">
        <f aca="false">G893+acc_x*pas</f>
        <v>10.2579786208777</v>
      </c>
      <c r="H894" s="420" t="n">
        <f aca="false">H893+acc_z*pas</f>
        <v>-71.2113288160303</v>
      </c>
      <c r="I894" s="418" t="n">
        <f aca="false">SQRT(vit_x^2+vit_z^2)</f>
        <v>71.9463652808894</v>
      </c>
      <c r="J894" s="419" t="n">
        <f aca="false">J893+0.5*(vit_x+G893)*pas*(K893&gt;=0)</f>
        <v>211.791153319536</v>
      </c>
      <c r="K894" s="420" t="n">
        <f aca="false">K893+0.5*(vit_z+H893)*pas</f>
        <v>-8.30483276182896</v>
      </c>
      <c r="L894" s="418" t="n">
        <f aca="false">SQRT(pos_x^2+pos_z^2)</f>
        <v>211.953916858409</v>
      </c>
      <c r="M894" s="419" t="n">
        <f aca="false">IF(AND(L893&gt;L_rampe,G894&gt;0),ATAN2(G894,H894),$M$4)</f>
        <v>-1.42773065081688</v>
      </c>
      <c r="N894" s="418" t="n">
        <f aca="false">DEGREES(Beta)</f>
        <v>-81.8029405732736</v>
      </c>
      <c r="O894" s="402"/>
      <c r="P894" s="421" t="n">
        <f aca="false">MATCH(t-pas/2-T_ini,CdP_t)</f>
        <v>23</v>
      </c>
      <c r="Q894" s="418" t="n">
        <f aca="false">(INDEX(CdP,2,i_P+1)-INDEX(CdP,2,i_P+0))/(INDEX(CdP,1,i_P+1)-INDEX(CdP,1,i_P+0))*(t-pas/2-T_ini-INDEX(CdP,1,i_P+0))+INDEX(CdP,2,i_P+0)</f>
        <v>0</v>
      </c>
      <c r="R894" s="419" t="n">
        <f aca="false">Poussee/(g*ISP)</f>
        <v>0</v>
      </c>
      <c r="S894" s="420" t="n">
        <f aca="false">S893-Débit*pas</f>
        <v>1.4843</v>
      </c>
      <c r="T894" s="418" t="n">
        <f aca="false">m*g</f>
        <v>14.560983</v>
      </c>
      <c r="U894" s="422" t="n">
        <f aca="false">IF(pos_xz&lt;L_rampe,Poids*COS(Beta),0)</f>
        <v>0</v>
      </c>
      <c r="V894" s="419" t="n">
        <f aca="false">Rho_moyen*(20000-Alt_rampe-pos_z)/(20000+Alt_rampe+pos_z)</f>
        <v>1.22601776463158</v>
      </c>
      <c r="W894" s="418" t="n">
        <f aca="false">1/2*Rho*Sref*Cx*vit_xz^2</f>
        <v>5.59413863905224</v>
      </c>
      <c r="X894" s="402"/>
      <c r="Y894" s="423" t="str">
        <f aca="false">IF(AND(pos_z&lt;=0,K893&gt;0),"Impact balistique","") &amp; IF(AND(H895&lt;0,vit_z&gt;=0),"Apogée","") &amp; IF(AND(Poussee=0,Q893&gt;0),"Fin de propulsion","") &amp; IF(AND(L895&gt;L_rampe,pos_xz&lt;=L_rampe),"Sortie de rampe","")</f>
        <v/>
      </c>
      <c r="Z894" s="424" t="str">
        <f aca="false">IF(ABS(t-T_para)&lt;pas/2,"Para","")</f>
        <v/>
      </c>
      <c r="AA894" s="425" t="str">
        <f aca="false">IF(ABS(t-T_satellite)&lt;pas/2,"Satellite","")</f>
        <v/>
      </c>
      <c r="AB894" s="413"/>
      <c r="AC894" s="421" t="e">
        <f aca="false">IF(ABS(t-ROUND(t,0))&lt;0.001,t,NA())</f>
        <v>#N/A</v>
      </c>
      <c r="AD894" s="426" t="e">
        <f aca="false">IF(ABS(t-ROUND(t,0))&lt;0.001,pos_x,NA())</f>
        <v>#N/A</v>
      </c>
      <c r="AE894" s="427" t="e">
        <f aca="false">IF(t&lt;T_para, pos_z, NA())</f>
        <v>#N/A</v>
      </c>
      <c r="AF894" s="413"/>
      <c r="AG894" s="419" t="n">
        <f aca="false">IF(AND(L893&lt;L_rampe,Poussee&lt;Poids*SIN(M893)),0,(-W893+Poussee)/m-Poids*SIN(M893)/m)</f>
        <v>5.94096552992369</v>
      </c>
      <c r="AH894" s="418" t="n">
        <f aca="false">IF(AND(L893&lt;L_rampe,Poussee&lt;Poids*SIN(M893)), g*SIN(M893), (-W893+Poussee)/m)</f>
        <v>-3.7688083734574</v>
      </c>
    </row>
    <row r="895" customFormat="false" ht="12" hidden="false" customHeight="false" outlineLevel="0" collapsed="false">
      <c r="A895" s="417" t="n">
        <f aca="false">IF(B894+0.01&lt;=T_ini+ROUNDUP(Temps_fin_propu,0), 0.01, IF(K894&gt;0, 0.1, 0.0001))</f>
        <v>0.0001</v>
      </c>
      <c r="B895" s="418" t="n">
        <f aca="false">B894+pas</f>
        <v>16.5545999999998</v>
      </c>
      <c r="C895" s="402"/>
      <c r="D895" s="419" t="n">
        <f aca="false">IF(AND(L894&lt;L_rampe,Poussee&lt;Poids*SIN(M894)),0,(-W894+Poussee)/m*COS(M894)-U894/m*SIN(M894))</f>
        <v>-0.537358928200283</v>
      </c>
      <c r="E895" s="420" t="n">
        <f aca="false">IF(AND(L894&lt;L_rampe,Poussee&lt;Poids*SIN(M894)),0,(-W894+Poussee)/m*SIN(M894)+U894/m*COS(M894)-Poids/m)</f>
        <v>-6.07963120683266</v>
      </c>
      <c r="F895" s="418" t="n">
        <f aca="false">SQRT(acc_x^2+acc_z^2)</f>
        <v>6.1033327149034</v>
      </c>
      <c r="G895" s="419" t="n">
        <f aca="false">G894+acc_x*pas</f>
        <v>10.2579248849849</v>
      </c>
      <c r="H895" s="420" t="n">
        <f aca="false">H894+acc_z*pas</f>
        <v>-71.211936779151</v>
      </c>
      <c r="I895" s="418" t="n">
        <f aca="false">SQRT(vit_x^2+vit_z^2)</f>
        <v>71.9469593713577</v>
      </c>
      <c r="J895" s="419" t="n">
        <f aca="false">J894+0.5*(vit_x+G894)*pas*(K894&gt;=0)</f>
        <v>211.791153319536</v>
      </c>
      <c r="K895" s="420" t="n">
        <f aca="false">K894+0.5*(vit_z+H894)*pas</f>
        <v>-8.31195392510872</v>
      </c>
      <c r="L895" s="418" t="n">
        <f aca="false">SQRT(pos_x^2+pos_z^2)</f>
        <v>211.954196001099</v>
      </c>
      <c r="M895" s="419" t="n">
        <f aca="false">IF(AND(L894&gt;L_rampe,G895&gt;0),ATAN2(G895,H895),$M$4)</f>
        <v>-1.42773259487612</v>
      </c>
      <c r="N895" s="418" t="n">
        <f aca="false">DEGREES(Beta)</f>
        <v>-81.803051959663</v>
      </c>
      <c r="O895" s="402"/>
      <c r="P895" s="421" t="n">
        <f aca="false">MATCH(t-pas/2-T_ini,CdP_t)</f>
        <v>23</v>
      </c>
      <c r="Q895" s="418" t="n">
        <f aca="false">(INDEX(CdP,2,i_P+1)-INDEX(CdP,2,i_P+0))/(INDEX(CdP,1,i_P+1)-INDEX(CdP,1,i_P+0))*(t-pas/2-T_ini-INDEX(CdP,1,i_P+0))+INDEX(CdP,2,i_P+0)</f>
        <v>0</v>
      </c>
      <c r="R895" s="419" t="n">
        <f aca="false">Poussee/(g*ISP)</f>
        <v>0</v>
      </c>
      <c r="S895" s="420" t="n">
        <f aca="false">S894-Débit*pas</f>
        <v>1.4843</v>
      </c>
      <c r="T895" s="418" t="n">
        <f aca="false">m*g</f>
        <v>14.560983</v>
      </c>
      <c r="U895" s="422" t="n">
        <f aca="false">IF(pos_xz&lt;L_rampe,Poids*COS(Beta),0)</f>
        <v>0</v>
      </c>
      <c r="V895" s="419" t="n">
        <f aca="false">Rho_moyen*(20000-Alt_rampe-pos_z)/(20000+Alt_rampe+pos_z)</f>
        <v>1.22601863769931</v>
      </c>
      <c r="W895" s="418" t="n">
        <f aca="false">1/2*Rho*Sref*Cx*vit_xz^2</f>
        <v>5.59423500934561</v>
      </c>
      <c r="X895" s="402"/>
      <c r="Y895" s="423" t="str">
        <f aca="false">IF(AND(pos_z&lt;=0,K894&gt;0),"Impact balistique","") &amp; IF(AND(H896&lt;0,vit_z&gt;=0),"Apogée","") &amp; IF(AND(Poussee=0,Q894&gt;0),"Fin de propulsion","") &amp; IF(AND(L896&gt;L_rampe,pos_xz&lt;=L_rampe),"Sortie de rampe","")</f>
        <v/>
      </c>
      <c r="Z895" s="424" t="str">
        <f aca="false">IF(ABS(t-T_para)&lt;pas/2,"Para","")</f>
        <v/>
      </c>
      <c r="AA895" s="425" t="str">
        <f aca="false">IF(ABS(t-T_satellite)&lt;pas/2,"Satellite","")</f>
        <v/>
      </c>
      <c r="AB895" s="413"/>
      <c r="AC895" s="421" t="e">
        <f aca="false">IF(ABS(t-ROUND(t,0))&lt;0.001,t,NA())</f>
        <v>#N/A</v>
      </c>
      <c r="AD895" s="426" t="e">
        <f aca="false">IF(ABS(t-ROUND(t,0))&lt;0.001,pos_x,NA())</f>
        <v>#N/A</v>
      </c>
      <c r="AE895" s="427" t="e">
        <f aca="false">IF(t&lt;T_para, pos_z, NA())</f>
        <v>#N/A</v>
      </c>
      <c r="AF895" s="413"/>
      <c r="AG895" s="419" t="n">
        <f aca="false">IF(AND(L894&lt;L_rampe,Poussee&lt;Poids*SIN(M894)),0,(-W894+Poussee)/m-Poids*SIN(M894)/m)</f>
        <v>5.94090332269054</v>
      </c>
      <c r="AH895" s="418" t="n">
        <f aca="false">IF(AND(L894&lt;L_rampe,Poussee&lt;Poids*SIN(M894)), g*SIN(M894), (-W894+Poussee)/m)</f>
        <v>-3.7688732999072</v>
      </c>
    </row>
    <row r="896" customFormat="false" ht="12" hidden="false" customHeight="false" outlineLevel="0" collapsed="false">
      <c r="A896" s="417" t="n">
        <f aca="false">IF(B895+0.01&lt;=T_ini+ROUNDUP(Temps_fin_propu,0), 0.01, IF(K895&gt;0, 0.1, 0.0001))</f>
        <v>0.0001</v>
      </c>
      <c r="B896" s="418" t="n">
        <f aca="false">B895+pas</f>
        <v>16.5546999999998</v>
      </c>
      <c r="C896" s="402"/>
      <c r="D896" s="419" t="n">
        <f aca="false">IF(AND(L895&lt;L_rampe,Poussee&lt;Poids*SIN(M895)),0,(-W895+Poussee)/m*COS(M895)-U895/m*SIN(M895))</f>
        <v>-0.53736093310512</v>
      </c>
      <c r="E896" s="420" t="n">
        <f aca="false">IF(AND(L895&lt;L_rampe,Poussee&lt;Poids*SIN(M895)),0,(-W895+Poussee)/m*SIN(M895)+U895/m*COS(M895)-Poids/m)</f>
        <v>-6.07956589905622</v>
      </c>
      <c r="F896" s="418" t="n">
        <f aca="false">SQRT(acc_x^2+acc_z^2)</f>
        <v>6.10326783726512</v>
      </c>
      <c r="G896" s="419" t="n">
        <f aca="false">G895+acc_x*pas</f>
        <v>10.2578711488916</v>
      </c>
      <c r="H896" s="420" t="n">
        <f aca="false">H895+acc_z*pas</f>
        <v>-71.2125447357409</v>
      </c>
      <c r="I896" s="418" t="n">
        <f aca="false">SQRT(vit_x^2+vit_z^2)</f>
        <v>71.9475534556051</v>
      </c>
      <c r="J896" s="419" t="n">
        <f aca="false">J895+0.5*(vit_x+G895)*pas*(K895&gt;=0)</f>
        <v>211.791153319536</v>
      </c>
      <c r="K896" s="420" t="n">
        <f aca="false">K895+0.5*(vit_z+H895)*pas</f>
        <v>-8.31907514918447</v>
      </c>
      <c r="L896" s="418" t="n">
        <f aca="false">SQRT(pos_x^2+pos_z^2)</f>
        <v>211.954475385062</v>
      </c>
      <c r="M896" s="419" t="n">
        <f aca="false">IF(AND(L895&gt;L_rampe,G896&gt;0),ATAN2(G896,H896),$M$4)</f>
        <v>-1.42773453889307</v>
      </c>
      <c r="N896" s="418" t="n">
        <f aca="false">DEGREES(Beta)</f>
        <v>-81.8031633436295</v>
      </c>
      <c r="O896" s="402"/>
      <c r="P896" s="421" t="n">
        <f aca="false">MATCH(t-pas/2-T_ini,CdP_t)</f>
        <v>23</v>
      </c>
      <c r="Q896" s="418" t="n">
        <f aca="false">(INDEX(CdP,2,i_P+1)-INDEX(CdP,2,i_P+0))/(INDEX(CdP,1,i_P+1)-INDEX(CdP,1,i_P+0))*(t-pas/2-T_ini-INDEX(CdP,1,i_P+0))+INDEX(CdP,2,i_P+0)</f>
        <v>0</v>
      </c>
      <c r="R896" s="419" t="n">
        <f aca="false">Poussee/(g*ISP)</f>
        <v>0</v>
      </c>
      <c r="S896" s="420" t="n">
        <f aca="false">S895-Débit*pas</f>
        <v>1.4843</v>
      </c>
      <c r="T896" s="418" t="n">
        <f aca="false">m*g</f>
        <v>14.560983</v>
      </c>
      <c r="U896" s="422" t="n">
        <f aca="false">IF(pos_xz&lt;L_rampe,Poids*COS(Beta),0)</f>
        <v>0</v>
      </c>
      <c r="V896" s="419" t="n">
        <f aca="false">Rho_moyen*(20000-Alt_rampe-pos_z)/(20000+Alt_rampe+pos_z)</f>
        <v>1.22601951077511</v>
      </c>
      <c r="W896" s="418" t="n">
        <f aca="false">1/2*Rho*Sref*Cx*vit_xz^2</f>
        <v>5.59433137960288</v>
      </c>
      <c r="X896" s="402"/>
      <c r="Y896" s="423" t="str">
        <f aca="false">IF(AND(pos_z&lt;=0,K895&gt;0),"Impact balistique","") &amp; IF(AND(H897&lt;0,vit_z&gt;=0),"Apogée","") &amp; IF(AND(Poussee=0,Q895&gt;0),"Fin de propulsion","") &amp; IF(AND(L897&gt;L_rampe,pos_xz&lt;=L_rampe),"Sortie de rampe","")</f>
        <v/>
      </c>
      <c r="Z896" s="424" t="str">
        <f aca="false">IF(ABS(t-T_para)&lt;pas/2,"Para","")</f>
        <v/>
      </c>
      <c r="AA896" s="425" t="str">
        <f aca="false">IF(ABS(t-T_satellite)&lt;pas/2,"Satellite","")</f>
        <v/>
      </c>
      <c r="AB896" s="413"/>
      <c r="AC896" s="421" t="e">
        <f aca="false">IF(ABS(t-ROUND(t,0))&lt;0.001,t,NA())</f>
        <v>#N/A</v>
      </c>
      <c r="AD896" s="426" t="e">
        <f aca="false">IF(ABS(t-ROUND(t,0))&lt;0.001,pos_x,NA())</f>
        <v>#N/A</v>
      </c>
      <c r="AE896" s="427" t="e">
        <f aca="false">IF(t&lt;T_para, pos_z, NA())</f>
        <v>#N/A</v>
      </c>
      <c r="AF896" s="413"/>
      <c r="AG896" s="419" t="n">
        <f aca="false">IF(AND(L895&lt;L_rampe,Poussee&lt;Poids*SIN(M895)),0,(-W895+Poussee)/m-Poids*SIN(M895)/m)</f>
        <v>5.94084111538584</v>
      </c>
      <c r="AH896" s="418" t="n">
        <f aca="false">IF(AND(L895&lt;L_rampe,Poussee&lt;Poids*SIN(M895)), g*SIN(M895), (-W895+Poussee)/m)</f>
        <v>-3.76893822633269</v>
      </c>
    </row>
    <row r="897" customFormat="false" ht="12" hidden="false" customHeight="false" outlineLevel="0" collapsed="false">
      <c r="A897" s="417" t="n">
        <f aca="false">IF(B896+0.01&lt;=T_ini+ROUNDUP(Temps_fin_propu,0), 0.01, IF(K896&gt;0, 0.1, 0.0001))</f>
        <v>0.0001</v>
      </c>
      <c r="B897" s="418" t="n">
        <f aca="false">B896+pas</f>
        <v>16.5547999999998</v>
      </c>
      <c r="C897" s="402"/>
      <c r="D897" s="419" t="n">
        <f aca="false">IF(AND(L896&lt;L_rampe,Poussee&lt;Poids*SIN(M896)),0,(-W896+Poussee)/m*COS(M896)-U896/m*SIN(M896))</f>
        <v>-0.537362937912354</v>
      </c>
      <c r="E897" s="420" t="n">
        <f aca="false">IF(AND(L896&lt;L_rampe,Poussee&lt;Poids*SIN(M896)),0,(-W896+Poussee)/m*SIN(M896)+U896/m*COS(M896)-Poids/m)</f>
        <v>-6.07950059130469</v>
      </c>
      <c r="F897" s="418" t="n">
        <f aca="false">SQRT(acc_x^2+acc_z^2)</f>
        <v>6.1032029596529</v>
      </c>
      <c r="G897" s="419" t="n">
        <f aca="false">G896+acc_x*pas</f>
        <v>10.2578174125978</v>
      </c>
      <c r="H897" s="420" t="n">
        <f aca="false">H896+acc_z*pas</f>
        <v>-71.2131526858</v>
      </c>
      <c r="I897" s="418" t="n">
        <f aca="false">SQRT(vit_x^2+vit_z^2)</f>
        <v>71.9481475336319</v>
      </c>
      <c r="J897" s="419" t="n">
        <f aca="false">J896+0.5*(vit_x+G896)*pas*(K896&gt;=0)</f>
        <v>211.791153319536</v>
      </c>
      <c r="K897" s="420" t="n">
        <f aca="false">K896+0.5*(vit_z+H896)*pas</f>
        <v>-8.32619643405555</v>
      </c>
      <c r="L897" s="418" t="n">
        <f aca="false">SQRT(pos_x^2+pos_z^2)</f>
        <v>211.954755010303</v>
      </c>
      <c r="M897" s="419" t="n">
        <f aca="false">IF(AND(L896&gt;L_rampe,G897&gt;0),ATAN2(G897,H897),$M$4)</f>
        <v>-1.42773648286773</v>
      </c>
      <c r="N897" s="418" t="n">
        <f aca="false">DEGREES(Beta)</f>
        <v>-81.803274725173</v>
      </c>
      <c r="O897" s="402"/>
      <c r="P897" s="421" t="n">
        <f aca="false">MATCH(t-pas/2-T_ini,CdP_t)</f>
        <v>23</v>
      </c>
      <c r="Q897" s="418" t="n">
        <f aca="false">(INDEX(CdP,2,i_P+1)-INDEX(CdP,2,i_P+0))/(INDEX(CdP,1,i_P+1)-INDEX(CdP,1,i_P+0))*(t-pas/2-T_ini-INDEX(CdP,1,i_P+0))+INDEX(CdP,2,i_P+0)</f>
        <v>0</v>
      </c>
      <c r="R897" s="419" t="n">
        <f aca="false">Poussee/(g*ISP)</f>
        <v>0</v>
      </c>
      <c r="S897" s="420" t="n">
        <f aca="false">S896-Débit*pas</f>
        <v>1.4843</v>
      </c>
      <c r="T897" s="418" t="n">
        <f aca="false">m*g</f>
        <v>14.560983</v>
      </c>
      <c r="U897" s="422" t="n">
        <f aca="false">IF(pos_xz&lt;L_rampe,Poids*COS(Beta),0)</f>
        <v>0</v>
      </c>
      <c r="V897" s="419" t="n">
        <f aca="false">Rho_moyen*(20000-Alt_rampe-pos_z)/(20000+Alt_rampe+pos_z)</f>
        <v>1.22602038385899</v>
      </c>
      <c r="W897" s="418" t="n">
        <f aca="false">1/2*Rho*Sref*Cx*vit_xz^2</f>
        <v>5.59442774982403</v>
      </c>
      <c r="X897" s="402"/>
      <c r="Y897" s="423" t="str">
        <f aca="false">IF(AND(pos_z&lt;=0,K896&gt;0),"Impact balistique","") &amp; IF(AND(H898&lt;0,vit_z&gt;=0),"Apogée","") &amp; IF(AND(Poussee=0,Q896&gt;0),"Fin de propulsion","") &amp; IF(AND(L898&gt;L_rampe,pos_xz&lt;=L_rampe),"Sortie de rampe","")</f>
        <v/>
      </c>
      <c r="Z897" s="424" t="str">
        <f aca="false">IF(ABS(t-T_para)&lt;pas/2,"Para","")</f>
        <v/>
      </c>
      <c r="AA897" s="425" t="str">
        <f aca="false">IF(ABS(t-T_satellite)&lt;pas/2,"Satellite","")</f>
        <v/>
      </c>
      <c r="AB897" s="413"/>
      <c r="AC897" s="421" t="e">
        <f aca="false">IF(ABS(t-ROUND(t,0))&lt;0.001,t,NA())</f>
        <v>#N/A</v>
      </c>
      <c r="AD897" s="426" t="e">
        <f aca="false">IF(ABS(t-ROUND(t,0))&lt;0.001,pos_x,NA())</f>
        <v>#N/A</v>
      </c>
      <c r="AE897" s="427" t="e">
        <f aca="false">IF(t&lt;T_para, pos_z, NA())</f>
        <v>#N/A</v>
      </c>
      <c r="AF897" s="413"/>
      <c r="AG897" s="419" t="n">
        <f aca="false">IF(AND(L896&lt;L_rampe,Poussee&lt;Poids*SIN(M896)),0,(-W896+Poussee)/m-Poids*SIN(M896)/m)</f>
        <v>5.94077890800962</v>
      </c>
      <c r="AH897" s="418" t="n">
        <f aca="false">IF(AND(L896&lt;L_rampe,Poussee&lt;Poids*SIN(M896)), g*SIN(M896), (-W896+Poussee)/m)</f>
        <v>-3.76900315273387</v>
      </c>
    </row>
    <row r="898" customFormat="false" ht="12" hidden="false" customHeight="false" outlineLevel="0" collapsed="false">
      <c r="A898" s="417" t="n">
        <f aca="false">IF(B897+0.01&lt;=T_ini+ROUNDUP(Temps_fin_propu,0), 0.01, IF(K897&gt;0, 0.1, 0.0001))</f>
        <v>0.0001</v>
      </c>
      <c r="B898" s="418" t="n">
        <f aca="false">B897+pas</f>
        <v>16.5548999999998</v>
      </c>
      <c r="C898" s="402"/>
      <c r="D898" s="419" t="n">
        <f aca="false">IF(AND(L897&lt;L_rampe,Poussee&lt;Poids*SIN(M897)),0,(-W897+Poussee)/m*COS(M897)-U897/m*SIN(M897))</f>
        <v>-0.537364942621987</v>
      </c>
      <c r="E898" s="420" t="n">
        <f aca="false">IF(AND(L897&lt;L_rampe,Poussee&lt;Poids*SIN(M897)),0,(-W897+Poussee)/m*SIN(M897)+U897/m*COS(M897)-Poids/m)</f>
        <v>-6.07943528357807</v>
      </c>
      <c r="F898" s="418" t="n">
        <f aca="false">SQRT(acc_x^2+acc_z^2)</f>
        <v>6.10313808206673</v>
      </c>
      <c r="G898" s="419" t="n">
        <f aca="false">G897+acc_x*pas</f>
        <v>10.2577636761035</v>
      </c>
      <c r="H898" s="420" t="n">
        <f aca="false">H897+acc_z*pas</f>
        <v>-71.2137606293284</v>
      </c>
      <c r="I898" s="418" t="n">
        <f aca="false">SQRT(vit_x^2+vit_z^2)</f>
        <v>71.9487416054379</v>
      </c>
      <c r="J898" s="419" t="n">
        <f aca="false">J897+0.5*(vit_x+G897)*pas*(K897&gt;=0)</f>
        <v>211.791153319536</v>
      </c>
      <c r="K898" s="420" t="n">
        <f aca="false">K897+0.5*(vit_z+H897)*pas</f>
        <v>-8.3333177797213</v>
      </c>
      <c r="L898" s="418" t="n">
        <f aca="false">SQRT(pos_x^2+pos_z^2)</f>
        <v>211.955034876827</v>
      </c>
      <c r="M898" s="419" t="n">
        <f aca="false">IF(AND(L897&gt;L_rampe,G898&gt;0),ATAN2(G898,H898),$M$4)</f>
        <v>-1.4277384268001</v>
      </c>
      <c r="N898" s="418" t="n">
        <f aca="false">DEGREES(Beta)</f>
        <v>-81.8033861042938</v>
      </c>
      <c r="O898" s="402"/>
      <c r="P898" s="421" t="n">
        <f aca="false">MATCH(t-pas/2-T_ini,CdP_t)</f>
        <v>23</v>
      </c>
      <c r="Q898" s="418" t="n">
        <f aca="false">(INDEX(CdP,2,i_P+1)-INDEX(CdP,2,i_P+0))/(INDEX(CdP,1,i_P+1)-INDEX(CdP,1,i_P+0))*(t-pas/2-T_ini-INDEX(CdP,1,i_P+0))+INDEX(CdP,2,i_P+0)</f>
        <v>0</v>
      </c>
      <c r="R898" s="419" t="n">
        <f aca="false">Poussee/(g*ISP)</f>
        <v>0</v>
      </c>
      <c r="S898" s="420" t="n">
        <f aca="false">S897-Débit*pas</f>
        <v>1.4843</v>
      </c>
      <c r="T898" s="418" t="n">
        <f aca="false">m*g</f>
        <v>14.560983</v>
      </c>
      <c r="U898" s="422" t="n">
        <f aca="false">IF(pos_xz&lt;L_rampe,Poids*COS(Beta),0)</f>
        <v>0</v>
      </c>
      <c r="V898" s="419" t="n">
        <f aca="false">Rho_moyen*(20000-Alt_rampe-pos_z)/(20000+Alt_rampe+pos_z)</f>
        <v>1.22602125695095</v>
      </c>
      <c r="W898" s="418" t="n">
        <f aca="false">1/2*Rho*Sref*Cx*vit_xz^2</f>
        <v>5.59452412000904</v>
      </c>
      <c r="X898" s="402"/>
      <c r="Y898" s="423" t="str">
        <f aca="false">IF(AND(pos_z&lt;=0,K897&gt;0),"Impact balistique","") &amp; IF(AND(H899&lt;0,vit_z&gt;=0),"Apogée","") &amp; IF(AND(Poussee=0,Q897&gt;0),"Fin de propulsion","") &amp; IF(AND(L899&gt;L_rampe,pos_xz&lt;=L_rampe),"Sortie de rampe","")</f>
        <v/>
      </c>
      <c r="Z898" s="424" t="str">
        <f aca="false">IF(ABS(t-T_para)&lt;pas/2,"Para","")</f>
        <v/>
      </c>
      <c r="AA898" s="425" t="str">
        <f aca="false">IF(ABS(t-T_satellite)&lt;pas/2,"Satellite","")</f>
        <v/>
      </c>
      <c r="AB898" s="413"/>
      <c r="AC898" s="421" t="e">
        <f aca="false">IF(ABS(t-ROUND(t,0))&lt;0.001,t,NA())</f>
        <v>#N/A</v>
      </c>
      <c r="AD898" s="426" t="e">
        <f aca="false">IF(ABS(t-ROUND(t,0))&lt;0.001,pos_x,NA())</f>
        <v>#N/A</v>
      </c>
      <c r="AE898" s="427" t="e">
        <f aca="false">IF(t&lt;T_para, pos_z, NA())</f>
        <v>#N/A</v>
      </c>
      <c r="AF898" s="413"/>
      <c r="AG898" s="419" t="n">
        <f aca="false">IF(AND(L897&lt;L_rampe,Poussee&lt;Poids*SIN(M897)),0,(-W897+Poussee)/m-Poids*SIN(M897)/m)</f>
        <v>5.94071670056189</v>
      </c>
      <c r="AH898" s="418" t="n">
        <f aca="false">IF(AND(L897&lt;L_rampe,Poussee&lt;Poids*SIN(M897)), g*SIN(M897), (-W897+Poussee)/m)</f>
        <v>-3.76906807911072</v>
      </c>
    </row>
    <row r="899" customFormat="false" ht="12" hidden="false" customHeight="false" outlineLevel="0" collapsed="false">
      <c r="A899" s="417" t="n">
        <f aca="false">IF(B898+0.01&lt;=T_ini+ROUNDUP(Temps_fin_propu,0), 0.01, IF(K898&gt;0, 0.1, 0.0001))</f>
        <v>0.0001</v>
      </c>
      <c r="B899" s="418" t="n">
        <f aca="false">B898+pas</f>
        <v>16.5549999999998</v>
      </c>
      <c r="C899" s="402"/>
      <c r="D899" s="419" t="n">
        <f aca="false">IF(AND(L898&lt;L_rampe,Poussee&lt;Poids*SIN(M898)),0,(-W898+Poussee)/m*COS(M898)-U898/m*SIN(M898))</f>
        <v>-0.537366947234019</v>
      </c>
      <c r="E899" s="420" t="n">
        <f aca="false">IF(AND(L898&lt;L_rampe,Poussee&lt;Poids*SIN(M898)),0,(-W898+Poussee)/m*SIN(M898)+U898/m*COS(M898)-Poids/m)</f>
        <v>-6.07936997587639</v>
      </c>
      <c r="F899" s="418" t="n">
        <f aca="false">SQRT(acc_x^2+acc_z^2)</f>
        <v>6.10307320450664</v>
      </c>
      <c r="G899" s="419" t="n">
        <f aca="false">G898+acc_x*pas</f>
        <v>10.2577099394088</v>
      </c>
      <c r="H899" s="420" t="n">
        <f aca="false">H898+acc_z*pas</f>
        <v>-71.2143685663259</v>
      </c>
      <c r="I899" s="418" t="n">
        <f aca="false">SQRT(vit_x^2+vit_z^2)</f>
        <v>71.9493356710231</v>
      </c>
      <c r="J899" s="419" t="n">
        <f aca="false">J898+0.5*(vit_x+G898)*pas*(K898&gt;=0)</f>
        <v>211.791153319536</v>
      </c>
      <c r="K899" s="420" t="n">
        <f aca="false">K898+0.5*(vit_z+H898)*pas</f>
        <v>-8.34043918618109</v>
      </c>
      <c r="L899" s="418" t="n">
        <f aca="false">SQRT(pos_x^2+pos_z^2)</f>
        <v>211.955314984639</v>
      </c>
      <c r="M899" s="419" t="n">
        <f aca="false">IF(AND(L898&gt;L_rampe,G899&gt;0),ATAN2(G899,H899),$M$4)</f>
        <v>-1.42774037069019</v>
      </c>
      <c r="N899" s="418" t="n">
        <f aca="false">DEGREES(Beta)</f>
        <v>-81.8034974809918</v>
      </c>
      <c r="O899" s="402"/>
      <c r="P899" s="421" t="n">
        <f aca="false">MATCH(t-pas/2-T_ini,CdP_t)</f>
        <v>23</v>
      </c>
      <c r="Q899" s="418" t="n">
        <f aca="false">(INDEX(CdP,2,i_P+1)-INDEX(CdP,2,i_P+0))/(INDEX(CdP,1,i_P+1)-INDEX(CdP,1,i_P+0))*(t-pas/2-T_ini-INDEX(CdP,1,i_P+0))+INDEX(CdP,2,i_P+0)</f>
        <v>0</v>
      </c>
      <c r="R899" s="419" t="n">
        <f aca="false">Poussee/(g*ISP)</f>
        <v>0</v>
      </c>
      <c r="S899" s="420" t="n">
        <f aca="false">S898-Débit*pas</f>
        <v>1.4843</v>
      </c>
      <c r="T899" s="418" t="n">
        <f aca="false">m*g</f>
        <v>14.560983</v>
      </c>
      <c r="U899" s="422" t="n">
        <f aca="false">IF(pos_xz&lt;L_rampe,Poids*COS(Beta),0)</f>
        <v>0</v>
      </c>
      <c r="V899" s="419" t="n">
        <f aca="false">Rho_moyen*(20000-Alt_rampe-pos_z)/(20000+Alt_rampe+pos_z)</f>
        <v>1.22602213005098</v>
      </c>
      <c r="W899" s="418" t="n">
        <f aca="false">1/2*Rho*Sref*Cx*vit_xz^2</f>
        <v>5.59462049015788</v>
      </c>
      <c r="X899" s="402"/>
      <c r="Y899" s="423" t="str">
        <f aca="false">IF(AND(pos_z&lt;=0,K898&gt;0),"Impact balistique","") &amp; IF(AND(H900&lt;0,vit_z&gt;=0),"Apogée","") &amp; IF(AND(Poussee=0,Q898&gt;0),"Fin de propulsion","") &amp; IF(AND(L900&gt;L_rampe,pos_xz&lt;=L_rampe),"Sortie de rampe","")</f>
        <v/>
      </c>
      <c r="Z899" s="424" t="str">
        <f aca="false">IF(ABS(t-T_para)&lt;pas/2,"Para","")</f>
        <v/>
      </c>
      <c r="AA899" s="425" t="str">
        <f aca="false">IF(ABS(t-T_satellite)&lt;pas/2,"Satellite","")</f>
        <v/>
      </c>
      <c r="AB899" s="413"/>
      <c r="AC899" s="421" t="e">
        <f aca="false">IF(ABS(t-ROUND(t,0))&lt;0.001,t,NA())</f>
        <v>#N/A</v>
      </c>
      <c r="AD899" s="426" t="e">
        <f aca="false">IF(ABS(t-ROUND(t,0))&lt;0.001,pos_x,NA())</f>
        <v>#N/A</v>
      </c>
      <c r="AE899" s="427" t="e">
        <f aca="false">IF(t&lt;T_para, pos_z, NA())</f>
        <v>#N/A</v>
      </c>
      <c r="AF899" s="413"/>
      <c r="AG899" s="419" t="n">
        <f aca="false">IF(AND(L898&lt;L_rampe,Poussee&lt;Poids*SIN(M898)),0,(-W898+Poussee)/m-Poids*SIN(M898)/m)</f>
        <v>5.94065449304268</v>
      </c>
      <c r="AH899" s="418" t="n">
        <f aca="false">IF(AND(L898&lt;L_rampe,Poussee&lt;Poids*SIN(M898)), g*SIN(M898), (-W898+Poussee)/m)</f>
        <v>-3.76913300546321</v>
      </c>
    </row>
    <row r="900" customFormat="false" ht="12" hidden="false" customHeight="false" outlineLevel="0" collapsed="false">
      <c r="A900" s="417" t="n">
        <f aca="false">IF(B899+0.01&lt;=T_ini+ROUNDUP(Temps_fin_propu,0), 0.01, IF(K899&gt;0, 0.1, 0.0001))</f>
        <v>0.0001</v>
      </c>
      <c r="B900" s="418" t="n">
        <f aca="false">B899+pas</f>
        <v>16.5550999999998</v>
      </c>
      <c r="C900" s="402"/>
      <c r="D900" s="419" t="n">
        <f aca="false">IF(AND(L899&lt;L_rampe,Poussee&lt;Poids*SIN(M899)),0,(-W899+Poussee)/m*COS(M899)-U899/m*SIN(M899))</f>
        <v>-0.537368951748451</v>
      </c>
      <c r="E900" s="420" t="n">
        <f aca="false">IF(AND(L899&lt;L_rampe,Poussee&lt;Poids*SIN(M899)),0,(-W899+Poussee)/m*SIN(M899)+U899/m*COS(M899)-Poids/m)</f>
        <v>-6.07930466819965</v>
      </c>
      <c r="F900" s="418" t="n">
        <f aca="false">SQRT(acc_x^2+acc_z^2)</f>
        <v>6.10300832697264</v>
      </c>
      <c r="G900" s="419" t="n">
        <f aca="false">G899+acc_x*pas</f>
        <v>10.2576562025136</v>
      </c>
      <c r="H900" s="420" t="n">
        <f aca="false">H899+acc_z*pas</f>
        <v>-71.2149764967928</v>
      </c>
      <c r="I900" s="418" t="n">
        <f aca="false">SQRT(vit_x^2+vit_z^2)</f>
        <v>71.9499297303876</v>
      </c>
      <c r="J900" s="419" t="n">
        <f aca="false">J899+0.5*(vit_x+G899)*pas*(K899&gt;=0)</f>
        <v>211.791153319536</v>
      </c>
      <c r="K900" s="420" t="n">
        <f aca="false">K899+0.5*(vit_z+H899)*pas</f>
        <v>-8.34756065343424</v>
      </c>
      <c r="L900" s="418" t="n">
        <f aca="false">SQRT(pos_x^2+pos_z^2)</f>
        <v>211.955595333744</v>
      </c>
      <c r="M900" s="419" t="n">
        <f aca="false">IF(AND(L899&gt;L_rampe,G900&gt;0),ATAN2(G900,H900),$M$4)</f>
        <v>-1.427742314538</v>
      </c>
      <c r="N900" s="418" t="n">
        <f aca="false">DEGREES(Beta)</f>
        <v>-81.8036088552672</v>
      </c>
      <c r="O900" s="402"/>
      <c r="P900" s="421" t="n">
        <f aca="false">MATCH(t-pas/2-T_ini,CdP_t)</f>
        <v>23</v>
      </c>
      <c r="Q900" s="418" t="n">
        <f aca="false">(INDEX(CdP,2,i_P+1)-INDEX(CdP,2,i_P+0))/(INDEX(CdP,1,i_P+1)-INDEX(CdP,1,i_P+0))*(t-pas/2-T_ini-INDEX(CdP,1,i_P+0))+INDEX(CdP,2,i_P+0)</f>
        <v>0</v>
      </c>
      <c r="R900" s="419" t="n">
        <f aca="false">Poussee/(g*ISP)</f>
        <v>0</v>
      </c>
      <c r="S900" s="420" t="n">
        <f aca="false">S899-Débit*pas</f>
        <v>1.4843</v>
      </c>
      <c r="T900" s="418" t="n">
        <f aca="false">m*g</f>
        <v>14.560983</v>
      </c>
      <c r="U900" s="422" t="n">
        <f aca="false">IF(pos_xz&lt;L_rampe,Poids*COS(Beta),0)</f>
        <v>0</v>
      </c>
      <c r="V900" s="419" t="n">
        <f aca="false">Rho_moyen*(20000-Alt_rampe-pos_z)/(20000+Alt_rampe+pos_z)</f>
        <v>1.22602300315909</v>
      </c>
      <c r="W900" s="418" t="n">
        <f aca="false">1/2*Rho*Sref*Cx*vit_xz^2</f>
        <v>5.59471686027053</v>
      </c>
      <c r="X900" s="402"/>
      <c r="Y900" s="423" t="str">
        <f aca="false">IF(AND(pos_z&lt;=0,K899&gt;0),"Impact balistique","") &amp; IF(AND(H901&lt;0,vit_z&gt;=0),"Apogée","") &amp; IF(AND(Poussee=0,Q899&gt;0),"Fin de propulsion","") &amp; IF(AND(L901&gt;L_rampe,pos_xz&lt;=L_rampe),"Sortie de rampe","")</f>
        <v/>
      </c>
      <c r="Z900" s="424" t="str">
        <f aca="false">IF(ABS(t-T_para)&lt;pas/2,"Para","")</f>
        <v/>
      </c>
      <c r="AA900" s="425" t="str">
        <f aca="false">IF(ABS(t-T_satellite)&lt;pas/2,"Satellite","")</f>
        <v/>
      </c>
      <c r="AB900" s="413"/>
      <c r="AC900" s="421" t="e">
        <f aca="false">IF(ABS(t-ROUND(t,0))&lt;0.001,t,NA())</f>
        <v>#N/A</v>
      </c>
      <c r="AD900" s="426" t="e">
        <f aca="false">IF(ABS(t-ROUND(t,0))&lt;0.001,pos_x,NA())</f>
        <v>#N/A</v>
      </c>
      <c r="AE900" s="427" t="e">
        <f aca="false">IF(t&lt;T_para, pos_z, NA())</f>
        <v>#N/A</v>
      </c>
      <c r="AF900" s="413"/>
      <c r="AG900" s="419" t="n">
        <f aca="false">IF(AND(L899&lt;L_rampe,Poussee&lt;Poids*SIN(M899)),0,(-W899+Poussee)/m-Poids*SIN(M899)/m)</f>
        <v>5.940592285452</v>
      </c>
      <c r="AH900" s="418" t="n">
        <f aca="false">IF(AND(L899&lt;L_rampe,Poussee&lt;Poids*SIN(M899)), g*SIN(M899), (-W899+Poussee)/m)</f>
        <v>-3.76919793179134</v>
      </c>
    </row>
    <row r="901" customFormat="false" ht="12" hidden="false" customHeight="false" outlineLevel="0" collapsed="false">
      <c r="A901" s="417" t="n">
        <f aca="false">IF(B900+0.01&lt;=T_ini+ROUNDUP(Temps_fin_propu,0), 0.01, IF(K900&gt;0, 0.1, 0.0001))</f>
        <v>0.0001</v>
      </c>
      <c r="B901" s="418" t="n">
        <f aca="false">B900+pas</f>
        <v>16.5551999999998</v>
      </c>
      <c r="C901" s="402"/>
      <c r="D901" s="419" t="n">
        <f aca="false">IF(AND(L900&lt;L_rampe,Poussee&lt;Poids*SIN(M900)),0,(-W900+Poussee)/m*COS(M900)-U900/m*SIN(M900))</f>
        <v>-0.537370956165283</v>
      </c>
      <c r="E901" s="420" t="n">
        <f aca="false">IF(AND(L900&lt;L_rampe,Poussee&lt;Poids*SIN(M900)),0,(-W900+Poussee)/m*SIN(M900)+U900/m*COS(M900)-Poids/m)</f>
        <v>-6.07923936054788</v>
      </c>
      <c r="F901" s="418" t="n">
        <f aca="false">SQRT(acc_x^2+acc_z^2)</f>
        <v>6.10294344946475</v>
      </c>
      <c r="G901" s="419" t="n">
        <f aca="false">G900+acc_x*pas</f>
        <v>10.257602465418</v>
      </c>
      <c r="H901" s="420" t="n">
        <f aca="false">H900+acc_z*pas</f>
        <v>-71.2155844207288</v>
      </c>
      <c r="I901" s="418" t="n">
        <f aca="false">SQRT(vit_x^2+vit_z^2)</f>
        <v>71.9505237835313</v>
      </c>
      <c r="J901" s="419" t="n">
        <f aca="false">J900+0.5*(vit_x+G900)*pas*(K900&gt;=0)</f>
        <v>211.791153319536</v>
      </c>
      <c r="K901" s="420" t="n">
        <f aca="false">K900+0.5*(vit_z+H900)*pas</f>
        <v>-8.35468218148012</v>
      </c>
      <c r="L901" s="418" t="n">
        <f aca="false">SQRT(pos_x^2+pos_z^2)</f>
        <v>211.955875924148</v>
      </c>
      <c r="M901" s="419" t="n">
        <f aca="false">IF(AND(L900&gt;L_rampe,G901&gt;0),ATAN2(G901,H901),$M$4)</f>
        <v>-1.42774425834353</v>
      </c>
      <c r="N901" s="418" t="n">
        <f aca="false">DEGREES(Beta)</f>
        <v>-81.8037202271201</v>
      </c>
      <c r="O901" s="402"/>
      <c r="P901" s="421" t="n">
        <f aca="false">MATCH(t-pas/2-T_ini,CdP_t)</f>
        <v>23</v>
      </c>
      <c r="Q901" s="418" t="n">
        <f aca="false">(INDEX(CdP,2,i_P+1)-INDEX(CdP,2,i_P+0))/(INDEX(CdP,1,i_P+1)-INDEX(CdP,1,i_P+0))*(t-pas/2-T_ini-INDEX(CdP,1,i_P+0))+INDEX(CdP,2,i_P+0)</f>
        <v>0</v>
      </c>
      <c r="R901" s="419" t="n">
        <f aca="false">Poussee/(g*ISP)</f>
        <v>0</v>
      </c>
      <c r="S901" s="420" t="n">
        <f aca="false">S900-Débit*pas</f>
        <v>1.4843</v>
      </c>
      <c r="T901" s="418" t="n">
        <f aca="false">m*g</f>
        <v>14.560983</v>
      </c>
      <c r="U901" s="422" t="n">
        <f aca="false">IF(pos_xz&lt;L_rampe,Poids*COS(Beta),0)</f>
        <v>0</v>
      </c>
      <c r="V901" s="419" t="n">
        <f aca="false">Rho_moyen*(20000-Alt_rampe-pos_z)/(20000+Alt_rampe+pos_z)</f>
        <v>1.22602387627528</v>
      </c>
      <c r="W901" s="418" t="n">
        <f aca="false">1/2*Rho*Sref*Cx*vit_xz^2</f>
        <v>5.59481323034698</v>
      </c>
      <c r="X901" s="402"/>
      <c r="Y901" s="423" t="str">
        <f aca="false">IF(AND(pos_z&lt;=0,K900&gt;0),"Impact balistique","") &amp; IF(AND(H902&lt;0,vit_z&gt;=0),"Apogée","") &amp; IF(AND(Poussee=0,Q900&gt;0),"Fin de propulsion","") &amp; IF(AND(L902&gt;L_rampe,pos_xz&lt;=L_rampe),"Sortie de rampe","")</f>
        <v/>
      </c>
      <c r="Z901" s="424" t="str">
        <f aca="false">IF(ABS(t-T_para)&lt;pas/2,"Para","")</f>
        <v/>
      </c>
      <c r="AA901" s="425" t="str">
        <f aca="false">IF(ABS(t-T_satellite)&lt;pas/2,"Satellite","")</f>
        <v/>
      </c>
      <c r="AB901" s="413"/>
      <c r="AC901" s="421" t="e">
        <f aca="false">IF(ABS(t-ROUND(t,0))&lt;0.001,t,NA())</f>
        <v>#N/A</v>
      </c>
      <c r="AD901" s="426" t="e">
        <f aca="false">IF(ABS(t-ROUND(t,0))&lt;0.001,pos_x,NA())</f>
        <v>#N/A</v>
      </c>
      <c r="AE901" s="427" t="e">
        <f aca="false">IF(t&lt;T_para, pos_z, NA())</f>
        <v>#N/A</v>
      </c>
      <c r="AF901" s="413"/>
      <c r="AG901" s="419" t="n">
        <f aca="false">IF(AND(L900&lt;L_rampe,Poussee&lt;Poids*SIN(M900)),0,(-W900+Poussee)/m-Poids*SIN(M900)/m)</f>
        <v>5.94053007778988</v>
      </c>
      <c r="AH901" s="418" t="n">
        <f aca="false">IF(AND(L900&lt;L_rampe,Poussee&lt;Poids*SIN(M900)), g*SIN(M900), (-W900+Poussee)/m)</f>
        <v>-3.76926285809509</v>
      </c>
    </row>
    <row r="902" customFormat="false" ht="12" hidden="false" customHeight="false" outlineLevel="0" collapsed="false">
      <c r="A902" s="417" t="n">
        <f aca="false">IF(B901+0.01&lt;=T_ini+ROUNDUP(Temps_fin_propu,0), 0.01, IF(K901&gt;0, 0.1, 0.0001))</f>
        <v>0.0001</v>
      </c>
      <c r="B902" s="418" t="n">
        <f aca="false">B901+pas</f>
        <v>16.5552999999998</v>
      </c>
      <c r="C902" s="402"/>
      <c r="D902" s="419" t="n">
        <f aca="false">IF(AND(L901&lt;L_rampe,Poussee&lt;Poids*SIN(M901)),0,(-W901+Poussee)/m*COS(M901)-U901/m*SIN(M901))</f>
        <v>-0.537372960484516</v>
      </c>
      <c r="E902" s="420" t="n">
        <f aca="false">IF(AND(L901&lt;L_rampe,Poussee&lt;Poids*SIN(M901)),0,(-W901+Poussee)/m*SIN(M901)+U901/m*COS(M901)-Poids/m)</f>
        <v>-6.07917405292109</v>
      </c>
      <c r="F902" s="418" t="n">
        <f aca="false">SQRT(acc_x^2+acc_z^2)</f>
        <v>6.10287857198297</v>
      </c>
      <c r="G902" s="419" t="n">
        <f aca="false">G901+acc_x*pas</f>
        <v>10.2575487281219</v>
      </c>
      <c r="H902" s="420" t="n">
        <f aca="false">H901+acc_z*pas</f>
        <v>-71.2161923381341</v>
      </c>
      <c r="I902" s="418" t="n">
        <f aca="false">SQRT(vit_x^2+vit_z^2)</f>
        <v>71.9511178304542</v>
      </c>
      <c r="J902" s="419" t="n">
        <f aca="false">J901+0.5*(vit_x+G901)*pas*(K901&gt;=0)</f>
        <v>211.791153319536</v>
      </c>
      <c r="K902" s="420" t="n">
        <f aca="false">K901+0.5*(vit_z+H901)*pas</f>
        <v>-8.36180377031806</v>
      </c>
      <c r="L902" s="418" t="n">
        <f aca="false">SQRT(pos_x^2+pos_z^2)</f>
        <v>211.956156755855</v>
      </c>
      <c r="M902" s="419" t="n">
        <f aca="false">IF(AND(L901&gt;L_rampe,G902&gt;0),ATAN2(G902,H902),$M$4)</f>
        <v>-1.42774620210677</v>
      </c>
      <c r="N902" s="418" t="n">
        <f aca="false">DEGREES(Beta)</f>
        <v>-81.8038315965505</v>
      </c>
      <c r="O902" s="402"/>
      <c r="P902" s="421" t="n">
        <f aca="false">MATCH(t-pas/2-T_ini,CdP_t)</f>
        <v>23</v>
      </c>
      <c r="Q902" s="418" t="n">
        <f aca="false">(INDEX(CdP,2,i_P+1)-INDEX(CdP,2,i_P+0))/(INDEX(CdP,1,i_P+1)-INDEX(CdP,1,i_P+0))*(t-pas/2-T_ini-INDEX(CdP,1,i_P+0))+INDEX(CdP,2,i_P+0)</f>
        <v>0</v>
      </c>
      <c r="R902" s="419" t="n">
        <f aca="false">Poussee/(g*ISP)</f>
        <v>0</v>
      </c>
      <c r="S902" s="420" t="n">
        <f aca="false">S901-Débit*pas</f>
        <v>1.4843</v>
      </c>
      <c r="T902" s="418" t="n">
        <f aca="false">m*g</f>
        <v>14.560983</v>
      </c>
      <c r="U902" s="422" t="n">
        <f aca="false">IF(pos_xz&lt;L_rampe,Poids*COS(Beta),0)</f>
        <v>0</v>
      </c>
      <c r="V902" s="419" t="n">
        <f aca="false">Rho_moyen*(20000-Alt_rampe-pos_z)/(20000+Alt_rampe+pos_z)</f>
        <v>1.22602474939953</v>
      </c>
      <c r="W902" s="418" t="n">
        <f aca="false">1/2*Rho*Sref*Cx*vit_xz^2</f>
        <v>5.59490960038717</v>
      </c>
      <c r="X902" s="402"/>
      <c r="Y902" s="423" t="str">
        <f aca="false">IF(AND(pos_z&lt;=0,K901&gt;0),"Impact balistique","") &amp; IF(AND(H903&lt;0,vit_z&gt;=0),"Apogée","") &amp; IF(AND(Poussee=0,Q901&gt;0),"Fin de propulsion","") &amp; IF(AND(L903&gt;L_rampe,pos_xz&lt;=L_rampe),"Sortie de rampe","")</f>
        <v/>
      </c>
      <c r="Z902" s="424" t="str">
        <f aca="false">IF(ABS(t-T_para)&lt;pas/2,"Para","")</f>
        <v/>
      </c>
      <c r="AA902" s="425" t="str">
        <f aca="false">IF(ABS(t-T_satellite)&lt;pas/2,"Satellite","")</f>
        <v/>
      </c>
      <c r="AB902" s="413"/>
      <c r="AC902" s="421" t="e">
        <f aca="false">IF(ABS(t-ROUND(t,0))&lt;0.001,t,NA())</f>
        <v>#N/A</v>
      </c>
      <c r="AD902" s="426" t="e">
        <f aca="false">IF(ABS(t-ROUND(t,0))&lt;0.001,pos_x,NA())</f>
        <v>#N/A</v>
      </c>
      <c r="AE902" s="427" t="e">
        <f aca="false">IF(t&lt;T_para, pos_z, NA())</f>
        <v>#N/A</v>
      </c>
      <c r="AF902" s="413"/>
      <c r="AG902" s="419" t="n">
        <f aca="false">IF(AND(L901&lt;L_rampe,Poussee&lt;Poids*SIN(M901)),0,(-W901+Poussee)/m-Poids*SIN(M901)/m)</f>
        <v>5.94046787005633</v>
      </c>
      <c r="AH902" s="418" t="n">
        <f aca="false">IF(AND(L901&lt;L_rampe,Poussee&lt;Poids*SIN(M901)), g*SIN(M901), (-W901+Poussee)/m)</f>
        <v>-3.76932778437444</v>
      </c>
    </row>
    <row r="903" customFormat="false" ht="12" hidden="false" customHeight="false" outlineLevel="0" collapsed="false">
      <c r="A903" s="417" t="n">
        <f aca="false">IF(B902+0.01&lt;=T_ini+ROUNDUP(Temps_fin_propu,0), 0.01, IF(K902&gt;0, 0.1, 0.0001))</f>
        <v>0.0001</v>
      </c>
      <c r="B903" s="418" t="n">
        <f aca="false">B902+pas</f>
        <v>16.5553999999998</v>
      </c>
      <c r="C903" s="402"/>
      <c r="D903" s="419" t="n">
        <f aca="false">IF(AND(L902&lt;L_rampe,Poussee&lt;Poids*SIN(M902)),0,(-W902+Poussee)/m*COS(M902)-U902/m*SIN(M902))</f>
        <v>-0.537374964706152</v>
      </c>
      <c r="E903" s="420" t="n">
        <f aca="false">IF(AND(L902&lt;L_rampe,Poussee&lt;Poids*SIN(M902)),0,(-W902+Poussee)/m*SIN(M902)+U902/m*COS(M902)-Poids/m)</f>
        <v>-6.0791087453193</v>
      </c>
      <c r="F903" s="418" t="n">
        <f aca="false">SQRT(acc_x^2+acc_z^2)</f>
        <v>6.10281369452735</v>
      </c>
      <c r="G903" s="419" t="n">
        <f aca="false">G902+acc_x*pas</f>
        <v>10.2574949906255</v>
      </c>
      <c r="H903" s="420" t="n">
        <f aca="false">H902+acc_z*pas</f>
        <v>-71.2168002490086</v>
      </c>
      <c r="I903" s="418" t="n">
        <f aca="false">SQRT(vit_x^2+vit_z^2)</f>
        <v>71.9517118711564</v>
      </c>
      <c r="J903" s="419" t="n">
        <f aca="false">J902+0.5*(vit_x+G902)*pas*(K902&gt;=0)</f>
        <v>211.791153319536</v>
      </c>
      <c r="K903" s="420" t="n">
        <f aca="false">K902+0.5*(vit_z+H902)*pas</f>
        <v>-8.36892541994742</v>
      </c>
      <c r="L903" s="418" t="n">
        <f aca="false">SQRT(pos_x^2+pos_z^2)</f>
        <v>211.956437828871</v>
      </c>
      <c r="M903" s="419" t="n">
        <f aca="false">IF(AND(L902&gt;L_rampe,G903&gt;0),ATAN2(G903,H903),$M$4)</f>
        <v>-1.42774814582774</v>
      </c>
      <c r="N903" s="418" t="n">
        <f aca="false">DEGREES(Beta)</f>
        <v>-81.8039429635584</v>
      </c>
      <c r="O903" s="402"/>
      <c r="P903" s="421" t="n">
        <f aca="false">MATCH(t-pas/2-T_ini,CdP_t)</f>
        <v>23</v>
      </c>
      <c r="Q903" s="418" t="n">
        <f aca="false">(INDEX(CdP,2,i_P+1)-INDEX(CdP,2,i_P+0))/(INDEX(CdP,1,i_P+1)-INDEX(CdP,1,i_P+0))*(t-pas/2-T_ini-INDEX(CdP,1,i_P+0))+INDEX(CdP,2,i_P+0)</f>
        <v>0</v>
      </c>
      <c r="R903" s="419" t="n">
        <f aca="false">Poussee/(g*ISP)</f>
        <v>0</v>
      </c>
      <c r="S903" s="420" t="n">
        <f aca="false">S902-Débit*pas</f>
        <v>1.4843</v>
      </c>
      <c r="T903" s="418" t="n">
        <f aca="false">m*g</f>
        <v>14.560983</v>
      </c>
      <c r="U903" s="422" t="n">
        <f aca="false">IF(pos_xz&lt;L_rampe,Poids*COS(Beta),0)</f>
        <v>0</v>
      </c>
      <c r="V903" s="419" t="n">
        <f aca="false">Rho_moyen*(20000-Alt_rampe-pos_z)/(20000+Alt_rampe+pos_z)</f>
        <v>1.22602562253187</v>
      </c>
      <c r="W903" s="418" t="n">
        <f aca="false">1/2*Rho*Sref*Cx*vit_xz^2</f>
        <v>5.59500597039111</v>
      </c>
      <c r="X903" s="402"/>
      <c r="Y903" s="423" t="str">
        <f aca="false">IF(AND(pos_z&lt;=0,K902&gt;0),"Impact balistique","") &amp; IF(AND(H904&lt;0,vit_z&gt;=0),"Apogée","") &amp; IF(AND(Poussee=0,Q902&gt;0),"Fin de propulsion","") &amp; IF(AND(L904&gt;L_rampe,pos_xz&lt;=L_rampe),"Sortie de rampe","")</f>
        <v/>
      </c>
      <c r="Z903" s="424" t="str">
        <f aca="false">IF(ABS(t-T_para)&lt;pas/2,"Para","")</f>
        <v/>
      </c>
      <c r="AA903" s="425" t="str">
        <f aca="false">IF(ABS(t-T_satellite)&lt;pas/2,"Satellite","")</f>
        <v/>
      </c>
      <c r="AB903" s="413"/>
      <c r="AC903" s="421" t="e">
        <f aca="false">IF(ABS(t-ROUND(t,0))&lt;0.001,t,NA())</f>
        <v>#N/A</v>
      </c>
      <c r="AD903" s="426" t="e">
        <f aca="false">IF(ABS(t-ROUND(t,0))&lt;0.001,pos_x,NA())</f>
        <v>#N/A</v>
      </c>
      <c r="AE903" s="427" t="e">
        <f aca="false">IF(t&lt;T_para, pos_z, NA())</f>
        <v>#N/A</v>
      </c>
      <c r="AF903" s="413"/>
      <c r="AG903" s="419" t="n">
        <f aca="false">IF(AND(L902&lt;L_rampe,Poussee&lt;Poids*SIN(M902)),0,(-W902+Poussee)/m-Poids*SIN(M902)/m)</f>
        <v>5.94040566225138</v>
      </c>
      <c r="AH903" s="418" t="n">
        <f aca="false">IF(AND(L902&lt;L_rampe,Poussee&lt;Poids*SIN(M902)), g*SIN(M902), (-W902+Poussee)/m)</f>
        <v>-3.76939271062937</v>
      </c>
    </row>
    <row r="904" customFormat="false" ht="12" hidden="false" customHeight="false" outlineLevel="0" collapsed="false">
      <c r="A904" s="417" t="n">
        <f aca="false">IF(B903+0.01&lt;=T_ini+ROUNDUP(Temps_fin_propu,0), 0.01, IF(K903&gt;0, 0.1, 0.0001))</f>
        <v>0.0001</v>
      </c>
      <c r="B904" s="418" t="n">
        <f aca="false">B903+pas</f>
        <v>16.5554999999998</v>
      </c>
      <c r="C904" s="402"/>
      <c r="D904" s="419" t="n">
        <f aca="false">IF(AND(L903&lt;L_rampe,Poussee&lt;Poids*SIN(M903)),0,(-W903+Poussee)/m*COS(M903)-U903/m*SIN(M903))</f>
        <v>-0.53737696883019</v>
      </c>
      <c r="E904" s="420" t="n">
        <f aca="false">IF(AND(L903&lt;L_rampe,Poussee&lt;Poids*SIN(M903)),0,(-W903+Poussee)/m*SIN(M903)+U903/m*COS(M903)-Poids/m)</f>
        <v>-6.07904343774252</v>
      </c>
      <c r="F904" s="418" t="n">
        <f aca="false">SQRT(acc_x^2+acc_z^2)</f>
        <v>6.10274881709788</v>
      </c>
      <c r="G904" s="419" t="n">
        <f aca="false">G903+acc_x*pas</f>
        <v>10.2574412529286</v>
      </c>
      <c r="H904" s="420" t="n">
        <f aca="false">H903+acc_z*pas</f>
        <v>-71.2174081533524</v>
      </c>
      <c r="I904" s="418" t="n">
        <f aca="false">SQRT(vit_x^2+vit_z^2)</f>
        <v>71.9523059056377</v>
      </c>
      <c r="J904" s="419" t="n">
        <f aca="false">J903+0.5*(vit_x+G903)*pas*(K903&gt;=0)</f>
        <v>211.791153319536</v>
      </c>
      <c r="K904" s="420" t="n">
        <f aca="false">K903+0.5*(vit_z+H903)*pas</f>
        <v>-8.37604713036754</v>
      </c>
      <c r="L904" s="418" t="n">
        <f aca="false">SQRT(pos_x^2+pos_z^2)</f>
        <v>211.9567191432</v>
      </c>
      <c r="M904" s="419" t="n">
        <f aca="false">IF(AND(L903&gt;L_rampe,G904&gt;0),ATAN2(G904,H904),$M$4)</f>
        <v>-1.42775008950643</v>
      </c>
      <c r="N904" s="418" t="n">
        <f aca="false">DEGREES(Beta)</f>
        <v>-81.8040543281441</v>
      </c>
      <c r="O904" s="402"/>
      <c r="P904" s="421" t="n">
        <f aca="false">MATCH(t-pas/2-T_ini,CdP_t)</f>
        <v>23</v>
      </c>
      <c r="Q904" s="418" t="n">
        <f aca="false">(INDEX(CdP,2,i_P+1)-INDEX(CdP,2,i_P+0))/(INDEX(CdP,1,i_P+1)-INDEX(CdP,1,i_P+0))*(t-pas/2-T_ini-INDEX(CdP,1,i_P+0))+INDEX(CdP,2,i_P+0)</f>
        <v>0</v>
      </c>
      <c r="R904" s="419" t="n">
        <f aca="false">Poussee/(g*ISP)</f>
        <v>0</v>
      </c>
      <c r="S904" s="420" t="n">
        <f aca="false">S903-Débit*pas</f>
        <v>1.4843</v>
      </c>
      <c r="T904" s="418" t="n">
        <f aca="false">m*g</f>
        <v>14.560983</v>
      </c>
      <c r="U904" s="422" t="n">
        <f aca="false">IF(pos_xz&lt;L_rampe,Poids*COS(Beta),0)</f>
        <v>0</v>
      </c>
      <c r="V904" s="419" t="n">
        <f aca="false">Rho_moyen*(20000-Alt_rampe-pos_z)/(20000+Alt_rampe+pos_z)</f>
        <v>1.22602649567228</v>
      </c>
      <c r="W904" s="418" t="n">
        <f aca="false">1/2*Rho*Sref*Cx*vit_xz^2</f>
        <v>5.59510234035877</v>
      </c>
      <c r="X904" s="402"/>
      <c r="Y904" s="423" t="str">
        <f aca="false">IF(AND(pos_z&lt;=0,K903&gt;0),"Impact balistique","") &amp; IF(AND(H905&lt;0,vit_z&gt;=0),"Apogée","") &amp; IF(AND(Poussee=0,Q903&gt;0),"Fin de propulsion","") &amp; IF(AND(L905&gt;L_rampe,pos_xz&lt;=L_rampe),"Sortie de rampe","")</f>
        <v/>
      </c>
      <c r="Z904" s="424" t="str">
        <f aca="false">IF(ABS(t-T_para)&lt;pas/2,"Para","")</f>
        <v/>
      </c>
      <c r="AA904" s="425" t="str">
        <f aca="false">IF(ABS(t-T_satellite)&lt;pas/2,"Satellite","")</f>
        <v/>
      </c>
      <c r="AB904" s="413"/>
      <c r="AC904" s="421" t="e">
        <f aca="false">IF(ABS(t-ROUND(t,0))&lt;0.001,t,NA())</f>
        <v>#N/A</v>
      </c>
      <c r="AD904" s="426" t="e">
        <f aca="false">IF(ABS(t-ROUND(t,0))&lt;0.001,pos_x,NA())</f>
        <v>#N/A</v>
      </c>
      <c r="AE904" s="427" t="e">
        <f aca="false">IF(t&lt;T_para, pos_z, NA())</f>
        <v>#N/A</v>
      </c>
      <c r="AF904" s="413"/>
      <c r="AG904" s="419" t="n">
        <f aca="false">IF(AND(L903&lt;L_rampe,Poussee&lt;Poids*SIN(M903)),0,(-W903+Poussee)/m-Poids*SIN(M903)/m)</f>
        <v>5.94034345437504</v>
      </c>
      <c r="AH904" s="418" t="n">
        <f aca="false">IF(AND(L903&lt;L_rampe,Poussee&lt;Poids*SIN(M903)), g*SIN(M903), (-W903+Poussee)/m)</f>
        <v>-3.76945763685988</v>
      </c>
    </row>
    <row r="905" customFormat="false" ht="12" hidden="false" customHeight="false" outlineLevel="0" collapsed="false">
      <c r="A905" s="417" t="n">
        <f aca="false">IF(B904+0.01&lt;=T_ini+ROUNDUP(Temps_fin_propu,0), 0.01, IF(K904&gt;0, 0.1, 0.0001))</f>
        <v>0.0001</v>
      </c>
      <c r="B905" s="418" t="n">
        <f aca="false">B904+pas</f>
        <v>16.5555999999998</v>
      </c>
      <c r="C905" s="402"/>
      <c r="D905" s="419" t="n">
        <f aca="false">IF(AND(L904&lt;L_rampe,Poussee&lt;Poids*SIN(M904)),0,(-W904+Poussee)/m*COS(M904)-U904/m*SIN(M904))</f>
        <v>-0.537378972856631</v>
      </c>
      <c r="E905" s="420" t="n">
        <f aca="false">IF(AND(L904&lt;L_rampe,Poussee&lt;Poids*SIN(M904)),0,(-W904+Poussee)/m*SIN(M904)+U904/m*COS(M904)-Poids/m)</f>
        <v>-6.07897813019077</v>
      </c>
      <c r="F905" s="418" t="n">
        <f aca="false">SQRT(acc_x^2+acc_z^2)</f>
        <v>6.10268393969458</v>
      </c>
      <c r="G905" s="419" t="n">
        <f aca="false">G904+acc_x*pas</f>
        <v>10.2573875150313</v>
      </c>
      <c r="H905" s="420" t="n">
        <f aca="false">H904+acc_z*pas</f>
        <v>-71.2180160511655</v>
      </c>
      <c r="I905" s="418" t="n">
        <f aca="false">SQRT(vit_x^2+vit_z^2)</f>
        <v>71.9528999338983</v>
      </c>
      <c r="J905" s="419" t="n">
        <f aca="false">J904+0.5*(vit_x+G904)*pas*(K904&gt;=0)</f>
        <v>211.791153319536</v>
      </c>
      <c r="K905" s="420" t="n">
        <f aca="false">K904+0.5*(vit_z+H904)*pas</f>
        <v>-8.38316890157777</v>
      </c>
      <c r="L905" s="418" t="n">
        <f aca="false">SQRT(pos_x^2+pos_z^2)</f>
        <v>211.957000698848</v>
      </c>
      <c r="M905" s="419" t="n">
        <f aca="false">IF(AND(L904&gt;L_rampe,G905&gt;0),ATAN2(G905,H905),$M$4)</f>
        <v>-1.42775203314285</v>
      </c>
      <c r="N905" s="418" t="n">
        <f aca="false">DEGREES(Beta)</f>
        <v>-81.8041656903075</v>
      </c>
      <c r="O905" s="402"/>
      <c r="P905" s="421" t="n">
        <f aca="false">MATCH(t-pas/2-T_ini,CdP_t)</f>
        <v>23</v>
      </c>
      <c r="Q905" s="418" t="n">
        <f aca="false">(INDEX(CdP,2,i_P+1)-INDEX(CdP,2,i_P+0))/(INDEX(CdP,1,i_P+1)-INDEX(CdP,1,i_P+0))*(t-pas/2-T_ini-INDEX(CdP,1,i_P+0))+INDEX(CdP,2,i_P+0)</f>
        <v>0</v>
      </c>
      <c r="R905" s="419" t="n">
        <f aca="false">Poussee/(g*ISP)</f>
        <v>0</v>
      </c>
      <c r="S905" s="420" t="n">
        <f aca="false">S904-Débit*pas</f>
        <v>1.4843</v>
      </c>
      <c r="T905" s="418" t="n">
        <f aca="false">m*g</f>
        <v>14.560983</v>
      </c>
      <c r="U905" s="422" t="n">
        <f aca="false">IF(pos_xz&lt;L_rampe,Poids*COS(Beta),0)</f>
        <v>0</v>
      </c>
      <c r="V905" s="419" t="n">
        <f aca="false">Rho_moyen*(20000-Alt_rampe-pos_z)/(20000+Alt_rampe+pos_z)</f>
        <v>1.22602736882076</v>
      </c>
      <c r="W905" s="418" t="n">
        <f aca="false">1/2*Rho*Sref*Cx*vit_xz^2</f>
        <v>5.59519871029011</v>
      </c>
      <c r="X905" s="402"/>
      <c r="Y905" s="423" t="str">
        <f aca="false">IF(AND(pos_z&lt;=0,K904&gt;0),"Impact balistique","") &amp; IF(AND(H906&lt;0,vit_z&gt;=0),"Apogée","") &amp; IF(AND(Poussee=0,Q904&gt;0),"Fin de propulsion","") &amp; IF(AND(L906&gt;L_rampe,pos_xz&lt;=L_rampe),"Sortie de rampe","")</f>
        <v/>
      </c>
      <c r="Z905" s="424" t="str">
        <f aca="false">IF(ABS(t-T_para)&lt;pas/2,"Para","")</f>
        <v/>
      </c>
      <c r="AA905" s="425" t="str">
        <f aca="false">IF(ABS(t-T_satellite)&lt;pas/2,"Satellite","")</f>
        <v/>
      </c>
      <c r="AB905" s="413"/>
      <c r="AC905" s="421" t="e">
        <f aca="false">IF(ABS(t-ROUND(t,0))&lt;0.001,t,NA())</f>
        <v>#N/A</v>
      </c>
      <c r="AD905" s="426" t="e">
        <f aca="false">IF(ABS(t-ROUND(t,0))&lt;0.001,pos_x,NA())</f>
        <v>#N/A</v>
      </c>
      <c r="AE905" s="427" t="e">
        <f aca="false">IF(t&lt;T_para, pos_z, NA())</f>
        <v>#N/A</v>
      </c>
      <c r="AF905" s="413"/>
      <c r="AG905" s="419" t="n">
        <f aca="false">IF(AND(L904&lt;L_rampe,Poussee&lt;Poids*SIN(M904)),0,(-W904+Poussee)/m-Poids*SIN(M904)/m)</f>
        <v>5.94028124642734</v>
      </c>
      <c r="AH905" s="418" t="n">
        <f aca="false">IF(AND(L904&lt;L_rampe,Poussee&lt;Poids*SIN(M904)), g*SIN(M904), (-W904+Poussee)/m)</f>
        <v>-3.76952256306594</v>
      </c>
    </row>
    <row r="906" customFormat="false" ht="12" hidden="false" customHeight="false" outlineLevel="0" collapsed="false">
      <c r="A906" s="417" t="n">
        <f aca="false">IF(B905+0.01&lt;=T_ini+ROUNDUP(Temps_fin_propu,0), 0.01, IF(K905&gt;0, 0.1, 0.0001))</f>
        <v>0.0001</v>
      </c>
      <c r="B906" s="418" t="n">
        <f aca="false">B905+pas</f>
        <v>16.5556999999998</v>
      </c>
      <c r="C906" s="402"/>
      <c r="D906" s="419" t="n">
        <f aca="false">IF(AND(L905&lt;L_rampe,Poussee&lt;Poids*SIN(M905)),0,(-W905+Poussee)/m*COS(M905)-U905/m*SIN(M905))</f>
        <v>-0.537380976785476</v>
      </c>
      <c r="E906" s="420" t="n">
        <f aca="false">IF(AND(L905&lt;L_rampe,Poussee&lt;Poids*SIN(M905)),0,(-W905+Poussee)/m*SIN(M905)+U905/m*COS(M905)-Poids/m)</f>
        <v>-6.07891282266406</v>
      </c>
      <c r="F906" s="418" t="n">
        <f aca="false">SQRT(acc_x^2+acc_z^2)</f>
        <v>6.10261906231747</v>
      </c>
      <c r="G906" s="419" t="n">
        <f aca="false">G905+acc_x*pas</f>
        <v>10.2573337769336</v>
      </c>
      <c r="H906" s="420" t="n">
        <f aca="false">H905+acc_z*pas</f>
        <v>-71.2186239424477</v>
      </c>
      <c r="I906" s="418" t="n">
        <f aca="false">SQRT(vit_x^2+vit_z^2)</f>
        <v>71.953493955938</v>
      </c>
      <c r="J906" s="419" t="n">
        <f aca="false">J905+0.5*(vit_x+G905)*pas*(K905&gt;=0)</f>
        <v>211.791153319536</v>
      </c>
      <c r="K906" s="420" t="n">
        <f aca="false">K905+0.5*(vit_z+H905)*pas</f>
        <v>-8.39029073357745</v>
      </c>
      <c r="L906" s="418" t="n">
        <f aca="false">SQRT(pos_x^2+pos_z^2)</f>
        <v>211.957282495821</v>
      </c>
      <c r="M906" s="419" t="n">
        <f aca="false">IF(AND(L905&gt;L_rampe,G906&gt;0),ATAN2(G906,H906),$M$4)</f>
        <v>-1.42775397673699</v>
      </c>
      <c r="N906" s="418" t="n">
        <f aca="false">DEGREES(Beta)</f>
        <v>-81.8042770500488</v>
      </c>
      <c r="O906" s="402"/>
      <c r="P906" s="421" t="n">
        <f aca="false">MATCH(t-pas/2-T_ini,CdP_t)</f>
        <v>23</v>
      </c>
      <c r="Q906" s="418" t="n">
        <f aca="false">(INDEX(CdP,2,i_P+1)-INDEX(CdP,2,i_P+0))/(INDEX(CdP,1,i_P+1)-INDEX(CdP,1,i_P+0))*(t-pas/2-T_ini-INDEX(CdP,1,i_P+0))+INDEX(CdP,2,i_P+0)</f>
        <v>0</v>
      </c>
      <c r="R906" s="419" t="n">
        <f aca="false">Poussee/(g*ISP)</f>
        <v>0</v>
      </c>
      <c r="S906" s="420" t="n">
        <f aca="false">S905-Débit*pas</f>
        <v>1.4843</v>
      </c>
      <c r="T906" s="418" t="n">
        <f aca="false">m*g</f>
        <v>14.560983</v>
      </c>
      <c r="U906" s="422" t="n">
        <f aca="false">IF(pos_xz&lt;L_rampe,Poids*COS(Beta),0)</f>
        <v>0</v>
      </c>
      <c r="V906" s="419" t="n">
        <f aca="false">Rho_moyen*(20000-Alt_rampe-pos_z)/(20000+Alt_rampe+pos_z)</f>
        <v>1.22602824197732</v>
      </c>
      <c r="W906" s="418" t="n">
        <f aca="false">1/2*Rho*Sref*Cx*vit_xz^2</f>
        <v>5.59529508018512</v>
      </c>
      <c r="X906" s="402"/>
      <c r="Y906" s="423" t="str">
        <f aca="false">IF(AND(pos_z&lt;=0,K905&gt;0),"Impact balistique","") &amp; IF(AND(H907&lt;0,vit_z&gt;=0),"Apogée","") &amp; IF(AND(Poussee=0,Q905&gt;0),"Fin de propulsion","") &amp; IF(AND(L907&gt;L_rampe,pos_xz&lt;=L_rampe),"Sortie de rampe","")</f>
        <v/>
      </c>
      <c r="Z906" s="424" t="str">
        <f aca="false">IF(ABS(t-T_para)&lt;pas/2,"Para","")</f>
        <v/>
      </c>
      <c r="AA906" s="425" t="str">
        <f aca="false">IF(ABS(t-T_satellite)&lt;pas/2,"Satellite","")</f>
        <v/>
      </c>
      <c r="AB906" s="413"/>
      <c r="AC906" s="421" t="e">
        <f aca="false">IF(ABS(t-ROUND(t,0))&lt;0.001,t,NA())</f>
        <v>#N/A</v>
      </c>
      <c r="AD906" s="426" t="e">
        <f aca="false">IF(ABS(t-ROUND(t,0))&lt;0.001,pos_x,NA())</f>
        <v>#N/A</v>
      </c>
      <c r="AE906" s="427" t="e">
        <f aca="false">IF(t&lt;T_para, pos_z, NA())</f>
        <v>#N/A</v>
      </c>
      <c r="AF906" s="413"/>
      <c r="AG906" s="419" t="n">
        <f aca="false">IF(AND(L905&lt;L_rampe,Poussee&lt;Poids*SIN(M905)),0,(-W905+Poussee)/m-Poids*SIN(M905)/m)</f>
        <v>5.9402190384083</v>
      </c>
      <c r="AH906" s="418" t="n">
        <f aca="false">IF(AND(L905&lt;L_rampe,Poussee&lt;Poids*SIN(M905)), g*SIN(M905), (-W905+Poussee)/m)</f>
        <v>-3.76958748924754</v>
      </c>
    </row>
    <row r="907" customFormat="false" ht="12" hidden="false" customHeight="false" outlineLevel="0" collapsed="false">
      <c r="A907" s="417" t="n">
        <f aca="false">IF(B906+0.01&lt;=T_ini+ROUNDUP(Temps_fin_propu,0), 0.01, IF(K906&gt;0, 0.1, 0.0001))</f>
        <v>0.0001</v>
      </c>
      <c r="B907" s="418" t="n">
        <f aca="false">B906+pas</f>
        <v>16.5557999999998</v>
      </c>
      <c r="C907" s="402"/>
      <c r="D907" s="419" t="n">
        <f aca="false">IF(AND(L906&lt;L_rampe,Poussee&lt;Poids*SIN(M906)),0,(-W906+Poussee)/m*COS(M906)-U906/m*SIN(M906))</f>
        <v>-0.537382980616727</v>
      </c>
      <c r="E907" s="420" t="n">
        <f aca="false">IF(AND(L906&lt;L_rampe,Poussee&lt;Poids*SIN(M906)),0,(-W906+Poussee)/m*SIN(M906)+U906/m*COS(M906)-Poids/m)</f>
        <v>-6.07884751516242</v>
      </c>
      <c r="F907" s="418" t="n">
        <f aca="false">SQRT(acc_x^2+acc_z^2)</f>
        <v>6.10255418496656</v>
      </c>
      <c r="G907" s="419" t="n">
        <f aca="false">G906+acc_x*pas</f>
        <v>10.2572800386356</v>
      </c>
      <c r="H907" s="420" t="n">
        <f aca="false">H906+acc_z*pas</f>
        <v>-71.2192318271992</v>
      </c>
      <c r="I907" s="418" t="n">
        <f aca="false">SQRT(vit_x^2+vit_z^2)</f>
        <v>71.954087971757</v>
      </c>
      <c r="J907" s="419" t="n">
        <f aca="false">J906+0.5*(vit_x+G906)*pas*(K906&gt;=0)</f>
        <v>211.791153319536</v>
      </c>
      <c r="K907" s="420" t="n">
        <f aca="false">K906+0.5*(vit_z+H906)*pas</f>
        <v>-8.39741262636593</v>
      </c>
      <c r="L907" s="418" t="n">
        <f aca="false">SQRT(pos_x^2+pos_z^2)</f>
        <v>211.957564534123</v>
      </c>
      <c r="M907" s="419" t="n">
        <f aca="false">IF(AND(L906&gt;L_rampe,G907&gt;0),ATAN2(G907,H907),$M$4)</f>
        <v>-1.42775592028885</v>
      </c>
      <c r="N907" s="418" t="n">
        <f aca="false">DEGREES(Beta)</f>
        <v>-81.804388407368</v>
      </c>
      <c r="O907" s="402"/>
      <c r="P907" s="421" t="n">
        <f aca="false">MATCH(t-pas/2-T_ini,CdP_t)</f>
        <v>23</v>
      </c>
      <c r="Q907" s="418" t="n">
        <f aca="false">(INDEX(CdP,2,i_P+1)-INDEX(CdP,2,i_P+0))/(INDEX(CdP,1,i_P+1)-INDEX(CdP,1,i_P+0))*(t-pas/2-T_ini-INDEX(CdP,1,i_P+0))+INDEX(CdP,2,i_P+0)</f>
        <v>0</v>
      </c>
      <c r="R907" s="419" t="n">
        <f aca="false">Poussee/(g*ISP)</f>
        <v>0</v>
      </c>
      <c r="S907" s="420" t="n">
        <f aca="false">S906-Débit*pas</f>
        <v>1.4843</v>
      </c>
      <c r="T907" s="418" t="n">
        <f aca="false">m*g</f>
        <v>14.560983</v>
      </c>
      <c r="U907" s="422" t="n">
        <f aca="false">IF(pos_xz&lt;L_rampe,Poids*COS(Beta),0)</f>
        <v>0</v>
      </c>
      <c r="V907" s="419" t="n">
        <f aca="false">Rho_moyen*(20000-Alt_rampe-pos_z)/(20000+Alt_rampe+pos_z)</f>
        <v>1.22602911514195</v>
      </c>
      <c r="W907" s="418" t="n">
        <f aca="false">1/2*Rho*Sref*Cx*vit_xz^2</f>
        <v>5.59539145004377</v>
      </c>
      <c r="X907" s="402"/>
      <c r="Y907" s="423" t="str">
        <f aca="false">IF(AND(pos_z&lt;=0,K906&gt;0),"Impact balistique","") &amp; IF(AND(H908&lt;0,vit_z&gt;=0),"Apogée","") &amp; IF(AND(Poussee=0,Q906&gt;0),"Fin de propulsion","") &amp; IF(AND(L908&gt;L_rampe,pos_xz&lt;=L_rampe),"Sortie de rampe","")</f>
        <v/>
      </c>
      <c r="Z907" s="424" t="str">
        <f aca="false">IF(ABS(t-T_para)&lt;pas/2,"Para","")</f>
        <v/>
      </c>
      <c r="AA907" s="425" t="str">
        <f aca="false">IF(ABS(t-T_satellite)&lt;pas/2,"Satellite","")</f>
        <v/>
      </c>
      <c r="AB907" s="413"/>
      <c r="AC907" s="421" t="e">
        <f aca="false">IF(ABS(t-ROUND(t,0))&lt;0.001,t,NA())</f>
        <v>#N/A</v>
      </c>
      <c r="AD907" s="426" t="e">
        <f aca="false">IF(ABS(t-ROUND(t,0))&lt;0.001,pos_x,NA())</f>
        <v>#N/A</v>
      </c>
      <c r="AE907" s="427" t="e">
        <f aca="false">IF(t&lt;T_para, pos_z, NA())</f>
        <v>#N/A</v>
      </c>
      <c r="AF907" s="413"/>
      <c r="AG907" s="419" t="n">
        <f aca="false">IF(AND(L906&lt;L_rampe,Poussee&lt;Poids*SIN(M906)),0,(-W906+Poussee)/m-Poids*SIN(M906)/m)</f>
        <v>5.94015683031794</v>
      </c>
      <c r="AH907" s="418" t="n">
        <f aca="false">IF(AND(L906&lt;L_rampe,Poussee&lt;Poids*SIN(M906)), g*SIN(M906), (-W906+Poussee)/m)</f>
        <v>-3.76965241540465</v>
      </c>
    </row>
    <row r="908" customFormat="false" ht="12" hidden="false" customHeight="false" outlineLevel="0" collapsed="false">
      <c r="A908" s="417" t="n">
        <f aca="false">IF(B907+0.01&lt;=T_ini+ROUNDUP(Temps_fin_propu,0), 0.01, IF(K907&gt;0, 0.1, 0.0001))</f>
        <v>0.0001</v>
      </c>
      <c r="B908" s="418" t="n">
        <f aca="false">B907+pas</f>
        <v>16.5558999999998</v>
      </c>
      <c r="C908" s="402"/>
      <c r="D908" s="419" t="n">
        <f aca="false">IF(AND(L907&lt;L_rampe,Poussee&lt;Poids*SIN(M907)),0,(-W907+Poussee)/m*COS(M907)-U907/m*SIN(M907))</f>
        <v>-0.537384984350382</v>
      </c>
      <c r="E908" s="420" t="n">
        <f aca="false">IF(AND(L907&lt;L_rampe,Poussee&lt;Poids*SIN(M907)),0,(-W907+Poussee)/m*SIN(M907)+U907/m*COS(M907)-Poids/m)</f>
        <v>-6.07878220768586</v>
      </c>
      <c r="F908" s="418" t="n">
        <f aca="false">SQRT(acc_x^2+acc_z^2)</f>
        <v>6.10248930764188</v>
      </c>
      <c r="G908" s="419" t="n">
        <f aca="false">G907+acc_x*pas</f>
        <v>10.2572263001371</v>
      </c>
      <c r="H908" s="420" t="n">
        <f aca="false">H907+acc_z*pas</f>
        <v>-71.21983970542</v>
      </c>
      <c r="I908" s="418" t="n">
        <f aca="false">SQRT(vit_x^2+vit_z^2)</f>
        <v>71.9546819813551</v>
      </c>
      <c r="J908" s="419" t="n">
        <f aca="false">J907+0.5*(vit_x+G907)*pas*(K907&gt;=0)</f>
        <v>211.791153319536</v>
      </c>
      <c r="K908" s="420" t="n">
        <f aca="false">K907+0.5*(vit_z+H907)*pas</f>
        <v>-8.40453457994256</v>
      </c>
      <c r="L908" s="418" t="n">
        <f aca="false">SQRT(pos_x^2+pos_z^2)</f>
        <v>211.957846813758</v>
      </c>
      <c r="M908" s="419" t="n">
        <f aca="false">IF(AND(L907&gt;L_rampe,G908&gt;0),ATAN2(G908,H908),$M$4)</f>
        <v>-1.42775786379845</v>
      </c>
      <c r="N908" s="418" t="n">
        <f aca="false">DEGREES(Beta)</f>
        <v>-81.8044997622653</v>
      </c>
      <c r="O908" s="402"/>
      <c r="P908" s="421" t="n">
        <f aca="false">MATCH(t-pas/2-T_ini,CdP_t)</f>
        <v>23</v>
      </c>
      <c r="Q908" s="418" t="n">
        <f aca="false">(INDEX(CdP,2,i_P+1)-INDEX(CdP,2,i_P+0))/(INDEX(CdP,1,i_P+1)-INDEX(CdP,1,i_P+0))*(t-pas/2-T_ini-INDEX(CdP,1,i_P+0))+INDEX(CdP,2,i_P+0)</f>
        <v>0</v>
      </c>
      <c r="R908" s="419" t="n">
        <f aca="false">Poussee/(g*ISP)</f>
        <v>0</v>
      </c>
      <c r="S908" s="420" t="n">
        <f aca="false">S907-Débit*pas</f>
        <v>1.4843</v>
      </c>
      <c r="T908" s="418" t="n">
        <f aca="false">m*g</f>
        <v>14.560983</v>
      </c>
      <c r="U908" s="422" t="n">
        <f aca="false">IF(pos_xz&lt;L_rampe,Poids*COS(Beta),0)</f>
        <v>0</v>
      </c>
      <c r="V908" s="419" t="n">
        <f aca="false">Rho_moyen*(20000-Alt_rampe-pos_z)/(20000+Alt_rampe+pos_z)</f>
        <v>1.22602998831466</v>
      </c>
      <c r="W908" s="418" t="n">
        <f aca="false">1/2*Rho*Sref*Cx*vit_xz^2</f>
        <v>5.59548781986604</v>
      </c>
      <c r="X908" s="402"/>
      <c r="Y908" s="423" t="str">
        <f aca="false">IF(AND(pos_z&lt;=0,K907&gt;0),"Impact balistique","") &amp; IF(AND(H909&lt;0,vit_z&gt;=0),"Apogée","") &amp; IF(AND(Poussee=0,Q907&gt;0),"Fin de propulsion","") &amp; IF(AND(L909&gt;L_rampe,pos_xz&lt;=L_rampe),"Sortie de rampe","")</f>
        <v/>
      </c>
      <c r="Z908" s="424" t="str">
        <f aca="false">IF(ABS(t-T_para)&lt;pas/2,"Para","")</f>
        <v/>
      </c>
      <c r="AA908" s="425" t="str">
        <f aca="false">IF(ABS(t-T_satellite)&lt;pas/2,"Satellite","")</f>
        <v/>
      </c>
      <c r="AB908" s="413"/>
      <c r="AC908" s="421" t="e">
        <f aca="false">IF(ABS(t-ROUND(t,0))&lt;0.001,t,NA())</f>
        <v>#N/A</v>
      </c>
      <c r="AD908" s="426" t="e">
        <f aca="false">IF(ABS(t-ROUND(t,0))&lt;0.001,pos_x,NA())</f>
        <v>#N/A</v>
      </c>
      <c r="AE908" s="427" t="e">
        <f aca="false">IF(t&lt;T_para, pos_z, NA())</f>
        <v>#N/A</v>
      </c>
      <c r="AF908" s="413"/>
      <c r="AG908" s="419" t="n">
        <f aca="false">IF(AND(L907&lt;L_rampe,Poussee&lt;Poids*SIN(M907)),0,(-W907+Poussee)/m-Poids*SIN(M907)/m)</f>
        <v>5.94009462215628</v>
      </c>
      <c r="AH908" s="418" t="n">
        <f aca="false">IF(AND(L907&lt;L_rampe,Poussee&lt;Poids*SIN(M907)), g*SIN(M907), (-W907+Poussee)/m)</f>
        <v>-3.76971734153728</v>
      </c>
    </row>
    <row r="909" customFormat="false" ht="12" hidden="false" customHeight="false" outlineLevel="0" collapsed="false">
      <c r="A909" s="417" t="n">
        <f aca="false">IF(B908+0.01&lt;=T_ini+ROUNDUP(Temps_fin_propu,0), 0.01, IF(K908&gt;0, 0.1, 0.0001))</f>
        <v>0.0001</v>
      </c>
      <c r="B909" s="418" t="n">
        <f aca="false">B908+pas</f>
        <v>16.5559999999998</v>
      </c>
      <c r="C909" s="402"/>
      <c r="D909" s="419" t="n">
        <f aca="false">IF(AND(L908&lt;L_rampe,Poussee&lt;Poids*SIN(M908)),0,(-W908+Poussee)/m*COS(M908)-U908/m*SIN(M908))</f>
        <v>-0.537386987986444</v>
      </c>
      <c r="E909" s="420" t="n">
        <f aca="false">IF(AND(L908&lt;L_rampe,Poussee&lt;Poids*SIN(M908)),0,(-W908+Poussee)/m*SIN(M908)+U908/m*COS(M908)-Poids/m)</f>
        <v>-6.0787169002344</v>
      </c>
      <c r="F909" s="418" t="n">
        <f aca="false">SQRT(acc_x^2+acc_z^2)</f>
        <v>6.10242443034344</v>
      </c>
      <c r="G909" s="419" t="n">
        <f aca="false">G908+acc_x*pas</f>
        <v>10.2571725614383</v>
      </c>
      <c r="H909" s="420" t="n">
        <f aca="false">H908+acc_z*pas</f>
        <v>-71.22044757711</v>
      </c>
      <c r="I909" s="418" t="n">
        <f aca="false">SQRT(vit_x^2+vit_z^2)</f>
        <v>71.9552759847324</v>
      </c>
      <c r="J909" s="419" t="n">
        <f aca="false">J908+0.5*(vit_x+G908)*pas*(K908&gt;=0)</f>
        <v>211.791153319536</v>
      </c>
      <c r="K909" s="420" t="n">
        <f aca="false">K908+0.5*(vit_z+H908)*pas</f>
        <v>-8.41165659430669</v>
      </c>
      <c r="L909" s="418" t="n">
        <f aca="false">SQRT(pos_x^2+pos_z^2)</f>
        <v>211.958129334734</v>
      </c>
      <c r="M909" s="419" t="n">
        <f aca="false">IF(AND(L908&gt;L_rampe,G909&gt;0),ATAN2(G909,H909),$M$4)</f>
        <v>-1.42775980726577</v>
      </c>
      <c r="N909" s="418" t="n">
        <f aca="false">DEGREES(Beta)</f>
        <v>-81.8046111147406</v>
      </c>
      <c r="O909" s="402"/>
      <c r="P909" s="421" t="n">
        <f aca="false">MATCH(t-pas/2-T_ini,CdP_t)</f>
        <v>23</v>
      </c>
      <c r="Q909" s="418" t="n">
        <f aca="false">(INDEX(CdP,2,i_P+1)-INDEX(CdP,2,i_P+0))/(INDEX(CdP,1,i_P+1)-INDEX(CdP,1,i_P+0))*(t-pas/2-T_ini-INDEX(CdP,1,i_P+0))+INDEX(CdP,2,i_P+0)</f>
        <v>0</v>
      </c>
      <c r="R909" s="419" t="n">
        <f aca="false">Poussee/(g*ISP)</f>
        <v>0</v>
      </c>
      <c r="S909" s="420" t="n">
        <f aca="false">S908-Débit*pas</f>
        <v>1.4843</v>
      </c>
      <c r="T909" s="418" t="n">
        <f aca="false">m*g</f>
        <v>14.560983</v>
      </c>
      <c r="U909" s="422" t="n">
        <f aca="false">IF(pos_xz&lt;L_rampe,Poids*COS(Beta),0)</f>
        <v>0</v>
      </c>
      <c r="V909" s="419" t="n">
        <f aca="false">Rho_moyen*(20000-Alt_rampe-pos_z)/(20000+Alt_rampe+pos_z)</f>
        <v>1.22603086149545</v>
      </c>
      <c r="W909" s="418" t="n">
        <f aca="false">1/2*Rho*Sref*Cx*vit_xz^2</f>
        <v>5.5955841896519</v>
      </c>
      <c r="X909" s="402"/>
      <c r="Y909" s="423" t="str">
        <f aca="false">IF(AND(pos_z&lt;=0,K908&gt;0),"Impact balistique","") &amp; IF(AND(H910&lt;0,vit_z&gt;=0),"Apogée","") &amp; IF(AND(Poussee=0,Q908&gt;0),"Fin de propulsion","") &amp; IF(AND(L910&gt;L_rampe,pos_xz&lt;=L_rampe),"Sortie de rampe","")</f>
        <v/>
      </c>
      <c r="Z909" s="424" t="str">
        <f aca="false">IF(ABS(t-T_para)&lt;pas/2,"Para","")</f>
        <v/>
      </c>
      <c r="AA909" s="425" t="str">
        <f aca="false">IF(ABS(t-T_satellite)&lt;pas/2,"Satellite","")</f>
        <v/>
      </c>
      <c r="AB909" s="413"/>
      <c r="AC909" s="421" t="e">
        <f aca="false">IF(ABS(t-ROUND(t,0))&lt;0.001,t,NA())</f>
        <v>#N/A</v>
      </c>
      <c r="AD909" s="426" t="e">
        <f aca="false">IF(ABS(t-ROUND(t,0))&lt;0.001,pos_x,NA())</f>
        <v>#N/A</v>
      </c>
      <c r="AE909" s="427" t="e">
        <f aca="false">IF(t&lt;T_para, pos_z, NA())</f>
        <v>#N/A</v>
      </c>
      <c r="AF909" s="413"/>
      <c r="AG909" s="419" t="n">
        <f aca="false">IF(AND(L908&lt;L_rampe,Poussee&lt;Poids*SIN(M908)),0,(-W908+Poussee)/m-Poids*SIN(M908)/m)</f>
        <v>5.94003241392334</v>
      </c>
      <c r="AH909" s="418" t="n">
        <f aca="false">IF(AND(L908&lt;L_rampe,Poussee&lt;Poids*SIN(M908)), g*SIN(M908), (-W908+Poussee)/m)</f>
        <v>-3.76978226764538</v>
      </c>
    </row>
    <row r="910" customFormat="false" ht="12" hidden="false" customHeight="false" outlineLevel="0" collapsed="false">
      <c r="A910" s="417" t="n">
        <f aca="false">IF(B909+0.01&lt;=T_ini+ROUNDUP(Temps_fin_propu,0), 0.01, IF(K909&gt;0, 0.1, 0.0001))</f>
        <v>0.0001</v>
      </c>
      <c r="B910" s="418" t="n">
        <f aca="false">B909+pas</f>
        <v>16.5560999999998</v>
      </c>
      <c r="C910" s="402"/>
      <c r="D910" s="419" t="n">
        <f aca="false">IF(AND(L909&lt;L_rampe,Poussee&lt;Poids*SIN(M909)),0,(-W909+Poussee)/m*COS(M909)-U909/m*SIN(M909))</f>
        <v>-0.537388991524913</v>
      </c>
      <c r="E910" s="420" t="n">
        <f aca="false">IF(AND(L909&lt;L_rampe,Poussee&lt;Poids*SIN(M909)),0,(-W909+Poussee)/m*SIN(M909)+U909/m*COS(M909)-Poids/m)</f>
        <v>-6.07865159280803</v>
      </c>
      <c r="F910" s="418" t="n">
        <f aca="false">SQRT(acc_x^2+acc_z^2)</f>
        <v>6.10235955307124</v>
      </c>
      <c r="G910" s="419" t="n">
        <f aca="false">G909+acc_x*pas</f>
        <v>10.2571188225392</v>
      </c>
      <c r="H910" s="420" t="n">
        <f aca="false">H909+acc_z*pas</f>
        <v>-71.2210554422693</v>
      </c>
      <c r="I910" s="418" t="n">
        <f aca="false">SQRT(vit_x^2+vit_z^2)</f>
        <v>71.9558699818888</v>
      </c>
      <c r="J910" s="419" t="n">
        <f aca="false">J909+0.5*(vit_x+G909)*pas*(K909&gt;=0)</f>
        <v>211.791153319536</v>
      </c>
      <c r="K910" s="420" t="n">
        <f aca="false">K909+0.5*(vit_z+H909)*pas</f>
        <v>-8.41877866945766</v>
      </c>
      <c r="L910" s="418" t="n">
        <f aca="false">SQRT(pos_x^2+pos_z^2)</f>
        <v>211.958412097054</v>
      </c>
      <c r="M910" s="419" t="n">
        <f aca="false">IF(AND(L909&gt;L_rampe,G910&gt;0),ATAN2(G910,H910),$M$4)</f>
        <v>-1.42776175069083</v>
      </c>
      <c r="N910" s="418" t="n">
        <f aca="false">DEGREES(Beta)</f>
        <v>-81.8047224647941</v>
      </c>
      <c r="O910" s="402"/>
      <c r="P910" s="421" t="n">
        <f aca="false">MATCH(t-pas/2-T_ini,CdP_t)</f>
        <v>23</v>
      </c>
      <c r="Q910" s="418" t="n">
        <f aca="false">(INDEX(CdP,2,i_P+1)-INDEX(CdP,2,i_P+0))/(INDEX(CdP,1,i_P+1)-INDEX(CdP,1,i_P+0))*(t-pas/2-T_ini-INDEX(CdP,1,i_P+0))+INDEX(CdP,2,i_P+0)</f>
        <v>0</v>
      </c>
      <c r="R910" s="419" t="n">
        <f aca="false">Poussee/(g*ISP)</f>
        <v>0</v>
      </c>
      <c r="S910" s="420" t="n">
        <f aca="false">S909-Débit*pas</f>
        <v>1.4843</v>
      </c>
      <c r="T910" s="418" t="n">
        <f aca="false">m*g</f>
        <v>14.560983</v>
      </c>
      <c r="U910" s="422" t="n">
        <f aca="false">IF(pos_xz&lt;L_rampe,Poids*COS(Beta),0)</f>
        <v>0</v>
      </c>
      <c r="V910" s="419" t="n">
        <f aca="false">Rho_moyen*(20000-Alt_rampe-pos_z)/(20000+Alt_rampe+pos_z)</f>
        <v>1.22603173468431</v>
      </c>
      <c r="W910" s="418" t="n">
        <f aca="false">1/2*Rho*Sref*Cx*vit_xz^2</f>
        <v>5.59568055940133</v>
      </c>
      <c r="X910" s="402"/>
      <c r="Y910" s="423" t="str">
        <f aca="false">IF(AND(pos_z&lt;=0,K909&gt;0),"Impact balistique","") &amp; IF(AND(H911&lt;0,vit_z&gt;=0),"Apogée","") &amp; IF(AND(Poussee=0,Q909&gt;0),"Fin de propulsion","") &amp; IF(AND(L911&gt;L_rampe,pos_xz&lt;=L_rampe),"Sortie de rampe","")</f>
        <v/>
      </c>
      <c r="Z910" s="424" t="str">
        <f aca="false">IF(ABS(t-T_para)&lt;pas/2,"Para","")</f>
        <v/>
      </c>
      <c r="AA910" s="425" t="str">
        <f aca="false">IF(ABS(t-T_satellite)&lt;pas/2,"Satellite","")</f>
        <v/>
      </c>
      <c r="AB910" s="413"/>
      <c r="AC910" s="421" t="e">
        <f aca="false">IF(ABS(t-ROUND(t,0))&lt;0.001,t,NA())</f>
        <v>#N/A</v>
      </c>
      <c r="AD910" s="426" t="e">
        <f aca="false">IF(ABS(t-ROUND(t,0))&lt;0.001,pos_x,NA())</f>
        <v>#N/A</v>
      </c>
      <c r="AE910" s="427" t="e">
        <f aca="false">IF(t&lt;T_para, pos_z, NA())</f>
        <v>#N/A</v>
      </c>
      <c r="AF910" s="413"/>
      <c r="AG910" s="419" t="n">
        <f aca="false">IF(AND(L909&lt;L_rampe,Poussee&lt;Poids*SIN(M909)),0,(-W909+Poussee)/m-Poids*SIN(M909)/m)</f>
        <v>5.93997020561914</v>
      </c>
      <c r="AH910" s="418" t="n">
        <f aca="false">IF(AND(L909&lt;L_rampe,Poussee&lt;Poids*SIN(M909)), g*SIN(M909), (-W909+Poussee)/m)</f>
        <v>-3.76984719372897</v>
      </c>
    </row>
    <row r="911" customFormat="false" ht="12" hidden="false" customHeight="false" outlineLevel="0" collapsed="false">
      <c r="A911" s="417" t="n">
        <f aca="false">IF(B910+0.01&lt;=T_ini+ROUNDUP(Temps_fin_propu,0), 0.01, IF(K910&gt;0, 0.1, 0.0001))</f>
        <v>0.0001</v>
      </c>
      <c r="B911" s="418" t="n">
        <f aca="false">B910+pas</f>
        <v>16.5561999999998</v>
      </c>
      <c r="C911" s="402"/>
      <c r="D911" s="419" t="n">
        <f aca="false">IF(AND(L910&lt;L_rampe,Poussee&lt;Poids*SIN(M910)),0,(-W910+Poussee)/m*COS(M910)-U910/m*SIN(M910))</f>
        <v>-0.537390994965789</v>
      </c>
      <c r="E911" s="420" t="n">
        <f aca="false">IF(AND(L910&lt;L_rampe,Poussee&lt;Poids*SIN(M910)),0,(-W910+Poussee)/m*SIN(M910)+U910/m*COS(M910)-Poids/m)</f>
        <v>-6.07858628540681</v>
      </c>
      <c r="F911" s="418" t="n">
        <f aca="false">SQRT(acc_x^2+acc_z^2)</f>
        <v>6.10229467582532</v>
      </c>
      <c r="G911" s="419" t="n">
        <f aca="false">G910+acc_x*pas</f>
        <v>10.2570650834397</v>
      </c>
      <c r="H911" s="420" t="n">
        <f aca="false">H910+acc_z*pas</f>
        <v>-71.2216633008978</v>
      </c>
      <c r="I911" s="418" t="n">
        <f aca="false">SQRT(vit_x^2+vit_z^2)</f>
        <v>71.9564639728244</v>
      </c>
      <c r="J911" s="419" t="n">
        <f aca="false">J910+0.5*(vit_x+G910)*pas*(K910&gt;=0)</f>
        <v>211.791153319536</v>
      </c>
      <c r="K911" s="420" t="n">
        <f aca="false">K910+0.5*(vit_z+H910)*pas</f>
        <v>-8.42590080539481</v>
      </c>
      <c r="L911" s="418" t="n">
        <f aca="false">SQRT(pos_x^2+pos_z^2)</f>
        <v>211.958695100724</v>
      </c>
      <c r="M911" s="419" t="n">
        <f aca="false">IF(AND(L910&gt;L_rampe,G911&gt;0),ATAN2(G911,H911),$M$4)</f>
        <v>-1.42776369407362</v>
      </c>
      <c r="N911" s="418" t="n">
        <f aca="false">DEGREES(Beta)</f>
        <v>-81.8048338124259</v>
      </c>
      <c r="O911" s="402"/>
      <c r="P911" s="421" t="n">
        <f aca="false">MATCH(t-pas/2-T_ini,CdP_t)</f>
        <v>23</v>
      </c>
      <c r="Q911" s="418" t="n">
        <f aca="false">(INDEX(CdP,2,i_P+1)-INDEX(CdP,2,i_P+0))/(INDEX(CdP,1,i_P+1)-INDEX(CdP,1,i_P+0))*(t-pas/2-T_ini-INDEX(CdP,1,i_P+0))+INDEX(CdP,2,i_P+0)</f>
        <v>0</v>
      </c>
      <c r="R911" s="419" t="n">
        <f aca="false">Poussee/(g*ISP)</f>
        <v>0</v>
      </c>
      <c r="S911" s="420" t="n">
        <f aca="false">S910-Débit*pas</f>
        <v>1.4843</v>
      </c>
      <c r="T911" s="418" t="n">
        <f aca="false">m*g</f>
        <v>14.560983</v>
      </c>
      <c r="U911" s="422" t="n">
        <f aca="false">IF(pos_xz&lt;L_rampe,Poids*COS(Beta),0)</f>
        <v>0</v>
      </c>
      <c r="V911" s="419" t="n">
        <f aca="false">Rho_moyen*(20000-Alt_rampe-pos_z)/(20000+Alt_rampe+pos_z)</f>
        <v>1.22603260788124</v>
      </c>
      <c r="W911" s="418" t="n">
        <f aca="false">1/2*Rho*Sref*Cx*vit_xz^2</f>
        <v>5.59577692911431</v>
      </c>
      <c r="X911" s="402"/>
      <c r="Y911" s="423" t="str">
        <f aca="false">IF(AND(pos_z&lt;=0,K910&gt;0),"Impact balistique","") &amp; IF(AND(H912&lt;0,vit_z&gt;=0),"Apogée","") &amp; IF(AND(Poussee=0,Q910&gt;0),"Fin de propulsion","") &amp; IF(AND(L912&gt;L_rampe,pos_xz&lt;=L_rampe),"Sortie de rampe","")</f>
        <v/>
      </c>
      <c r="Z911" s="424" t="str">
        <f aca="false">IF(ABS(t-T_para)&lt;pas/2,"Para","")</f>
        <v/>
      </c>
      <c r="AA911" s="425" t="str">
        <f aca="false">IF(ABS(t-T_satellite)&lt;pas/2,"Satellite","")</f>
        <v/>
      </c>
      <c r="AB911" s="413"/>
      <c r="AC911" s="421" t="e">
        <f aca="false">IF(ABS(t-ROUND(t,0))&lt;0.001,t,NA())</f>
        <v>#N/A</v>
      </c>
      <c r="AD911" s="426" t="e">
        <f aca="false">IF(ABS(t-ROUND(t,0))&lt;0.001,pos_x,NA())</f>
        <v>#N/A</v>
      </c>
      <c r="AE911" s="427" t="e">
        <f aca="false">IF(t&lt;T_para, pos_z, NA())</f>
        <v>#N/A</v>
      </c>
      <c r="AF911" s="413"/>
      <c r="AG911" s="419" t="n">
        <f aca="false">IF(AND(L910&lt;L_rampe,Poussee&lt;Poids*SIN(M910)),0,(-W910+Poussee)/m-Poids*SIN(M910)/m)</f>
        <v>5.9399079972437</v>
      </c>
      <c r="AH911" s="418" t="n">
        <f aca="false">IF(AND(L910&lt;L_rampe,Poussee&lt;Poids*SIN(M910)), g*SIN(M910), (-W910+Poussee)/m)</f>
        <v>-3.76991211978801</v>
      </c>
    </row>
    <row r="912" customFormat="false" ht="12" hidden="false" customHeight="false" outlineLevel="0" collapsed="false">
      <c r="A912" s="417" t="n">
        <f aca="false">IF(B911+0.01&lt;=T_ini+ROUNDUP(Temps_fin_propu,0), 0.01, IF(K911&gt;0, 0.1, 0.0001))</f>
        <v>0.0001</v>
      </c>
      <c r="B912" s="418" t="n">
        <f aca="false">B911+pas</f>
        <v>16.5562999999998</v>
      </c>
      <c r="C912" s="402"/>
      <c r="D912" s="419" t="n">
        <f aca="false">IF(AND(L911&lt;L_rampe,Poussee&lt;Poids*SIN(M911)),0,(-W911+Poussee)/m*COS(M911)-U911/m*SIN(M911))</f>
        <v>-0.537392998309074</v>
      </c>
      <c r="E912" s="420" t="n">
        <f aca="false">IF(AND(L911&lt;L_rampe,Poussee&lt;Poids*SIN(M911)),0,(-W911+Poussee)/m*SIN(M911)+U911/m*COS(M911)-Poids/m)</f>
        <v>-6.07852097803072</v>
      </c>
      <c r="F912" s="418" t="n">
        <f aca="false">SQRT(acc_x^2+acc_z^2)</f>
        <v>6.10222979860568</v>
      </c>
      <c r="G912" s="419" t="n">
        <f aca="false">G911+acc_x*pas</f>
        <v>10.2570113441399</v>
      </c>
      <c r="H912" s="420" t="n">
        <f aca="false">H911+acc_z*pas</f>
        <v>-71.2222711529957</v>
      </c>
      <c r="I912" s="418" t="n">
        <f aca="false">SQRT(vit_x^2+vit_z^2)</f>
        <v>71.9570579575392</v>
      </c>
      <c r="J912" s="419" t="n">
        <f aca="false">J911+0.5*(vit_x+G911)*pas*(K911&gt;=0)</f>
        <v>211.791153319536</v>
      </c>
      <c r="K912" s="420" t="n">
        <f aca="false">K911+0.5*(vit_z+H911)*pas</f>
        <v>-8.43302300211751</v>
      </c>
      <c r="L912" s="418" t="n">
        <f aca="false">SQRT(pos_x^2+pos_z^2)</f>
        <v>211.958978345749</v>
      </c>
      <c r="M912" s="419" t="n">
        <f aca="false">IF(AND(L911&gt;L_rampe,G912&gt;0),ATAN2(G912,H912),$M$4)</f>
        <v>-1.42776563741414</v>
      </c>
      <c r="N912" s="418" t="n">
        <f aca="false">DEGREES(Beta)</f>
        <v>-81.804945157636</v>
      </c>
      <c r="O912" s="402"/>
      <c r="P912" s="421" t="n">
        <f aca="false">MATCH(t-pas/2-T_ini,CdP_t)</f>
        <v>23</v>
      </c>
      <c r="Q912" s="418" t="n">
        <f aca="false">(INDEX(CdP,2,i_P+1)-INDEX(CdP,2,i_P+0))/(INDEX(CdP,1,i_P+1)-INDEX(CdP,1,i_P+0))*(t-pas/2-T_ini-INDEX(CdP,1,i_P+0))+INDEX(CdP,2,i_P+0)</f>
        <v>0</v>
      </c>
      <c r="R912" s="419" t="n">
        <f aca="false">Poussee/(g*ISP)</f>
        <v>0</v>
      </c>
      <c r="S912" s="420" t="n">
        <f aca="false">S911-Débit*pas</f>
        <v>1.4843</v>
      </c>
      <c r="T912" s="418" t="n">
        <f aca="false">m*g</f>
        <v>14.560983</v>
      </c>
      <c r="U912" s="422" t="n">
        <f aca="false">IF(pos_xz&lt;L_rampe,Poids*COS(Beta),0)</f>
        <v>0</v>
      </c>
      <c r="V912" s="419" t="n">
        <f aca="false">Rho_moyen*(20000-Alt_rampe-pos_z)/(20000+Alt_rampe+pos_z)</f>
        <v>1.22603348108625</v>
      </c>
      <c r="W912" s="418" t="n">
        <f aca="false">1/2*Rho*Sref*Cx*vit_xz^2</f>
        <v>5.59587329879081</v>
      </c>
      <c r="X912" s="402"/>
      <c r="Y912" s="423" t="str">
        <f aca="false">IF(AND(pos_z&lt;=0,K911&gt;0),"Impact balistique","") &amp; IF(AND(H913&lt;0,vit_z&gt;=0),"Apogée","") &amp; IF(AND(Poussee=0,Q911&gt;0),"Fin de propulsion","") &amp; IF(AND(L913&gt;L_rampe,pos_xz&lt;=L_rampe),"Sortie de rampe","")</f>
        <v/>
      </c>
      <c r="Z912" s="424" t="str">
        <f aca="false">IF(ABS(t-T_para)&lt;pas/2,"Para","")</f>
        <v/>
      </c>
      <c r="AA912" s="425" t="str">
        <f aca="false">IF(ABS(t-T_satellite)&lt;pas/2,"Satellite","")</f>
        <v/>
      </c>
      <c r="AB912" s="413"/>
      <c r="AC912" s="421" t="e">
        <f aca="false">IF(ABS(t-ROUND(t,0))&lt;0.001,t,NA())</f>
        <v>#N/A</v>
      </c>
      <c r="AD912" s="426" t="e">
        <f aca="false">IF(ABS(t-ROUND(t,0))&lt;0.001,pos_x,NA())</f>
        <v>#N/A</v>
      </c>
      <c r="AE912" s="427" t="e">
        <f aca="false">IF(t&lt;T_para, pos_z, NA())</f>
        <v>#N/A</v>
      </c>
      <c r="AF912" s="413"/>
      <c r="AG912" s="419" t="n">
        <f aca="false">IF(AND(L911&lt;L_rampe,Poussee&lt;Poids*SIN(M911)),0,(-W911+Poussee)/m-Poids*SIN(M911)/m)</f>
        <v>5.93984578879704</v>
      </c>
      <c r="AH912" s="418" t="n">
        <f aca="false">IF(AND(L911&lt;L_rampe,Poussee&lt;Poids*SIN(M911)), g*SIN(M911), (-W911+Poussee)/m)</f>
        <v>-3.76997704582249</v>
      </c>
    </row>
    <row r="913" customFormat="false" ht="12" hidden="false" customHeight="false" outlineLevel="0" collapsed="false">
      <c r="A913" s="417" t="n">
        <f aca="false">IF(B912+0.01&lt;=T_ini+ROUNDUP(Temps_fin_propu,0), 0.01, IF(K912&gt;0, 0.1, 0.0001))</f>
        <v>0.0001</v>
      </c>
      <c r="B913" s="418" t="n">
        <f aca="false">B912+pas</f>
        <v>16.5563999999998</v>
      </c>
      <c r="C913" s="402"/>
      <c r="D913" s="419" t="n">
        <f aca="false">IF(AND(L912&lt;L_rampe,Poussee&lt;Poids*SIN(M912)),0,(-W912+Poussee)/m*COS(M912)-U912/m*SIN(M912))</f>
        <v>-0.537395001554768</v>
      </c>
      <c r="E913" s="420" t="n">
        <f aca="false">IF(AND(L912&lt;L_rampe,Poussee&lt;Poids*SIN(M912)),0,(-W912+Poussee)/m*SIN(M912)+U912/m*COS(M912)-Poids/m)</f>
        <v>-6.07845567067979</v>
      </c>
      <c r="F913" s="418" t="n">
        <f aca="false">SQRT(acc_x^2+acc_z^2)</f>
        <v>6.10216492141235</v>
      </c>
      <c r="G913" s="419" t="n">
        <f aca="false">G912+acc_x*pas</f>
        <v>10.2569576046397</v>
      </c>
      <c r="H913" s="420" t="n">
        <f aca="false">H912+acc_z*pas</f>
        <v>-71.2228789985627</v>
      </c>
      <c r="I913" s="418" t="n">
        <f aca="false">SQRT(vit_x^2+vit_z^2)</f>
        <v>71.9576519360331</v>
      </c>
      <c r="J913" s="419" t="n">
        <f aca="false">J912+0.5*(vit_x+G912)*pas*(K912&gt;=0)</f>
        <v>211.791153319536</v>
      </c>
      <c r="K913" s="420" t="n">
        <f aca="false">K912+0.5*(vit_z+H912)*pas</f>
        <v>-8.44014525962509</v>
      </c>
      <c r="L913" s="418" t="n">
        <f aca="false">SQRT(pos_x^2+pos_z^2)</f>
        <v>211.959261832133</v>
      </c>
      <c r="M913" s="419" t="n">
        <f aca="false">IF(AND(L912&gt;L_rampe,G913&gt;0),ATAN2(G913,H913),$M$4)</f>
        <v>-1.4277675807124</v>
      </c>
      <c r="N913" s="418" t="n">
        <f aca="false">DEGREES(Beta)</f>
        <v>-81.8050565004245</v>
      </c>
      <c r="O913" s="402"/>
      <c r="P913" s="421" t="n">
        <f aca="false">MATCH(t-pas/2-T_ini,CdP_t)</f>
        <v>23</v>
      </c>
      <c r="Q913" s="418" t="n">
        <f aca="false">(INDEX(CdP,2,i_P+1)-INDEX(CdP,2,i_P+0))/(INDEX(CdP,1,i_P+1)-INDEX(CdP,1,i_P+0))*(t-pas/2-T_ini-INDEX(CdP,1,i_P+0))+INDEX(CdP,2,i_P+0)</f>
        <v>0</v>
      </c>
      <c r="R913" s="419" t="n">
        <f aca="false">Poussee/(g*ISP)</f>
        <v>0</v>
      </c>
      <c r="S913" s="420" t="n">
        <f aca="false">S912-Débit*pas</f>
        <v>1.4843</v>
      </c>
      <c r="T913" s="418" t="n">
        <f aca="false">m*g</f>
        <v>14.560983</v>
      </c>
      <c r="U913" s="422" t="n">
        <f aca="false">IF(pos_xz&lt;L_rampe,Poids*COS(Beta),0)</f>
        <v>0</v>
      </c>
      <c r="V913" s="419" t="n">
        <f aca="false">Rho_moyen*(20000-Alt_rampe-pos_z)/(20000+Alt_rampe+pos_z)</f>
        <v>1.22603435429933</v>
      </c>
      <c r="W913" s="418" t="n">
        <f aca="false">1/2*Rho*Sref*Cx*vit_xz^2</f>
        <v>5.59596966843081</v>
      </c>
      <c r="X913" s="402"/>
      <c r="Y913" s="423" t="str">
        <f aca="false">IF(AND(pos_z&lt;=0,K912&gt;0),"Impact balistique","") &amp; IF(AND(H914&lt;0,vit_z&gt;=0),"Apogée","") &amp; IF(AND(Poussee=0,Q912&gt;0),"Fin de propulsion","") &amp; IF(AND(L914&gt;L_rampe,pos_xz&lt;=L_rampe),"Sortie de rampe","")</f>
        <v/>
      </c>
      <c r="Z913" s="424" t="str">
        <f aca="false">IF(ABS(t-T_para)&lt;pas/2,"Para","")</f>
        <v/>
      </c>
      <c r="AA913" s="425" t="str">
        <f aca="false">IF(ABS(t-T_satellite)&lt;pas/2,"Satellite","")</f>
        <v/>
      </c>
      <c r="AB913" s="413"/>
      <c r="AC913" s="421" t="e">
        <f aca="false">IF(ABS(t-ROUND(t,0))&lt;0.001,t,NA())</f>
        <v>#N/A</v>
      </c>
      <c r="AD913" s="426" t="e">
        <f aca="false">IF(ABS(t-ROUND(t,0))&lt;0.001,pos_x,NA())</f>
        <v>#N/A</v>
      </c>
      <c r="AE913" s="427" t="e">
        <f aca="false">IF(t&lt;T_para, pos_z, NA())</f>
        <v>#N/A</v>
      </c>
      <c r="AF913" s="413"/>
      <c r="AG913" s="419" t="n">
        <f aca="false">IF(AND(L912&lt;L_rampe,Poussee&lt;Poids*SIN(M912)),0,(-W912+Poussee)/m-Poids*SIN(M912)/m)</f>
        <v>5.93978358027918</v>
      </c>
      <c r="AH913" s="418" t="n">
        <f aca="false">IF(AND(L912&lt;L_rampe,Poussee&lt;Poids*SIN(M912)), g*SIN(M912), (-W912+Poussee)/m)</f>
        <v>-3.77004197183239</v>
      </c>
    </row>
    <row r="914" customFormat="false" ht="12" hidden="false" customHeight="false" outlineLevel="0" collapsed="false">
      <c r="A914" s="417" t="n">
        <f aca="false">IF(B913+0.01&lt;=T_ini+ROUNDUP(Temps_fin_propu,0), 0.01, IF(K913&gt;0, 0.1, 0.0001))</f>
        <v>0.0001</v>
      </c>
      <c r="B914" s="418" t="n">
        <f aca="false">B913+pas</f>
        <v>16.5564999999998</v>
      </c>
      <c r="C914" s="402"/>
      <c r="D914" s="419" t="n">
        <f aca="false">IF(AND(L913&lt;L_rampe,Poussee&lt;Poids*SIN(M913)),0,(-W913+Poussee)/m*COS(M913)-U913/m*SIN(M913))</f>
        <v>-0.537397004702871</v>
      </c>
      <c r="E914" s="420" t="n">
        <f aca="false">IF(AND(L913&lt;L_rampe,Poussee&lt;Poids*SIN(M913)),0,(-W913+Poussee)/m*SIN(M913)+U913/m*COS(M913)-Poids/m)</f>
        <v>-6.07839036335404</v>
      </c>
      <c r="F914" s="418" t="n">
        <f aca="false">SQRT(acc_x^2+acc_z^2)</f>
        <v>6.10210004424533</v>
      </c>
      <c r="G914" s="419" t="n">
        <f aca="false">G913+acc_x*pas</f>
        <v>10.2569038649392</v>
      </c>
      <c r="H914" s="420" t="n">
        <f aca="false">H913+acc_z*pas</f>
        <v>-71.2234868375991</v>
      </c>
      <c r="I914" s="418" t="n">
        <f aca="false">SQRT(vit_x^2+vit_z^2)</f>
        <v>71.9582459083061</v>
      </c>
      <c r="J914" s="419" t="n">
        <f aca="false">J913+0.5*(vit_x+G913)*pas*(K913&gt;=0)</f>
        <v>211.791153319536</v>
      </c>
      <c r="K914" s="420" t="n">
        <f aca="false">K913+0.5*(vit_z+H913)*pas</f>
        <v>-8.4472675779169</v>
      </c>
      <c r="L914" s="418" t="n">
        <f aca="false">SQRT(pos_x^2+pos_z^2)</f>
        <v>211.959545559883</v>
      </c>
      <c r="M914" s="419" t="n">
        <f aca="false">IF(AND(L913&gt;L_rampe,G914&gt;0),ATAN2(G914,H914),$M$4)</f>
        <v>-1.42776952396839</v>
      </c>
      <c r="N914" s="418" t="n">
        <f aca="false">DEGREES(Beta)</f>
        <v>-81.8051678407916</v>
      </c>
      <c r="O914" s="402"/>
      <c r="P914" s="421" t="n">
        <f aca="false">MATCH(t-pas/2-T_ini,CdP_t)</f>
        <v>23</v>
      </c>
      <c r="Q914" s="418" t="n">
        <f aca="false">(INDEX(CdP,2,i_P+1)-INDEX(CdP,2,i_P+0))/(INDEX(CdP,1,i_P+1)-INDEX(CdP,1,i_P+0))*(t-pas/2-T_ini-INDEX(CdP,1,i_P+0))+INDEX(CdP,2,i_P+0)</f>
        <v>0</v>
      </c>
      <c r="R914" s="419" t="n">
        <f aca="false">Poussee/(g*ISP)</f>
        <v>0</v>
      </c>
      <c r="S914" s="420" t="n">
        <f aca="false">S913-Débit*pas</f>
        <v>1.4843</v>
      </c>
      <c r="T914" s="418" t="n">
        <f aca="false">m*g</f>
        <v>14.560983</v>
      </c>
      <c r="U914" s="422" t="n">
        <f aca="false">IF(pos_xz&lt;L_rampe,Poids*COS(Beta),0)</f>
        <v>0</v>
      </c>
      <c r="V914" s="419" t="n">
        <f aca="false">Rho_moyen*(20000-Alt_rampe-pos_z)/(20000+Alt_rampe+pos_z)</f>
        <v>1.22603522752049</v>
      </c>
      <c r="W914" s="418" t="n">
        <f aca="false">1/2*Rho*Sref*Cx*vit_xz^2</f>
        <v>5.59606603803429</v>
      </c>
      <c r="X914" s="402"/>
      <c r="Y914" s="423" t="str">
        <f aca="false">IF(AND(pos_z&lt;=0,K913&gt;0),"Impact balistique","") &amp; IF(AND(H915&lt;0,vit_z&gt;=0),"Apogée","") &amp; IF(AND(Poussee=0,Q913&gt;0),"Fin de propulsion","") &amp; IF(AND(L915&gt;L_rampe,pos_xz&lt;=L_rampe),"Sortie de rampe","")</f>
        <v/>
      </c>
      <c r="Z914" s="424" t="str">
        <f aca="false">IF(ABS(t-T_para)&lt;pas/2,"Para","")</f>
        <v/>
      </c>
      <c r="AA914" s="425" t="str">
        <f aca="false">IF(ABS(t-T_satellite)&lt;pas/2,"Satellite","")</f>
        <v/>
      </c>
      <c r="AB914" s="413"/>
      <c r="AC914" s="421" t="e">
        <f aca="false">IF(ABS(t-ROUND(t,0))&lt;0.001,t,NA())</f>
        <v>#N/A</v>
      </c>
      <c r="AD914" s="426" t="e">
        <f aca="false">IF(ABS(t-ROUND(t,0))&lt;0.001,pos_x,NA())</f>
        <v>#N/A</v>
      </c>
      <c r="AE914" s="427" t="e">
        <f aca="false">IF(t&lt;T_para, pos_z, NA())</f>
        <v>#N/A</v>
      </c>
      <c r="AF914" s="413"/>
      <c r="AG914" s="419" t="n">
        <f aca="false">IF(AND(L913&lt;L_rampe,Poussee&lt;Poids*SIN(M913)),0,(-W913+Poussee)/m-Poids*SIN(M913)/m)</f>
        <v>5.93972137169015</v>
      </c>
      <c r="AH914" s="418" t="n">
        <f aca="false">IF(AND(L913&lt;L_rampe,Poussee&lt;Poids*SIN(M913)), g*SIN(M913), (-W913+Poussee)/m)</f>
        <v>-3.7701068978177</v>
      </c>
    </row>
    <row r="915" customFormat="false" ht="12" hidden="false" customHeight="false" outlineLevel="0" collapsed="false">
      <c r="A915" s="417" t="n">
        <f aca="false">IF(B914+0.01&lt;=T_ini+ROUNDUP(Temps_fin_propu,0), 0.01, IF(K914&gt;0, 0.1, 0.0001))</f>
        <v>0.0001</v>
      </c>
      <c r="B915" s="418" t="n">
        <f aca="false">B914+pas</f>
        <v>16.5565999999998</v>
      </c>
      <c r="C915" s="402"/>
      <c r="D915" s="419" t="n">
        <f aca="false">IF(AND(L914&lt;L_rampe,Poussee&lt;Poids*SIN(M914)),0,(-W914+Poussee)/m*COS(M914)-U914/m*SIN(M914))</f>
        <v>-0.537399007753385</v>
      </c>
      <c r="E915" s="420" t="n">
        <f aca="false">IF(AND(L914&lt;L_rampe,Poussee&lt;Poids*SIN(M914)),0,(-W914+Poussee)/m*SIN(M914)+U914/m*COS(M914)-Poids/m)</f>
        <v>-6.07832505605348</v>
      </c>
      <c r="F915" s="418" t="n">
        <f aca="false">SQRT(acc_x^2+acc_z^2)</f>
        <v>6.10203516710465</v>
      </c>
      <c r="G915" s="419" t="n">
        <f aca="false">G914+acc_x*pas</f>
        <v>10.2568501250385</v>
      </c>
      <c r="H915" s="420" t="n">
        <f aca="false">H914+acc_z*pas</f>
        <v>-71.2240946701047</v>
      </c>
      <c r="I915" s="418" t="n">
        <f aca="false">SQRT(vit_x^2+vit_z^2)</f>
        <v>71.9588398743583</v>
      </c>
      <c r="J915" s="419" t="n">
        <f aca="false">J914+0.5*(vit_x+G914)*pas*(K914&gt;=0)</f>
        <v>211.791153319536</v>
      </c>
      <c r="K915" s="420" t="n">
        <f aca="false">K914+0.5*(vit_z+H914)*pas</f>
        <v>-8.45438995699228</v>
      </c>
      <c r="L915" s="418" t="n">
        <f aca="false">SQRT(pos_x^2+pos_z^2)</f>
        <v>211.959829529003</v>
      </c>
      <c r="M915" s="419" t="n">
        <f aca="false">IF(AND(L914&gt;L_rampe,G915&gt;0),ATAN2(G915,H915),$M$4)</f>
        <v>-1.42777146718213</v>
      </c>
      <c r="N915" s="418" t="n">
        <f aca="false">DEGREES(Beta)</f>
        <v>-81.8052791787372</v>
      </c>
      <c r="O915" s="402"/>
      <c r="P915" s="421" t="n">
        <f aca="false">MATCH(t-pas/2-T_ini,CdP_t)</f>
        <v>23</v>
      </c>
      <c r="Q915" s="418" t="n">
        <f aca="false">(INDEX(CdP,2,i_P+1)-INDEX(CdP,2,i_P+0))/(INDEX(CdP,1,i_P+1)-INDEX(CdP,1,i_P+0))*(t-pas/2-T_ini-INDEX(CdP,1,i_P+0))+INDEX(CdP,2,i_P+0)</f>
        <v>0</v>
      </c>
      <c r="R915" s="419" t="n">
        <f aca="false">Poussee/(g*ISP)</f>
        <v>0</v>
      </c>
      <c r="S915" s="420" t="n">
        <f aca="false">S914-Débit*pas</f>
        <v>1.4843</v>
      </c>
      <c r="T915" s="418" t="n">
        <f aca="false">m*g</f>
        <v>14.560983</v>
      </c>
      <c r="U915" s="422" t="n">
        <f aca="false">IF(pos_xz&lt;L_rampe,Poids*COS(Beta),0)</f>
        <v>0</v>
      </c>
      <c r="V915" s="419" t="n">
        <f aca="false">Rho_moyen*(20000-Alt_rampe-pos_z)/(20000+Alt_rampe+pos_z)</f>
        <v>1.22603610074972</v>
      </c>
      <c r="W915" s="418" t="n">
        <f aca="false">1/2*Rho*Sref*Cx*vit_xz^2</f>
        <v>5.5961624076012</v>
      </c>
      <c r="X915" s="402"/>
      <c r="Y915" s="423" t="str">
        <f aca="false">IF(AND(pos_z&lt;=0,K914&gt;0),"Impact balistique","") &amp; IF(AND(H916&lt;0,vit_z&gt;=0),"Apogée","") &amp; IF(AND(Poussee=0,Q914&gt;0),"Fin de propulsion","") &amp; IF(AND(L916&gt;L_rampe,pos_xz&lt;=L_rampe),"Sortie de rampe","")</f>
        <v/>
      </c>
      <c r="Z915" s="424" t="str">
        <f aca="false">IF(ABS(t-T_para)&lt;pas/2,"Para","")</f>
        <v/>
      </c>
      <c r="AA915" s="425" t="str">
        <f aca="false">IF(ABS(t-T_satellite)&lt;pas/2,"Satellite","")</f>
        <v/>
      </c>
      <c r="AB915" s="413"/>
      <c r="AC915" s="421" t="e">
        <f aca="false">IF(ABS(t-ROUND(t,0))&lt;0.001,t,NA())</f>
        <v>#N/A</v>
      </c>
      <c r="AD915" s="426" t="e">
        <f aca="false">IF(ABS(t-ROUND(t,0))&lt;0.001,pos_x,NA())</f>
        <v>#N/A</v>
      </c>
      <c r="AE915" s="427" t="e">
        <f aca="false">IF(t&lt;T_para, pos_z, NA())</f>
        <v>#N/A</v>
      </c>
      <c r="AF915" s="413"/>
      <c r="AG915" s="419" t="n">
        <f aca="false">IF(AND(L914&lt;L_rampe,Poussee&lt;Poids*SIN(M914)),0,(-W914+Poussee)/m-Poids*SIN(M914)/m)</f>
        <v>5.93965916302996</v>
      </c>
      <c r="AH915" s="418" t="n">
        <f aca="false">IF(AND(L914&lt;L_rampe,Poussee&lt;Poids*SIN(M914)), g*SIN(M914), (-W914+Poussee)/m)</f>
        <v>-3.77017182377841</v>
      </c>
    </row>
    <row r="916" customFormat="false" ht="12" hidden="false" customHeight="false" outlineLevel="0" collapsed="false">
      <c r="A916" s="417" t="n">
        <f aca="false">IF(B915+0.01&lt;=T_ini+ROUNDUP(Temps_fin_propu,0), 0.01, IF(K915&gt;0, 0.1, 0.0001))</f>
        <v>0.0001</v>
      </c>
      <c r="B916" s="418" t="n">
        <f aca="false">B915+pas</f>
        <v>16.5566999999998</v>
      </c>
      <c r="C916" s="402"/>
      <c r="D916" s="419" t="n">
        <f aca="false">IF(AND(L915&lt;L_rampe,Poussee&lt;Poids*SIN(M915)),0,(-W915+Poussee)/m*COS(M915)-U915/m*SIN(M915))</f>
        <v>-0.537401010706309</v>
      </c>
      <c r="E916" s="420" t="n">
        <f aca="false">IF(AND(L915&lt;L_rampe,Poussee&lt;Poids*SIN(M915)),0,(-W915+Poussee)/m*SIN(M915)+U915/m*COS(M915)-Poids/m)</f>
        <v>-6.07825974877813</v>
      </c>
      <c r="F916" s="418" t="n">
        <f aca="false">SQRT(acc_x^2+acc_z^2)</f>
        <v>6.10197028999032</v>
      </c>
      <c r="G916" s="419" t="n">
        <f aca="false">G915+acc_x*pas</f>
        <v>10.2567963849374</v>
      </c>
      <c r="H916" s="420" t="n">
        <f aca="false">H915+acc_z*pas</f>
        <v>-71.2247024960795</v>
      </c>
      <c r="I916" s="418" t="n">
        <f aca="false">SQRT(vit_x^2+vit_z^2)</f>
        <v>71.9594338341896</v>
      </c>
      <c r="J916" s="419" t="n">
        <f aca="false">J915+0.5*(vit_x+G915)*pas*(K915&gt;=0)</f>
        <v>211.791153319536</v>
      </c>
      <c r="K916" s="420" t="n">
        <f aca="false">K915+0.5*(vit_z+H915)*pas</f>
        <v>-8.46151239685059</v>
      </c>
      <c r="L916" s="418" t="n">
        <f aca="false">SQRT(pos_x^2+pos_z^2)</f>
        <v>211.960113739499</v>
      </c>
      <c r="M916" s="419" t="n">
        <f aca="false">IF(AND(L915&gt;L_rampe,G916&gt;0),ATAN2(G916,H916),$M$4)</f>
        <v>-1.4277734103536</v>
      </c>
      <c r="N916" s="418" t="n">
        <f aca="false">DEGREES(Beta)</f>
        <v>-81.8053905142615</v>
      </c>
      <c r="O916" s="402"/>
      <c r="P916" s="421" t="n">
        <f aca="false">MATCH(t-pas/2-T_ini,CdP_t)</f>
        <v>23</v>
      </c>
      <c r="Q916" s="418" t="n">
        <f aca="false">(INDEX(CdP,2,i_P+1)-INDEX(CdP,2,i_P+0))/(INDEX(CdP,1,i_P+1)-INDEX(CdP,1,i_P+0))*(t-pas/2-T_ini-INDEX(CdP,1,i_P+0))+INDEX(CdP,2,i_P+0)</f>
        <v>0</v>
      </c>
      <c r="R916" s="419" t="n">
        <f aca="false">Poussee/(g*ISP)</f>
        <v>0</v>
      </c>
      <c r="S916" s="420" t="n">
        <f aca="false">S915-Débit*pas</f>
        <v>1.4843</v>
      </c>
      <c r="T916" s="418" t="n">
        <f aca="false">m*g</f>
        <v>14.560983</v>
      </c>
      <c r="U916" s="422" t="n">
        <f aca="false">IF(pos_xz&lt;L_rampe,Poids*COS(Beta),0)</f>
        <v>0</v>
      </c>
      <c r="V916" s="419" t="n">
        <f aca="false">Rho_moyen*(20000-Alt_rampe-pos_z)/(20000+Alt_rampe+pos_z)</f>
        <v>1.22603697398703</v>
      </c>
      <c r="W916" s="418" t="n">
        <f aca="false">1/2*Rho*Sref*Cx*vit_xz^2</f>
        <v>5.59625877713156</v>
      </c>
      <c r="X916" s="402"/>
      <c r="Y916" s="423" t="str">
        <f aca="false">IF(AND(pos_z&lt;=0,K915&gt;0),"Impact balistique","") &amp; IF(AND(H917&lt;0,vit_z&gt;=0),"Apogée","") &amp; IF(AND(Poussee=0,Q915&gt;0),"Fin de propulsion","") &amp; IF(AND(L917&gt;L_rampe,pos_xz&lt;=L_rampe),"Sortie de rampe","")</f>
        <v/>
      </c>
      <c r="Z916" s="424" t="str">
        <f aca="false">IF(ABS(t-T_para)&lt;pas/2,"Para","")</f>
        <v/>
      </c>
      <c r="AA916" s="425" t="str">
        <f aca="false">IF(ABS(t-T_satellite)&lt;pas/2,"Satellite","")</f>
        <v/>
      </c>
      <c r="AB916" s="413"/>
      <c r="AC916" s="421" t="e">
        <f aca="false">IF(ABS(t-ROUND(t,0))&lt;0.001,t,NA())</f>
        <v>#N/A</v>
      </c>
      <c r="AD916" s="426" t="e">
        <f aca="false">IF(ABS(t-ROUND(t,0))&lt;0.001,pos_x,NA())</f>
        <v>#N/A</v>
      </c>
      <c r="AE916" s="427" t="e">
        <f aca="false">IF(t&lt;T_para, pos_z, NA())</f>
        <v>#N/A</v>
      </c>
      <c r="AF916" s="413"/>
      <c r="AG916" s="419" t="n">
        <f aca="false">IF(AND(L915&lt;L_rampe,Poussee&lt;Poids*SIN(M915)),0,(-W915+Poussee)/m-Poids*SIN(M915)/m)</f>
        <v>5.93959695429863</v>
      </c>
      <c r="AH916" s="418" t="n">
        <f aca="false">IF(AND(L915&lt;L_rampe,Poussee&lt;Poids*SIN(M915)), g*SIN(M915), (-W915+Poussee)/m)</f>
        <v>-3.77023674971449</v>
      </c>
    </row>
    <row r="917" customFormat="false" ht="12" hidden="false" customHeight="false" outlineLevel="0" collapsed="false">
      <c r="A917" s="417" t="n">
        <f aca="false">IF(B916+0.01&lt;=T_ini+ROUNDUP(Temps_fin_propu,0), 0.01, IF(K916&gt;0, 0.1, 0.0001))</f>
        <v>0.0001</v>
      </c>
      <c r="B917" s="418" t="n">
        <f aca="false">B916+pas</f>
        <v>16.5567999999998</v>
      </c>
      <c r="C917" s="402"/>
      <c r="D917" s="419" t="n">
        <f aca="false">IF(AND(L916&lt;L_rampe,Poussee&lt;Poids*SIN(M916)),0,(-W916+Poussee)/m*COS(M916)-U916/m*SIN(M916))</f>
        <v>-0.537403013561646</v>
      </c>
      <c r="E917" s="420" t="n">
        <f aca="false">IF(AND(L916&lt;L_rampe,Poussee&lt;Poids*SIN(M916)),0,(-W916+Poussee)/m*SIN(M916)+U916/m*COS(M916)-Poids/m)</f>
        <v>-6.078194441528</v>
      </c>
      <c r="F917" s="418" t="n">
        <f aca="false">SQRT(acc_x^2+acc_z^2)</f>
        <v>6.10190541290235</v>
      </c>
      <c r="G917" s="419" t="n">
        <f aca="false">G916+acc_x*pas</f>
        <v>10.256742644636</v>
      </c>
      <c r="H917" s="420" t="n">
        <f aca="false">H916+acc_z*pas</f>
        <v>-71.2253103155237</v>
      </c>
      <c r="I917" s="418" t="n">
        <f aca="false">SQRT(vit_x^2+vit_z^2)</f>
        <v>71.9600277878</v>
      </c>
      <c r="J917" s="419" t="n">
        <f aca="false">J916+0.5*(vit_x+G916)*pas*(K916&gt;=0)</f>
        <v>211.791153319536</v>
      </c>
      <c r="K917" s="420" t="n">
        <f aca="false">K916+0.5*(vit_z+H916)*pas</f>
        <v>-8.46863489749117</v>
      </c>
      <c r="L917" s="418" t="n">
        <f aca="false">SQRT(pos_x^2+pos_z^2)</f>
        <v>211.960398191375</v>
      </c>
      <c r="M917" s="419" t="n">
        <f aca="false">IF(AND(L916&gt;L_rampe,G917&gt;0),ATAN2(G917,H917),$M$4)</f>
        <v>-1.42777535348281</v>
      </c>
      <c r="N917" s="418" t="n">
        <f aca="false">DEGREES(Beta)</f>
        <v>-81.8055018473645</v>
      </c>
      <c r="O917" s="402"/>
      <c r="P917" s="421" t="n">
        <f aca="false">MATCH(t-pas/2-T_ini,CdP_t)</f>
        <v>23</v>
      </c>
      <c r="Q917" s="418" t="n">
        <f aca="false">(INDEX(CdP,2,i_P+1)-INDEX(CdP,2,i_P+0))/(INDEX(CdP,1,i_P+1)-INDEX(CdP,1,i_P+0))*(t-pas/2-T_ini-INDEX(CdP,1,i_P+0))+INDEX(CdP,2,i_P+0)</f>
        <v>0</v>
      </c>
      <c r="R917" s="419" t="n">
        <f aca="false">Poussee/(g*ISP)</f>
        <v>0</v>
      </c>
      <c r="S917" s="420" t="n">
        <f aca="false">S916-Débit*pas</f>
        <v>1.4843</v>
      </c>
      <c r="T917" s="418" t="n">
        <f aca="false">m*g</f>
        <v>14.560983</v>
      </c>
      <c r="U917" s="422" t="n">
        <f aca="false">IF(pos_xz&lt;L_rampe,Poids*COS(Beta),0)</f>
        <v>0</v>
      </c>
      <c r="V917" s="419" t="n">
        <f aca="false">Rho_moyen*(20000-Alt_rampe-pos_z)/(20000+Alt_rampe+pos_z)</f>
        <v>1.22603784723241</v>
      </c>
      <c r="W917" s="418" t="n">
        <f aca="false">1/2*Rho*Sref*Cx*vit_xz^2</f>
        <v>5.59635514662531</v>
      </c>
      <c r="X917" s="402"/>
      <c r="Y917" s="423" t="str">
        <f aca="false">IF(AND(pos_z&lt;=0,K916&gt;0),"Impact balistique","") &amp; IF(AND(H918&lt;0,vit_z&gt;=0),"Apogée","") &amp; IF(AND(Poussee=0,Q916&gt;0),"Fin de propulsion","") &amp; IF(AND(L918&gt;L_rampe,pos_xz&lt;=L_rampe),"Sortie de rampe","")</f>
        <v/>
      </c>
      <c r="Z917" s="424" t="str">
        <f aca="false">IF(ABS(t-T_para)&lt;pas/2,"Para","")</f>
        <v/>
      </c>
      <c r="AA917" s="425" t="str">
        <f aca="false">IF(ABS(t-T_satellite)&lt;pas/2,"Satellite","")</f>
        <v/>
      </c>
      <c r="AB917" s="413"/>
      <c r="AC917" s="421" t="e">
        <f aca="false">IF(ABS(t-ROUND(t,0))&lt;0.001,t,NA())</f>
        <v>#N/A</v>
      </c>
      <c r="AD917" s="426" t="e">
        <f aca="false">IF(ABS(t-ROUND(t,0))&lt;0.001,pos_x,NA())</f>
        <v>#N/A</v>
      </c>
      <c r="AE917" s="427" t="e">
        <f aca="false">IF(t&lt;T_para, pos_z, NA())</f>
        <v>#N/A</v>
      </c>
      <c r="AF917" s="413"/>
      <c r="AG917" s="419" t="n">
        <f aca="false">IF(AND(L916&lt;L_rampe,Poussee&lt;Poids*SIN(M916)),0,(-W916+Poussee)/m-Poids*SIN(M916)/m)</f>
        <v>5.93953474549618</v>
      </c>
      <c r="AH917" s="418" t="n">
        <f aca="false">IF(AND(L916&lt;L_rampe,Poussee&lt;Poids*SIN(M916)), g*SIN(M916), (-W916+Poussee)/m)</f>
        <v>-3.77030167562593</v>
      </c>
    </row>
    <row r="918" customFormat="false" ht="12" hidden="false" customHeight="false" outlineLevel="0" collapsed="false">
      <c r="A918" s="417" t="n">
        <f aca="false">IF(B917+0.01&lt;=T_ini+ROUNDUP(Temps_fin_propu,0), 0.01, IF(K917&gt;0, 0.1, 0.0001))</f>
        <v>0.0001</v>
      </c>
      <c r="B918" s="418" t="n">
        <f aca="false">B917+pas</f>
        <v>16.5568999999998</v>
      </c>
      <c r="C918" s="402"/>
      <c r="D918" s="419" t="n">
        <f aca="false">IF(AND(L917&lt;L_rampe,Poussee&lt;Poids*SIN(M917)),0,(-W917+Poussee)/m*COS(M917)-U917/m*SIN(M917))</f>
        <v>-0.537405016319396</v>
      </c>
      <c r="E918" s="420" t="n">
        <f aca="false">IF(AND(L917&lt;L_rampe,Poussee&lt;Poids*SIN(M917)),0,(-W917+Poussee)/m*SIN(M917)+U917/m*COS(M917)-Poids/m)</f>
        <v>-6.07812913430311</v>
      </c>
      <c r="F918" s="418" t="n">
        <f aca="false">SQRT(acc_x^2+acc_z^2)</f>
        <v>6.10184053584077</v>
      </c>
      <c r="G918" s="419" t="n">
        <f aca="false">G917+acc_x*pas</f>
        <v>10.2566889041344</v>
      </c>
      <c r="H918" s="420" t="n">
        <f aca="false">H917+acc_z*pas</f>
        <v>-71.2259181284371</v>
      </c>
      <c r="I918" s="418" t="n">
        <f aca="false">SQRT(vit_x^2+vit_z^2)</f>
        <v>71.9606217351895</v>
      </c>
      <c r="J918" s="419" t="n">
        <f aca="false">J917+0.5*(vit_x+G917)*pas*(K917&gt;=0)</f>
        <v>211.791153319536</v>
      </c>
      <c r="K918" s="420" t="n">
        <f aca="false">K917+0.5*(vit_z+H917)*pas</f>
        <v>-8.47575745891337</v>
      </c>
      <c r="L918" s="418" t="n">
        <f aca="false">SQRT(pos_x^2+pos_z^2)</f>
        <v>211.960682884637</v>
      </c>
      <c r="M918" s="419" t="n">
        <f aca="false">IF(AND(L917&gt;L_rampe,G918&gt;0),ATAN2(G918,H918),$M$4)</f>
        <v>-1.42777729656977</v>
      </c>
      <c r="N918" s="418" t="n">
        <f aca="false">DEGREES(Beta)</f>
        <v>-81.8056131780464</v>
      </c>
      <c r="O918" s="402"/>
      <c r="P918" s="421" t="n">
        <f aca="false">MATCH(t-pas/2-T_ini,CdP_t)</f>
        <v>23</v>
      </c>
      <c r="Q918" s="418" t="n">
        <f aca="false">(INDEX(CdP,2,i_P+1)-INDEX(CdP,2,i_P+0))/(INDEX(CdP,1,i_P+1)-INDEX(CdP,1,i_P+0))*(t-pas/2-T_ini-INDEX(CdP,1,i_P+0))+INDEX(CdP,2,i_P+0)</f>
        <v>0</v>
      </c>
      <c r="R918" s="419" t="n">
        <f aca="false">Poussee/(g*ISP)</f>
        <v>0</v>
      </c>
      <c r="S918" s="420" t="n">
        <f aca="false">S917-Débit*pas</f>
        <v>1.4843</v>
      </c>
      <c r="T918" s="418" t="n">
        <f aca="false">m*g</f>
        <v>14.560983</v>
      </c>
      <c r="U918" s="422" t="n">
        <f aca="false">IF(pos_xz&lt;L_rampe,Poids*COS(Beta),0)</f>
        <v>0</v>
      </c>
      <c r="V918" s="419" t="n">
        <f aca="false">Rho_moyen*(20000-Alt_rampe-pos_z)/(20000+Alt_rampe+pos_z)</f>
        <v>1.22603872048586</v>
      </c>
      <c r="W918" s="418" t="n">
        <f aca="false">1/2*Rho*Sref*Cx*vit_xz^2</f>
        <v>5.59645151608244</v>
      </c>
      <c r="X918" s="402"/>
      <c r="Y918" s="423" t="str">
        <f aca="false">IF(AND(pos_z&lt;=0,K917&gt;0),"Impact balistique","") &amp; IF(AND(H919&lt;0,vit_z&gt;=0),"Apogée","") &amp; IF(AND(Poussee=0,Q917&gt;0),"Fin de propulsion","") &amp; IF(AND(L919&gt;L_rampe,pos_xz&lt;=L_rampe),"Sortie de rampe","")</f>
        <v/>
      </c>
      <c r="Z918" s="424" t="str">
        <f aca="false">IF(ABS(t-T_para)&lt;pas/2,"Para","")</f>
        <v/>
      </c>
      <c r="AA918" s="425" t="str">
        <f aca="false">IF(ABS(t-T_satellite)&lt;pas/2,"Satellite","")</f>
        <v/>
      </c>
      <c r="AB918" s="413"/>
      <c r="AC918" s="421" t="e">
        <f aca="false">IF(ABS(t-ROUND(t,0))&lt;0.001,t,NA())</f>
        <v>#N/A</v>
      </c>
      <c r="AD918" s="426" t="e">
        <f aca="false">IF(ABS(t-ROUND(t,0))&lt;0.001,pos_x,NA())</f>
        <v>#N/A</v>
      </c>
      <c r="AE918" s="427" t="e">
        <f aca="false">IF(t&lt;T_para, pos_z, NA())</f>
        <v>#N/A</v>
      </c>
      <c r="AF918" s="413"/>
      <c r="AG918" s="419" t="n">
        <f aca="false">IF(AND(L917&lt;L_rampe,Poussee&lt;Poids*SIN(M917)),0,(-W917+Poussee)/m-Poids*SIN(M917)/m)</f>
        <v>5.93947253662264</v>
      </c>
      <c r="AH918" s="418" t="n">
        <f aca="false">IF(AND(L917&lt;L_rampe,Poussee&lt;Poids*SIN(M917)), g*SIN(M917), (-W917+Poussee)/m)</f>
        <v>-3.77036660151271</v>
      </c>
    </row>
    <row r="919" customFormat="false" ht="12" hidden="false" customHeight="false" outlineLevel="0" collapsed="false">
      <c r="A919" s="417" t="n">
        <f aca="false">IF(B918+0.01&lt;=T_ini+ROUNDUP(Temps_fin_propu,0), 0.01, IF(K918&gt;0, 0.1, 0.0001))</f>
        <v>0.0001</v>
      </c>
      <c r="B919" s="418" t="n">
        <f aca="false">B918+pas</f>
        <v>16.5569999999998</v>
      </c>
      <c r="C919" s="402"/>
      <c r="D919" s="419" t="n">
        <f aca="false">IF(AND(L918&lt;L_rampe,Poussee&lt;Poids*SIN(M918)),0,(-W918+Poussee)/m*COS(M918)-U918/m*SIN(M918))</f>
        <v>-0.537407018979558</v>
      </c>
      <c r="E919" s="420" t="n">
        <f aca="false">IF(AND(L918&lt;L_rampe,Poussee&lt;Poids*SIN(M918)),0,(-W918+Poussee)/m*SIN(M918)+U918/m*COS(M918)-Poids/m)</f>
        <v>-6.07806382710348</v>
      </c>
      <c r="F919" s="418" t="n">
        <f aca="false">SQRT(acc_x^2+acc_z^2)</f>
        <v>6.10177565880558</v>
      </c>
      <c r="G919" s="419" t="n">
        <f aca="false">G918+acc_x*pas</f>
        <v>10.2566351634325</v>
      </c>
      <c r="H919" s="420" t="n">
        <f aca="false">H918+acc_z*pas</f>
        <v>-71.2265259348198</v>
      </c>
      <c r="I919" s="418" t="n">
        <f aca="false">SQRT(vit_x^2+vit_z^2)</f>
        <v>71.9612156763581</v>
      </c>
      <c r="J919" s="419" t="n">
        <f aca="false">J918+0.5*(vit_x+G918)*pas*(K918&gt;=0)</f>
        <v>211.791153319536</v>
      </c>
      <c r="K919" s="420" t="n">
        <f aca="false">K918+0.5*(vit_z+H918)*pas</f>
        <v>-8.48288008111653</v>
      </c>
      <c r="L919" s="418" t="n">
        <f aca="false">SQRT(pos_x^2+pos_z^2)</f>
        <v>211.960967819289</v>
      </c>
      <c r="M919" s="419" t="n">
        <f aca="false">IF(AND(L918&gt;L_rampe,G919&gt;0),ATAN2(G919,H919),$M$4)</f>
        <v>-1.42777923961447</v>
      </c>
      <c r="N919" s="418" t="n">
        <f aca="false">DEGREES(Beta)</f>
        <v>-81.8057245063072</v>
      </c>
      <c r="O919" s="402"/>
      <c r="P919" s="421" t="n">
        <f aca="false">MATCH(t-pas/2-T_ini,CdP_t)</f>
        <v>23</v>
      </c>
      <c r="Q919" s="418" t="n">
        <f aca="false">(INDEX(CdP,2,i_P+1)-INDEX(CdP,2,i_P+0))/(INDEX(CdP,1,i_P+1)-INDEX(CdP,1,i_P+0))*(t-pas/2-T_ini-INDEX(CdP,1,i_P+0))+INDEX(CdP,2,i_P+0)</f>
        <v>0</v>
      </c>
      <c r="R919" s="419" t="n">
        <f aca="false">Poussee/(g*ISP)</f>
        <v>0</v>
      </c>
      <c r="S919" s="420" t="n">
        <f aca="false">S918-Débit*pas</f>
        <v>1.4843</v>
      </c>
      <c r="T919" s="418" t="n">
        <f aca="false">m*g</f>
        <v>14.560983</v>
      </c>
      <c r="U919" s="422" t="n">
        <f aca="false">IF(pos_xz&lt;L_rampe,Poids*COS(Beta),0)</f>
        <v>0</v>
      </c>
      <c r="V919" s="419" t="n">
        <f aca="false">Rho_moyen*(20000-Alt_rampe-pos_z)/(20000+Alt_rampe+pos_z)</f>
        <v>1.22603959374739</v>
      </c>
      <c r="W919" s="418" t="n">
        <f aca="false">1/2*Rho*Sref*Cx*vit_xz^2</f>
        <v>5.59654788550292</v>
      </c>
      <c r="X919" s="402"/>
      <c r="Y919" s="423" t="str">
        <f aca="false">IF(AND(pos_z&lt;=0,K918&gt;0),"Impact balistique","") &amp; IF(AND(H920&lt;0,vit_z&gt;=0),"Apogée","") &amp; IF(AND(Poussee=0,Q918&gt;0),"Fin de propulsion","") &amp; IF(AND(L920&gt;L_rampe,pos_xz&lt;=L_rampe),"Sortie de rampe","")</f>
        <v/>
      </c>
      <c r="Z919" s="424" t="str">
        <f aca="false">IF(ABS(t-T_para)&lt;pas/2,"Para","")</f>
        <v/>
      </c>
      <c r="AA919" s="425" t="str">
        <f aca="false">IF(ABS(t-T_satellite)&lt;pas/2,"Satellite","")</f>
        <v/>
      </c>
      <c r="AB919" s="413"/>
      <c r="AC919" s="421" t="e">
        <f aca="false">IF(ABS(t-ROUND(t,0))&lt;0.001,t,NA())</f>
        <v>#N/A</v>
      </c>
      <c r="AD919" s="426" t="e">
        <f aca="false">IF(ABS(t-ROUND(t,0))&lt;0.001,pos_x,NA())</f>
        <v>#N/A</v>
      </c>
      <c r="AE919" s="427" t="e">
        <f aca="false">IF(t&lt;T_para, pos_z, NA())</f>
        <v>#N/A</v>
      </c>
      <c r="AF919" s="413"/>
      <c r="AG919" s="419" t="n">
        <f aca="false">IF(AND(L918&lt;L_rampe,Poussee&lt;Poids*SIN(M918)),0,(-W918+Poussee)/m-Poids*SIN(M918)/m)</f>
        <v>5.93941032767803</v>
      </c>
      <c r="AH919" s="418" t="n">
        <f aca="false">IF(AND(L918&lt;L_rampe,Poussee&lt;Poids*SIN(M918)), g*SIN(M918), (-W918+Poussee)/m)</f>
        <v>-3.77043152737482</v>
      </c>
    </row>
    <row r="920" customFormat="false" ht="12" hidden="false" customHeight="false" outlineLevel="0" collapsed="false">
      <c r="A920" s="417" t="n">
        <f aca="false">IF(B919+0.01&lt;=T_ini+ROUNDUP(Temps_fin_propu,0), 0.01, IF(K919&gt;0, 0.1, 0.0001))</f>
        <v>0.0001</v>
      </c>
      <c r="B920" s="418" t="n">
        <f aca="false">B919+pas</f>
        <v>16.5570999999998</v>
      </c>
      <c r="C920" s="402"/>
      <c r="D920" s="419" t="n">
        <f aca="false">IF(AND(L919&lt;L_rampe,Poussee&lt;Poids*SIN(M919)),0,(-W919+Poussee)/m*COS(M919)-U919/m*SIN(M919))</f>
        <v>-0.537409021542135</v>
      </c>
      <c r="E920" s="420" t="n">
        <f aca="false">IF(AND(L919&lt;L_rampe,Poussee&lt;Poids*SIN(M919)),0,(-W919+Poussee)/m*SIN(M919)+U919/m*COS(M919)-Poids/m)</f>
        <v>-6.07799851992913</v>
      </c>
      <c r="F920" s="418" t="n">
        <f aca="false">SQRT(acc_x^2+acc_z^2)</f>
        <v>6.10171078179682</v>
      </c>
      <c r="G920" s="419" t="n">
        <f aca="false">G919+acc_x*pas</f>
        <v>10.2565814225303</v>
      </c>
      <c r="H920" s="420" t="n">
        <f aca="false">H919+acc_z*pas</f>
        <v>-71.2271337346718</v>
      </c>
      <c r="I920" s="418" t="n">
        <f aca="false">SQRT(vit_x^2+vit_z^2)</f>
        <v>71.9618096113058</v>
      </c>
      <c r="J920" s="419" t="n">
        <f aca="false">J919+0.5*(vit_x+G919)*pas*(K919&gt;=0)</f>
        <v>211.791153319536</v>
      </c>
      <c r="K920" s="420" t="n">
        <f aca="false">K919+0.5*(vit_z+H919)*pas</f>
        <v>-8.49000276410001</v>
      </c>
      <c r="L920" s="418" t="n">
        <f aca="false">SQRT(pos_x^2+pos_z^2)</f>
        <v>211.961252995338</v>
      </c>
      <c r="M920" s="419" t="n">
        <f aca="false">IF(AND(L919&gt;L_rampe,G920&gt;0),ATAN2(G920,H920),$M$4)</f>
        <v>-1.42778118261692</v>
      </c>
      <c r="N920" s="418" t="n">
        <f aca="false">DEGREES(Beta)</f>
        <v>-81.805835832147</v>
      </c>
      <c r="O920" s="402"/>
      <c r="P920" s="421" t="n">
        <f aca="false">MATCH(t-pas/2-T_ini,CdP_t)</f>
        <v>23</v>
      </c>
      <c r="Q920" s="418" t="n">
        <f aca="false">(INDEX(CdP,2,i_P+1)-INDEX(CdP,2,i_P+0))/(INDEX(CdP,1,i_P+1)-INDEX(CdP,1,i_P+0))*(t-pas/2-T_ini-INDEX(CdP,1,i_P+0))+INDEX(CdP,2,i_P+0)</f>
        <v>0</v>
      </c>
      <c r="R920" s="419" t="n">
        <f aca="false">Poussee/(g*ISP)</f>
        <v>0</v>
      </c>
      <c r="S920" s="420" t="n">
        <f aca="false">S919-Débit*pas</f>
        <v>1.4843</v>
      </c>
      <c r="T920" s="418" t="n">
        <f aca="false">m*g</f>
        <v>14.560983</v>
      </c>
      <c r="U920" s="422" t="n">
        <f aca="false">IF(pos_xz&lt;L_rampe,Poids*COS(Beta),0)</f>
        <v>0</v>
      </c>
      <c r="V920" s="419" t="n">
        <f aca="false">Rho_moyen*(20000-Alt_rampe-pos_z)/(20000+Alt_rampe+pos_z)</f>
        <v>1.226040467017</v>
      </c>
      <c r="W920" s="418" t="n">
        <f aca="false">1/2*Rho*Sref*Cx*vit_xz^2</f>
        <v>5.59664425488674</v>
      </c>
      <c r="X920" s="402"/>
      <c r="Y920" s="423" t="str">
        <f aca="false">IF(AND(pos_z&lt;=0,K919&gt;0),"Impact balistique","") &amp; IF(AND(H921&lt;0,vit_z&gt;=0),"Apogée","") &amp; IF(AND(Poussee=0,Q919&gt;0),"Fin de propulsion","") &amp; IF(AND(L921&gt;L_rampe,pos_xz&lt;=L_rampe),"Sortie de rampe","")</f>
        <v/>
      </c>
      <c r="Z920" s="424" t="str">
        <f aca="false">IF(ABS(t-T_para)&lt;pas/2,"Para","")</f>
        <v/>
      </c>
      <c r="AA920" s="425" t="str">
        <f aca="false">IF(ABS(t-T_satellite)&lt;pas/2,"Satellite","")</f>
        <v/>
      </c>
      <c r="AB920" s="413"/>
      <c r="AC920" s="421" t="e">
        <f aca="false">IF(ABS(t-ROUND(t,0))&lt;0.001,t,NA())</f>
        <v>#N/A</v>
      </c>
      <c r="AD920" s="426" t="e">
        <f aca="false">IF(ABS(t-ROUND(t,0))&lt;0.001,pos_x,NA())</f>
        <v>#N/A</v>
      </c>
      <c r="AE920" s="427" t="e">
        <f aca="false">IF(t&lt;T_para, pos_z, NA())</f>
        <v>#N/A</v>
      </c>
      <c r="AF920" s="413"/>
      <c r="AG920" s="419" t="n">
        <f aca="false">IF(AND(L919&lt;L_rampe,Poussee&lt;Poids*SIN(M919)),0,(-W919+Poussee)/m-Poids*SIN(M919)/m)</f>
        <v>5.93934811866236</v>
      </c>
      <c r="AH920" s="418" t="n">
        <f aca="false">IF(AND(L919&lt;L_rampe,Poussee&lt;Poids*SIN(M919)), g*SIN(M919), (-W919+Poussee)/m)</f>
        <v>-3.77049645321224</v>
      </c>
    </row>
    <row r="921" customFormat="false" ht="12" hidden="false" customHeight="false" outlineLevel="0" collapsed="false">
      <c r="A921" s="417" t="n">
        <f aca="false">IF(B920+0.01&lt;=T_ini+ROUNDUP(Temps_fin_propu,0), 0.01, IF(K920&gt;0, 0.1, 0.0001))</f>
        <v>0.0001</v>
      </c>
      <c r="B921" s="418" t="n">
        <f aca="false">B920+pas</f>
        <v>16.5571999999998</v>
      </c>
      <c r="C921" s="402"/>
      <c r="D921" s="419" t="n">
        <f aca="false">IF(AND(L920&lt;L_rampe,Poussee&lt;Poids*SIN(M920)),0,(-W920+Poussee)/m*COS(M920)-U920/m*SIN(M920))</f>
        <v>-0.537411024007127</v>
      </c>
      <c r="E921" s="420" t="n">
        <f aca="false">IF(AND(L920&lt;L_rampe,Poussee&lt;Poids*SIN(M920)),0,(-W920+Poussee)/m*SIN(M920)+U920/m*COS(M920)-Poids/m)</f>
        <v>-6.07793321278006</v>
      </c>
      <c r="F921" s="418" t="n">
        <f aca="false">SQRT(acc_x^2+acc_z^2)</f>
        <v>6.10164590481448</v>
      </c>
      <c r="G921" s="419" t="n">
        <f aca="false">G920+acc_x*pas</f>
        <v>10.2565276814279</v>
      </c>
      <c r="H921" s="420" t="n">
        <f aca="false">H920+acc_z*pas</f>
        <v>-71.2277415279931</v>
      </c>
      <c r="I921" s="418" t="n">
        <f aca="false">SQRT(vit_x^2+vit_z^2)</f>
        <v>71.9624035400326</v>
      </c>
      <c r="J921" s="419" t="n">
        <f aca="false">J920+0.5*(vit_x+G920)*pas*(K920&gt;=0)</f>
        <v>211.791153319536</v>
      </c>
      <c r="K921" s="420" t="n">
        <f aca="false">K920+0.5*(vit_z+H920)*pas</f>
        <v>-8.49712550786314</v>
      </c>
      <c r="L921" s="418" t="n">
        <f aca="false">SQRT(pos_x^2+pos_z^2)</f>
        <v>211.961538412788</v>
      </c>
      <c r="M921" s="419" t="n">
        <f aca="false">IF(AND(L920&gt;L_rampe,G921&gt;0),ATAN2(G921,H921),$M$4)</f>
        <v>-1.42778312557711</v>
      </c>
      <c r="N921" s="418" t="n">
        <f aca="false">DEGREES(Beta)</f>
        <v>-81.8059471555659</v>
      </c>
      <c r="O921" s="402"/>
      <c r="P921" s="421" t="n">
        <f aca="false">MATCH(t-pas/2-T_ini,CdP_t)</f>
        <v>23</v>
      </c>
      <c r="Q921" s="418" t="n">
        <f aca="false">(INDEX(CdP,2,i_P+1)-INDEX(CdP,2,i_P+0))/(INDEX(CdP,1,i_P+1)-INDEX(CdP,1,i_P+0))*(t-pas/2-T_ini-INDEX(CdP,1,i_P+0))+INDEX(CdP,2,i_P+0)</f>
        <v>0</v>
      </c>
      <c r="R921" s="419" t="n">
        <f aca="false">Poussee/(g*ISP)</f>
        <v>0</v>
      </c>
      <c r="S921" s="420" t="n">
        <f aca="false">S920-Débit*pas</f>
        <v>1.4843</v>
      </c>
      <c r="T921" s="418" t="n">
        <f aca="false">m*g</f>
        <v>14.560983</v>
      </c>
      <c r="U921" s="422" t="n">
        <f aca="false">IF(pos_xz&lt;L_rampe,Poids*COS(Beta),0)</f>
        <v>0</v>
      </c>
      <c r="V921" s="419" t="n">
        <f aca="false">Rho_moyen*(20000-Alt_rampe-pos_z)/(20000+Alt_rampe+pos_z)</f>
        <v>1.22604134029467</v>
      </c>
      <c r="W921" s="418" t="n">
        <f aca="false">1/2*Rho*Sref*Cx*vit_xz^2</f>
        <v>5.59674062423385</v>
      </c>
      <c r="X921" s="402"/>
      <c r="Y921" s="423" t="str">
        <f aca="false">IF(AND(pos_z&lt;=0,K920&gt;0),"Impact balistique","") &amp; IF(AND(H922&lt;0,vit_z&gt;=0),"Apogée","") &amp; IF(AND(Poussee=0,Q920&gt;0),"Fin de propulsion","") &amp; IF(AND(L922&gt;L_rampe,pos_xz&lt;=L_rampe),"Sortie de rampe","")</f>
        <v/>
      </c>
      <c r="Z921" s="424" t="str">
        <f aca="false">IF(ABS(t-T_para)&lt;pas/2,"Para","")</f>
        <v/>
      </c>
      <c r="AA921" s="425" t="str">
        <f aca="false">IF(ABS(t-T_satellite)&lt;pas/2,"Satellite","")</f>
        <v/>
      </c>
      <c r="AB921" s="413"/>
      <c r="AC921" s="421" t="e">
        <f aca="false">IF(ABS(t-ROUND(t,0))&lt;0.001,t,NA())</f>
        <v>#N/A</v>
      </c>
      <c r="AD921" s="426" t="e">
        <f aca="false">IF(ABS(t-ROUND(t,0))&lt;0.001,pos_x,NA())</f>
        <v>#N/A</v>
      </c>
      <c r="AE921" s="427" t="e">
        <f aca="false">IF(t&lt;T_para, pos_z, NA())</f>
        <v>#N/A</v>
      </c>
      <c r="AF921" s="413"/>
      <c r="AG921" s="419" t="n">
        <f aca="false">IF(AND(L920&lt;L_rampe,Poussee&lt;Poids*SIN(M920)),0,(-W920+Poussee)/m-Poids*SIN(M920)/m)</f>
        <v>5.93928590957565</v>
      </c>
      <c r="AH921" s="418" t="n">
        <f aca="false">IF(AND(L920&lt;L_rampe,Poussee&lt;Poids*SIN(M920)), g*SIN(M920), (-W920+Poussee)/m)</f>
        <v>-3.77056137902496</v>
      </c>
    </row>
    <row r="922" customFormat="false" ht="12" hidden="false" customHeight="false" outlineLevel="0" collapsed="false">
      <c r="A922" s="417" t="n">
        <f aca="false">IF(B921+0.01&lt;=T_ini+ROUNDUP(Temps_fin_propu,0), 0.01, IF(K921&gt;0, 0.1, 0.0001))</f>
        <v>0.0001</v>
      </c>
      <c r="B922" s="418" t="n">
        <f aca="false">B921+pas</f>
        <v>16.5572999999998</v>
      </c>
      <c r="C922" s="402"/>
      <c r="D922" s="419" t="n">
        <f aca="false">IF(AND(L921&lt;L_rampe,Poussee&lt;Poids*SIN(M921)),0,(-W921+Poussee)/m*COS(M921)-U921/m*SIN(M921))</f>
        <v>-0.537413026374534</v>
      </c>
      <c r="E922" s="420" t="n">
        <f aca="false">IF(AND(L921&lt;L_rampe,Poussee&lt;Poids*SIN(M921)),0,(-W921+Poussee)/m*SIN(M921)+U921/m*COS(M921)-Poids/m)</f>
        <v>-6.0778679056563</v>
      </c>
      <c r="F922" s="418" t="n">
        <f aca="false">SQRT(acc_x^2+acc_z^2)</f>
        <v>6.10158102785859</v>
      </c>
      <c r="G922" s="419" t="n">
        <f aca="false">G921+acc_x*pas</f>
        <v>10.2564739401253</v>
      </c>
      <c r="H922" s="420" t="n">
        <f aca="false">H921+acc_z*pas</f>
        <v>-71.2283493147837</v>
      </c>
      <c r="I922" s="418" t="n">
        <f aca="false">SQRT(vit_x^2+vit_z^2)</f>
        <v>71.9629974625384</v>
      </c>
      <c r="J922" s="419" t="n">
        <f aca="false">J921+0.5*(vit_x+G921)*pas*(K921&gt;=0)</f>
        <v>211.791153319536</v>
      </c>
      <c r="K922" s="420" t="n">
        <f aca="false">K921+0.5*(vit_z+H921)*pas</f>
        <v>-8.50424831240528</v>
      </c>
      <c r="L922" s="418" t="n">
        <f aca="false">SQRT(pos_x^2+pos_z^2)</f>
        <v>211.961824071643</v>
      </c>
      <c r="M922" s="419" t="n">
        <f aca="false">IF(AND(L921&gt;L_rampe,G922&gt;0),ATAN2(G922,H922),$M$4)</f>
        <v>-1.42778506849506</v>
      </c>
      <c r="N922" s="418" t="n">
        <f aca="false">DEGREES(Beta)</f>
        <v>-81.8060584765639</v>
      </c>
      <c r="O922" s="402"/>
      <c r="P922" s="421" t="n">
        <f aca="false">MATCH(t-pas/2-T_ini,CdP_t)</f>
        <v>23</v>
      </c>
      <c r="Q922" s="418" t="n">
        <f aca="false">(INDEX(CdP,2,i_P+1)-INDEX(CdP,2,i_P+0))/(INDEX(CdP,1,i_P+1)-INDEX(CdP,1,i_P+0))*(t-pas/2-T_ini-INDEX(CdP,1,i_P+0))+INDEX(CdP,2,i_P+0)</f>
        <v>0</v>
      </c>
      <c r="R922" s="419" t="n">
        <f aca="false">Poussee/(g*ISP)</f>
        <v>0</v>
      </c>
      <c r="S922" s="420" t="n">
        <f aca="false">S921-Débit*pas</f>
        <v>1.4843</v>
      </c>
      <c r="T922" s="418" t="n">
        <f aca="false">m*g</f>
        <v>14.560983</v>
      </c>
      <c r="U922" s="422" t="n">
        <f aca="false">IF(pos_xz&lt;L_rampe,Poids*COS(Beta),0)</f>
        <v>0</v>
      </c>
      <c r="V922" s="419" t="n">
        <f aca="false">Rho_moyen*(20000-Alt_rampe-pos_z)/(20000+Alt_rampe+pos_z)</f>
        <v>1.22604221358042</v>
      </c>
      <c r="W922" s="418" t="n">
        <f aca="false">1/2*Rho*Sref*Cx*vit_xz^2</f>
        <v>5.59683699354426</v>
      </c>
      <c r="X922" s="402"/>
      <c r="Y922" s="423" t="str">
        <f aca="false">IF(AND(pos_z&lt;=0,K921&gt;0),"Impact balistique","") &amp; IF(AND(H923&lt;0,vit_z&gt;=0),"Apogée","") &amp; IF(AND(Poussee=0,Q921&gt;0),"Fin de propulsion","") &amp; IF(AND(L923&gt;L_rampe,pos_xz&lt;=L_rampe),"Sortie de rampe","")</f>
        <v/>
      </c>
      <c r="Z922" s="424" t="str">
        <f aca="false">IF(ABS(t-T_para)&lt;pas/2,"Para","")</f>
        <v/>
      </c>
      <c r="AA922" s="425" t="str">
        <f aca="false">IF(ABS(t-T_satellite)&lt;pas/2,"Satellite","")</f>
        <v/>
      </c>
      <c r="AB922" s="413"/>
      <c r="AC922" s="421" t="e">
        <f aca="false">IF(ABS(t-ROUND(t,0))&lt;0.001,t,NA())</f>
        <v>#N/A</v>
      </c>
      <c r="AD922" s="426" t="e">
        <f aca="false">IF(ABS(t-ROUND(t,0))&lt;0.001,pos_x,NA())</f>
        <v>#N/A</v>
      </c>
      <c r="AE922" s="427" t="e">
        <f aca="false">IF(t&lt;T_para, pos_z, NA())</f>
        <v>#N/A</v>
      </c>
      <c r="AF922" s="413"/>
      <c r="AG922" s="419" t="n">
        <f aca="false">IF(AND(L921&lt;L_rampe,Poussee&lt;Poids*SIN(M921)),0,(-W921+Poussee)/m-Poids*SIN(M921)/m)</f>
        <v>5.93922370041794</v>
      </c>
      <c r="AH922" s="418" t="n">
        <f aca="false">IF(AND(L921&lt;L_rampe,Poussee&lt;Poids*SIN(M921)), g*SIN(M921), (-W921+Poussee)/m)</f>
        <v>-3.77062630481295</v>
      </c>
    </row>
    <row r="923" customFormat="false" ht="12" hidden="false" customHeight="false" outlineLevel="0" collapsed="false">
      <c r="A923" s="417" t="n">
        <f aca="false">IF(B922+0.01&lt;=T_ini+ROUNDUP(Temps_fin_propu,0), 0.01, IF(K922&gt;0, 0.1, 0.0001))</f>
        <v>0.0001</v>
      </c>
      <c r="B923" s="418" t="n">
        <f aca="false">B922+pas</f>
        <v>16.5573999999998</v>
      </c>
      <c r="C923" s="402"/>
      <c r="D923" s="419" t="n">
        <f aca="false">IF(AND(L922&lt;L_rampe,Poussee&lt;Poids*SIN(M922)),0,(-W922+Poussee)/m*COS(M922)-U922/m*SIN(M922))</f>
        <v>-0.537415028644357</v>
      </c>
      <c r="E923" s="420" t="n">
        <f aca="false">IF(AND(L922&lt;L_rampe,Poussee&lt;Poids*SIN(M922)),0,(-W922+Poussee)/m*SIN(M922)+U922/m*COS(M922)-Poids/m)</f>
        <v>-6.07780259855785</v>
      </c>
      <c r="F923" s="418" t="n">
        <f aca="false">SQRT(acc_x^2+acc_z^2)</f>
        <v>6.10151615092916</v>
      </c>
      <c r="G923" s="419" t="n">
        <f aca="false">G922+acc_x*pas</f>
        <v>10.2564201986224</v>
      </c>
      <c r="H923" s="420" t="n">
        <f aca="false">H922+acc_z*pas</f>
        <v>-71.2289570950435</v>
      </c>
      <c r="I923" s="418" t="n">
        <f aca="false">SQRT(vit_x^2+vit_z^2)</f>
        <v>71.9635913788234</v>
      </c>
      <c r="J923" s="419" t="n">
        <f aca="false">J922+0.5*(vit_x+G922)*pas*(K922&gt;=0)</f>
        <v>211.791153319536</v>
      </c>
      <c r="K923" s="420" t="n">
        <f aca="false">K922+0.5*(vit_z+H922)*pas</f>
        <v>-8.51137117772577</v>
      </c>
      <c r="L923" s="418" t="n">
        <f aca="false">SQRT(pos_x^2+pos_z^2)</f>
        <v>211.96210997191</v>
      </c>
      <c r="M923" s="419" t="n">
        <f aca="false">IF(AND(L922&gt;L_rampe,G923&gt;0),ATAN2(G923,H923),$M$4)</f>
        <v>-1.42778701137075</v>
      </c>
      <c r="N923" s="418" t="n">
        <f aca="false">DEGREES(Beta)</f>
        <v>-81.8061697951412</v>
      </c>
      <c r="O923" s="402"/>
      <c r="P923" s="421" t="n">
        <f aca="false">MATCH(t-pas/2-T_ini,CdP_t)</f>
        <v>23</v>
      </c>
      <c r="Q923" s="418" t="n">
        <f aca="false">(INDEX(CdP,2,i_P+1)-INDEX(CdP,2,i_P+0))/(INDEX(CdP,1,i_P+1)-INDEX(CdP,1,i_P+0))*(t-pas/2-T_ini-INDEX(CdP,1,i_P+0))+INDEX(CdP,2,i_P+0)</f>
        <v>0</v>
      </c>
      <c r="R923" s="419" t="n">
        <f aca="false">Poussee/(g*ISP)</f>
        <v>0</v>
      </c>
      <c r="S923" s="420" t="n">
        <f aca="false">S922-Débit*pas</f>
        <v>1.4843</v>
      </c>
      <c r="T923" s="418" t="n">
        <f aca="false">m*g</f>
        <v>14.560983</v>
      </c>
      <c r="U923" s="422" t="n">
        <f aca="false">IF(pos_xz&lt;L_rampe,Poids*COS(Beta),0)</f>
        <v>0</v>
      </c>
      <c r="V923" s="419" t="n">
        <f aca="false">Rho_moyen*(20000-Alt_rampe-pos_z)/(20000+Alt_rampe+pos_z)</f>
        <v>1.22604308687425</v>
      </c>
      <c r="W923" s="418" t="n">
        <f aca="false">1/2*Rho*Sref*Cx*vit_xz^2</f>
        <v>5.59693336281792</v>
      </c>
      <c r="X923" s="402"/>
      <c r="Y923" s="423" t="str">
        <f aca="false">IF(AND(pos_z&lt;=0,K922&gt;0),"Impact balistique","") &amp; IF(AND(H924&lt;0,vit_z&gt;=0),"Apogée","") &amp; IF(AND(Poussee=0,Q922&gt;0),"Fin de propulsion","") &amp; IF(AND(L924&gt;L_rampe,pos_xz&lt;=L_rampe),"Sortie de rampe","")</f>
        <v/>
      </c>
      <c r="Z923" s="424" t="str">
        <f aca="false">IF(ABS(t-T_para)&lt;pas/2,"Para","")</f>
        <v/>
      </c>
      <c r="AA923" s="425" t="str">
        <f aca="false">IF(ABS(t-T_satellite)&lt;pas/2,"Satellite","")</f>
        <v/>
      </c>
      <c r="AB923" s="413"/>
      <c r="AC923" s="421" t="e">
        <f aca="false">IF(ABS(t-ROUND(t,0))&lt;0.001,t,NA())</f>
        <v>#N/A</v>
      </c>
      <c r="AD923" s="426" t="e">
        <f aca="false">IF(ABS(t-ROUND(t,0))&lt;0.001,pos_x,NA())</f>
        <v>#N/A</v>
      </c>
      <c r="AE923" s="427" t="e">
        <f aca="false">IF(t&lt;T_para, pos_z, NA())</f>
        <v>#N/A</v>
      </c>
      <c r="AF923" s="413"/>
      <c r="AG923" s="419" t="n">
        <f aca="false">IF(AND(L922&lt;L_rampe,Poussee&lt;Poids*SIN(M922)),0,(-W922+Poussee)/m-Poids*SIN(M922)/m)</f>
        <v>5.93916149118922</v>
      </c>
      <c r="AH923" s="418" t="n">
        <f aca="false">IF(AND(L922&lt;L_rampe,Poussee&lt;Poids*SIN(M922)), g*SIN(M922), (-W922+Poussee)/m)</f>
        <v>-3.77069123057621</v>
      </c>
    </row>
    <row r="924" customFormat="false" ht="12" hidden="false" customHeight="false" outlineLevel="0" collapsed="false">
      <c r="A924" s="417" t="n">
        <f aca="false">IF(B923+0.01&lt;=T_ini+ROUNDUP(Temps_fin_propu,0), 0.01, IF(K923&gt;0, 0.1, 0.0001))</f>
        <v>0.0001</v>
      </c>
      <c r="B924" s="418" t="n">
        <f aca="false">B923+pas</f>
        <v>16.5574999999998</v>
      </c>
      <c r="C924" s="402"/>
      <c r="D924" s="419" t="n">
        <f aca="false">IF(AND(L923&lt;L_rampe,Poussee&lt;Poids*SIN(M923)),0,(-W923+Poussee)/m*COS(M923)-U923/m*SIN(M923))</f>
        <v>-0.537417030816597</v>
      </c>
      <c r="E924" s="420" t="n">
        <f aca="false">IF(AND(L923&lt;L_rampe,Poussee&lt;Poids*SIN(M923)),0,(-W923+Poussee)/m*SIN(M923)+U923/m*COS(M923)-Poids/m)</f>
        <v>-6.07773729148475</v>
      </c>
      <c r="F924" s="418" t="n">
        <f aca="false">SQRT(acc_x^2+acc_z^2)</f>
        <v>6.10145127402622</v>
      </c>
      <c r="G924" s="419" t="n">
        <f aca="false">G923+acc_x*pas</f>
        <v>10.2563664569194</v>
      </c>
      <c r="H924" s="420" t="n">
        <f aca="false">H923+acc_z*pas</f>
        <v>-71.2295648687727</v>
      </c>
      <c r="I924" s="418" t="n">
        <f aca="false">SQRT(vit_x^2+vit_z^2)</f>
        <v>71.9641852888874</v>
      </c>
      <c r="J924" s="419" t="n">
        <f aca="false">J923+0.5*(vit_x+G923)*pas*(K923&gt;=0)</f>
        <v>211.791153319536</v>
      </c>
      <c r="K924" s="420" t="n">
        <f aca="false">K923+0.5*(vit_z+H923)*pas</f>
        <v>-8.51849410382396</v>
      </c>
      <c r="L924" s="418" t="n">
        <f aca="false">SQRT(pos_x^2+pos_z^2)</f>
        <v>211.962396113594</v>
      </c>
      <c r="M924" s="419" t="n">
        <f aca="false">IF(AND(L923&gt;L_rampe,G924&gt;0),ATAN2(G924,H924),$M$4)</f>
        <v>-1.42778895420419</v>
      </c>
      <c r="N924" s="418" t="n">
        <f aca="false">DEGREES(Beta)</f>
        <v>-81.8062811112978</v>
      </c>
      <c r="O924" s="402"/>
      <c r="P924" s="421" t="n">
        <f aca="false">MATCH(t-pas/2-T_ini,CdP_t)</f>
        <v>23</v>
      </c>
      <c r="Q924" s="418" t="n">
        <f aca="false">(INDEX(CdP,2,i_P+1)-INDEX(CdP,2,i_P+0))/(INDEX(CdP,1,i_P+1)-INDEX(CdP,1,i_P+0))*(t-pas/2-T_ini-INDEX(CdP,1,i_P+0))+INDEX(CdP,2,i_P+0)</f>
        <v>0</v>
      </c>
      <c r="R924" s="419" t="n">
        <f aca="false">Poussee/(g*ISP)</f>
        <v>0</v>
      </c>
      <c r="S924" s="420" t="n">
        <f aca="false">S923-Débit*pas</f>
        <v>1.4843</v>
      </c>
      <c r="T924" s="418" t="n">
        <f aca="false">m*g</f>
        <v>14.560983</v>
      </c>
      <c r="U924" s="422" t="n">
        <f aca="false">IF(pos_xz&lt;L_rampe,Poids*COS(Beta),0)</f>
        <v>0</v>
      </c>
      <c r="V924" s="419" t="n">
        <f aca="false">Rho_moyen*(20000-Alt_rampe-pos_z)/(20000+Alt_rampe+pos_z)</f>
        <v>1.22604396017615</v>
      </c>
      <c r="W924" s="418" t="n">
        <f aca="false">1/2*Rho*Sref*Cx*vit_xz^2</f>
        <v>5.59702973205482</v>
      </c>
      <c r="X924" s="402"/>
      <c r="Y924" s="423" t="str">
        <f aca="false">IF(AND(pos_z&lt;=0,K923&gt;0),"Impact balistique","") &amp; IF(AND(H925&lt;0,vit_z&gt;=0),"Apogée","") &amp; IF(AND(Poussee=0,Q923&gt;0),"Fin de propulsion","") &amp; IF(AND(L925&gt;L_rampe,pos_xz&lt;=L_rampe),"Sortie de rampe","")</f>
        <v/>
      </c>
      <c r="Z924" s="424" t="str">
        <f aca="false">IF(ABS(t-T_para)&lt;pas/2,"Para","")</f>
        <v/>
      </c>
      <c r="AA924" s="425" t="str">
        <f aca="false">IF(ABS(t-T_satellite)&lt;pas/2,"Satellite","")</f>
        <v/>
      </c>
      <c r="AB924" s="413"/>
      <c r="AC924" s="421" t="e">
        <f aca="false">IF(ABS(t-ROUND(t,0))&lt;0.001,t,NA())</f>
        <v>#N/A</v>
      </c>
      <c r="AD924" s="426" t="e">
        <f aca="false">IF(ABS(t-ROUND(t,0))&lt;0.001,pos_x,NA())</f>
        <v>#N/A</v>
      </c>
      <c r="AE924" s="427" t="e">
        <f aca="false">IF(t&lt;T_para, pos_z, NA())</f>
        <v>#N/A</v>
      </c>
      <c r="AF924" s="413"/>
      <c r="AG924" s="419" t="n">
        <f aca="false">IF(AND(L923&lt;L_rampe,Poussee&lt;Poids*SIN(M923)),0,(-W923+Poussee)/m-Poids*SIN(M923)/m)</f>
        <v>5.93909928188954</v>
      </c>
      <c r="AH924" s="418" t="n">
        <f aca="false">IF(AND(L923&lt;L_rampe,Poussee&lt;Poids*SIN(M923)), g*SIN(M923), (-W923+Poussee)/m)</f>
        <v>-3.77075615631471</v>
      </c>
    </row>
    <row r="925" customFormat="false" ht="12" hidden="false" customHeight="false" outlineLevel="0" collapsed="false">
      <c r="A925" s="417" t="n">
        <f aca="false">IF(B924+0.01&lt;=T_ini+ROUNDUP(Temps_fin_propu,0), 0.01, IF(K924&gt;0, 0.1, 0.0001))</f>
        <v>0.0001</v>
      </c>
      <c r="B925" s="418" t="n">
        <f aca="false">B924+pas</f>
        <v>16.5575999999998</v>
      </c>
      <c r="C925" s="402"/>
      <c r="D925" s="419" t="n">
        <f aca="false">IF(AND(L924&lt;L_rampe,Poussee&lt;Poids*SIN(M924)),0,(-W924+Poussee)/m*COS(M924)-U924/m*SIN(M924))</f>
        <v>-0.537419032891255</v>
      </c>
      <c r="E925" s="420" t="n">
        <f aca="false">IF(AND(L924&lt;L_rampe,Poussee&lt;Poids*SIN(M924)),0,(-W924+Poussee)/m*SIN(M924)+U924/m*COS(M924)-Poids/m)</f>
        <v>-6.077671984437</v>
      </c>
      <c r="F925" s="418" t="n">
        <f aca="false">SQRT(acc_x^2+acc_z^2)</f>
        <v>6.10138639714977</v>
      </c>
      <c r="G925" s="419" t="n">
        <f aca="false">G924+acc_x*pas</f>
        <v>10.2563127150161</v>
      </c>
      <c r="H925" s="420" t="n">
        <f aca="false">H924+acc_z*pas</f>
        <v>-71.2301726359711</v>
      </c>
      <c r="I925" s="418" t="n">
        <f aca="false">SQRT(vit_x^2+vit_z^2)</f>
        <v>71.9647791927305</v>
      </c>
      <c r="J925" s="419" t="n">
        <f aca="false">J924+0.5*(vit_x+G924)*pas*(K924&gt;=0)</f>
        <v>211.791153319536</v>
      </c>
      <c r="K925" s="420" t="n">
        <f aca="false">K924+0.5*(vit_z+H924)*pas</f>
        <v>-8.5256170906992</v>
      </c>
      <c r="L925" s="418" t="n">
        <f aca="false">SQRT(pos_x^2+pos_z^2)</f>
        <v>211.962682496699</v>
      </c>
      <c r="M925" s="419" t="n">
        <f aca="false">IF(AND(L924&gt;L_rampe,G925&gt;0),ATAN2(G925,H925),$M$4)</f>
        <v>-1.42779089699539</v>
      </c>
      <c r="N925" s="418" t="n">
        <f aca="false">DEGREES(Beta)</f>
        <v>-81.8063924250338</v>
      </c>
      <c r="O925" s="402"/>
      <c r="P925" s="421" t="n">
        <f aca="false">MATCH(t-pas/2-T_ini,CdP_t)</f>
        <v>23</v>
      </c>
      <c r="Q925" s="418" t="n">
        <f aca="false">(INDEX(CdP,2,i_P+1)-INDEX(CdP,2,i_P+0))/(INDEX(CdP,1,i_P+1)-INDEX(CdP,1,i_P+0))*(t-pas/2-T_ini-INDEX(CdP,1,i_P+0))+INDEX(CdP,2,i_P+0)</f>
        <v>0</v>
      </c>
      <c r="R925" s="419" t="n">
        <f aca="false">Poussee/(g*ISP)</f>
        <v>0</v>
      </c>
      <c r="S925" s="420" t="n">
        <f aca="false">S924-Débit*pas</f>
        <v>1.4843</v>
      </c>
      <c r="T925" s="418" t="n">
        <f aca="false">m*g</f>
        <v>14.560983</v>
      </c>
      <c r="U925" s="422" t="n">
        <f aca="false">IF(pos_xz&lt;L_rampe,Poids*COS(Beta),0)</f>
        <v>0</v>
      </c>
      <c r="V925" s="419" t="n">
        <f aca="false">Rho_moyen*(20000-Alt_rampe-pos_z)/(20000+Alt_rampe+pos_z)</f>
        <v>1.22604483348612</v>
      </c>
      <c r="W925" s="418" t="n">
        <f aca="false">1/2*Rho*Sref*Cx*vit_xz^2</f>
        <v>5.59712610125492</v>
      </c>
      <c r="X925" s="402"/>
      <c r="Y925" s="423" t="str">
        <f aca="false">IF(AND(pos_z&lt;=0,K924&gt;0),"Impact balistique","") &amp; IF(AND(H926&lt;0,vit_z&gt;=0),"Apogée","") &amp; IF(AND(Poussee=0,Q924&gt;0),"Fin de propulsion","") &amp; IF(AND(L926&gt;L_rampe,pos_xz&lt;=L_rampe),"Sortie de rampe","")</f>
        <v/>
      </c>
      <c r="Z925" s="424" t="str">
        <f aca="false">IF(ABS(t-T_para)&lt;pas/2,"Para","")</f>
        <v/>
      </c>
      <c r="AA925" s="425" t="str">
        <f aca="false">IF(ABS(t-T_satellite)&lt;pas/2,"Satellite","")</f>
        <v/>
      </c>
      <c r="AB925" s="413"/>
      <c r="AC925" s="421" t="e">
        <f aca="false">IF(ABS(t-ROUND(t,0))&lt;0.001,t,NA())</f>
        <v>#N/A</v>
      </c>
      <c r="AD925" s="426" t="e">
        <f aca="false">IF(ABS(t-ROUND(t,0))&lt;0.001,pos_x,NA())</f>
        <v>#N/A</v>
      </c>
      <c r="AE925" s="427" t="e">
        <f aca="false">IF(t&lt;T_para, pos_z, NA())</f>
        <v>#N/A</v>
      </c>
      <c r="AF925" s="413"/>
      <c r="AG925" s="419" t="n">
        <f aca="false">IF(AND(L924&lt;L_rampe,Poussee&lt;Poids*SIN(M924)),0,(-W924+Poussee)/m-Poids*SIN(M924)/m)</f>
        <v>5.93903707251891</v>
      </c>
      <c r="AH925" s="418" t="n">
        <f aca="false">IF(AND(L924&lt;L_rampe,Poussee&lt;Poids*SIN(M924)), g*SIN(M924), (-W924+Poussee)/m)</f>
        <v>-3.77082108202845</v>
      </c>
    </row>
    <row r="926" customFormat="false" ht="12" hidden="false" customHeight="false" outlineLevel="0" collapsed="false">
      <c r="A926" s="417" t="n">
        <f aca="false">IF(B925+0.01&lt;=T_ini+ROUNDUP(Temps_fin_propu,0), 0.01, IF(K925&gt;0, 0.1, 0.0001))</f>
        <v>0.0001</v>
      </c>
      <c r="B926" s="418" t="n">
        <f aca="false">B925+pas</f>
        <v>16.5576999999998</v>
      </c>
      <c r="C926" s="402"/>
      <c r="D926" s="419" t="n">
        <f aca="false">IF(AND(L925&lt;L_rampe,Poussee&lt;Poids*SIN(M925)),0,(-W925+Poussee)/m*COS(M925)-U925/m*SIN(M925))</f>
        <v>-0.53742103486833</v>
      </c>
      <c r="E926" s="420" t="n">
        <f aca="false">IF(AND(L925&lt;L_rampe,Poussee&lt;Poids*SIN(M925)),0,(-W925+Poussee)/m*SIN(M925)+U925/m*COS(M925)-Poids/m)</f>
        <v>-6.07760667741463</v>
      </c>
      <c r="F926" s="418" t="n">
        <f aca="false">SQRT(acc_x^2+acc_z^2)</f>
        <v>6.10132152029983</v>
      </c>
      <c r="G926" s="419" t="n">
        <f aca="false">G925+acc_x*pas</f>
        <v>10.2562589729126</v>
      </c>
      <c r="H926" s="420" t="n">
        <f aca="false">H925+acc_z*pas</f>
        <v>-71.2307803966389</v>
      </c>
      <c r="I926" s="418" t="n">
        <f aca="false">SQRT(vit_x^2+vit_z^2)</f>
        <v>71.9653730903526</v>
      </c>
      <c r="J926" s="419" t="n">
        <f aca="false">J925+0.5*(vit_x+G925)*pas*(K925&gt;=0)</f>
        <v>211.791153319536</v>
      </c>
      <c r="K926" s="420" t="n">
        <f aca="false">K925+0.5*(vit_z+H925)*pas</f>
        <v>-8.53274013835083</v>
      </c>
      <c r="L926" s="418" t="n">
        <f aca="false">SQRT(pos_x^2+pos_z^2)</f>
        <v>211.962969121231</v>
      </c>
      <c r="M926" s="419" t="n">
        <f aca="false">IF(AND(L925&gt;L_rampe,G926&gt;0),ATAN2(G926,H926),$M$4)</f>
        <v>-1.42779283974434</v>
      </c>
      <c r="N926" s="418" t="n">
        <f aca="false">DEGREES(Beta)</f>
        <v>-81.8065037363493</v>
      </c>
      <c r="O926" s="402"/>
      <c r="P926" s="421" t="n">
        <f aca="false">MATCH(t-pas/2-T_ini,CdP_t)</f>
        <v>23</v>
      </c>
      <c r="Q926" s="418" t="n">
        <f aca="false">(INDEX(CdP,2,i_P+1)-INDEX(CdP,2,i_P+0))/(INDEX(CdP,1,i_P+1)-INDEX(CdP,1,i_P+0))*(t-pas/2-T_ini-INDEX(CdP,1,i_P+0))+INDEX(CdP,2,i_P+0)</f>
        <v>0</v>
      </c>
      <c r="R926" s="419" t="n">
        <f aca="false">Poussee/(g*ISP)</f>
        <v>0</v>
      </c>
      <c r="S926" s="420" t="n">
        <f aca="false">S925-Débit*pas</f>
        <v>1.4843</v>
      </c>
      <c r="T926" s="418" t="n">
        <f aca="false">m*g</f>
        <v>14.560983</v>
      </c>
      <c r="U926" s="422" t="n">
        <f aca="false">IF(pos_xz&lt;L_rampe,Poids*COS(Beta),0)</f>
        <v>0</v>
      </c>
      <c r="V926" s="419" t="n">
        <f aca="false">Rho_moyen*(20000-Alt_rampe-pos_z)/(20000+Alt_rampe+pos_z)</f>
        <v>1.22604570680417</v>
      </c>
      <c r="W926" s="418" t="n">
        <f aca="false">1/2*Rho*Sref*Cx*vit_xz^2</f>
        <v>5.59722247041822</v>
      </c>
      <c r="X926" s="402"/>
      <c r="Y926" s="423" t="str">
        <f aca="false">IF(AND(pos_z&lt;=0,K925&gt;0),"Impact balistique","") &amp; IF(AND(H927&lt;0,vit_z&gt;=0),"Apogée","") &amp; IF(AND(Poussee=0,Q925&gt;0),"Fin de propulsion","") &amp; IF(AND(L927&gt;L_rampe,pos_xz&lt;=L_rampe),"Sortie de rampe","")</f>
        <v/>
      </c>
      <c r="Z926" s="424" t="str">
        <f aca="false">IF(ABS(t-T_para)&lt;pas/2,"Para","")</f>
        <v/>
      </c>
      <c r="AA926" s="425" t="str">
        <f aca="false">IF(ABS(t-T_satellite)&lt;pas/2,"Satellite","")</f>
        <v/>
      </c>
      <c r="AB926" s="413"/>
      <c r="AC926" s="421" t="e">
        <f aca="false">IF(ABS(t-ROUND(t,0))&lt;0.001,t,NA())</f>
        <v>#N/A</v>
      </c>
      <c r="AD926" s="426" t="e">
        <f aca="false">IF(ABS(t-ROUND(t,0))&lt;0.001,pos_x,NA())</f>
        <v>#N/A</v>
      </c>
      <c r="AE926" s="427" t="e">
        <f aca="false">IF(t&lt;T_para, pos_z, NA())</f>
        <v>#N/A</v>
      </c>
      <c r="AF926" s="413"/>
      <c r="AG926" s="419" t="n">
        <f aca="false">IF(AND(L925&lt;L_rampe,Poussee&lt;Poids*SIN(M925)),0,(-W925+Poussee)/m-Poids*SIN(M925)/m)</f>
        <v>5.93897486307735</v>
      </c>
      <c r="AH926" s="418" t="n">
        <f aca="false">IF(AND(L925&lt;L_rampe,Poussee&lt;Poids*SIN(M925)), g*SIN(M925), (-W925+Poussee)/m)</f>
        <v>-3.77088600771739</v>
      </c>
    </row>
    <row r="927" customFormat="false" ht="12" hidden="false" customHeight="false" outlineLevel="0" collapsed="false">
      <c r="A927" s="417" t="n">
        <f aca="false">IF(B926+0.01&lt;=T_ini+ROUNDUP(Temps_fin_propu,0), 0.01, IF(K926&gt;0, 0.1, 0.0001))</f>
        <v>0.0001</v>
      </c>
      <c r="B927" s="418" t="n">
        <f aca="false">B926+pas</f>
        <v>16.5577999999998</v>
      </c>
      <c r="C927" s="402"/>
      <c r="D927" s="419" t="n">
        <f aca="false">IF(AND(L926&lt;L_rampe,Poussee&lt;Poids*SIN(M926)),0,(-W926+Poussee)/m*COS(M926)-U926/m*SIN(M926))</f>
        <v>-0.537423036747826</v>
      </c>
      <c r="E927" s="420" t="n">
        <f aca="false">IF(AND(L926&lt;L_rampe,Poussee&lt;Poids*SIN(M926)),0,(-W926+Poussee)/m*SIN(M926)+U926/m*COS(M926)-Poids/m)</f>
        <v>-6.07754137041763</v>
      </c>
      <c r="F927" s="418" t="n">
        <f aca="false">SQRT(acc_x^2+acc_z^2)</f>
        <v>6.10125664347642</v>
      </c>
      <c r="G927" s="419" t="n">
        <f aca="false">G926+acc_x*pas</f>
        <v>10.2562052306089</v>
      </c>
      <c r="H927" s="420" t="n">
        <f aca="false">H926+acc_z*pas</f>
        <v>-71.2313881507759</v>
      </c>
      <c r="I927" s="418" t="n">
        <f aca="false">SQRT(vit_x^2+vit_z^2)</f>
        <v>71.9659669817537</v>
      </c>
      <c r="J927" s="419" t="n">
        <f aca="false">J926+0.5*(vit_x+G926)*pas*(K926&gt;=0)</f>
        <v>211.791153319536</v>
      </c>
      <c r="K927" s="420" t="n">
        <f aca="false">K926+0.5*(vit_z+H926)*pas</f>
        <v>-8.5398632467782</v>
      </c>
      <c r="L927" s="418" t="n">
        <f aca="false">SQRT(pos_x^2+pos_z^2)</f>
        <v>211.963255987194</v>
      </c>
      <c r="M927" s="419" t="n">
        <f aca="false">IF(AND(L926&gt;L_rampe,G927&gt;0),ATAN2(G927,H927),$M$4)</f>
        <v>-1.42779478245104</v>
      </c>
      <c r="N927" s="418" t="n">
        <f aca="false">DEGREES(Beta)</f>
        <v>-81.8066150452444</v>
      </c>
      <c r="O927" s="402"/>
      <c r="P927" s="421" t="n">
        <f aca="false">MATCH(t-pas/2-T_ini,CdP_t)</f>
        <v>23</v>
      </c>
      <c r="Q927" s="418" t="n">
        <f aca="false">(INDEX(CdP,2,i_P+1)-INDEX(CdP,2,i_P+0))/(INDEX(CdP,1,i_P+1)-INDEX(CdP,1,i_P+0))*(t-pas/2-T_ini-INDEX(CdP,1,i_P+0))+INDEX(CdP,2,i_P+0)</f>
        <v>0</v>
      </c>
      <c r="R927" s="419" t="n">
        <f aca="false">Poussee/(g*ISP)</f>
        <v>0</v>
      </c>
      <c r="S927" s="420" t="n">
        <f aca="false">S926-Débit*pas</f>
        <v>1.4843</v>
      </c>
      <c r="T927" s="418" t="n">
        <f aca="false">m*g</f>
        <v>14.560983</v>
      </c>
      <c r="U927" s="422" t="n">
        <f aca="false">IF(pos_xz&lt;L_rampe,Poids*COS(Beta),0)</f>
        <v>0</v>
      </c>
      <c r="V927" s="419" t="n">
        <f aca="false">Rho_moyen*(20000-Alt_rampe-pos_z)/(20000+Alt_rampe+pos_z)</f>
        <v>1.22604658013029</v>
      </c>
      <c r="W927" s="418" t="n">
        <f aca="false">1/2*Rho*Sref*Cx*vit_xz^2</f>
        <v>5.59731883954467</v>
      </c>
      <c r="X927" s="402"/>
      <c r="Y927" s="423" t="str">
        <f aca="false">IF(AND(pos_z&lt;=0,K926&gt;0),"Impact balistique","") &amp; IF(AND(H928&lt;0,vit_z&gt;=0),"Apogée","") &amp; IF(AND(Poussee=0,Q926&gt;0),"Fin de propulsion","") &amp; IF(AND(L928&gt;L_rampe,pos_xz&lt;=L_rampe),"Sortie de rampe","")</f>
        <v/>
      </c>
      <c r="Z927" s="424" t="str">
        <f aca="false">IF(ABS(t-T_para)&lt;pas/2,"Para","")</f>
        <v/>
      </c>
      <c r="AA927" s="425" t="str">
        <f aca="false">IF(ABS(t-T_satellite)&lt;pas/2,"Satellite","")</f>
        <v/>
      </c>
      <c r="AB927" s="413"/>
      <c r="AC927" s="421" t="e">
        <f aca="false">IF(ABS(t-ROUND(t,0))&lt;0.001,t,NA())</f>
        <v>#N/A</v>
      </c>
      <c r="AD927" s="426" t="e">
        <f aca="false">IF(ABS(t-ROUND(t,0))&lt;0.001,pos_x,NA())</f>
        <v>#N/A</v>
      </c>
      <c r="AE927" s="427" t="e">
        <f aca="false">IF(t&lt;T_para, pos_z, NA())</f>
        <v>#N/A</v>
      </c>
      <c r="AF927" s="413"/>
      <c r="AG927" s="419" t="n">
        <f aca="false">IF(AND(L926&lt;L_rampe,Poussee&lt;Poids*SIN(M926)),0,(-W926+Poussee)/m-Poids*SIN(M926)/m)</f>
        <v>5.93891265356487</v>
      </c>
      <c r="AH927" s="418" t="n">
        <f aca="false">IF(AND(L926&lt;L_rampe,Poussee&lt;Poids*SIN(M926)), g*SIN(M926), (-W926+Poussee)/m)</f>
        <v>-3.77095093338154</v>
      </c>
    </row>
    <row r="928" customFormat="false" ht="12" hidden="false" customHeight="false" outlineLevel="0" collapsed="false">
      <c r="A928" s="417" t="n">
        <f aca="false">IF(B927+0.01&lt;=T_ini+ROUNDUP(Temps_fin_propu,0), 0.01, IF(K927&gt;0, 0.1, 0.0001))</f>
        <v>0.0001</v>
      </c>
      <c r="B928" s="418" t="n">
        <f aca="false">B927+pas</f>
        <v>16.5578999999998</v>
      </c>
      <c r="C928" s="402"/>
      <c r="D928" s="419" t="n">
        <f aca="false">IF(AND(L927&lt;L_rampe,Poussee&lt;Poids*SIN(M927)),0,(-W927+Poussee)/m*COS(M927)-U927/m*SIN(M927))</f>
        <v>-0.53742503852974</v>
      </c>
      <c r="E928" s="420" t="n">
        <f aca="false">IF(AND(L927&lt;L_rampe,Poussee&lt;Poids*SIN(M927)),0,(-W927+Poussee)/m*SIN(M927)+U927/m*COS(M927)-Poids/m)</f>
        <v>-6.07747606344605</v>
      </c>
      <c r="F928" s="418" t="n">
        <f aca="false">SQRT(acc_x^2+acc_z^2)</f>
        <v>6.10119176667955</v>
      </c>
      <c r="G928" s="419" t="n">
        <f aca="false">G927+acc_x*pas</f>
        <v>10.2561514881051</v>
      </c>
      <c r="H928" s="420" t="n">
        <f aca="false">H927+acc_z*pas</f>
        <v>-71.2319958983822</v>
      </c>
      <c r="I928" s="418" t="n">
        <f aca="false">SQRT(vit_x^2+vit_z^2)</f>
        <v>71.9665608669339</v>
      </c>
      <c r="J928" s="419" t="n">
        <f aca="false">J927+0.5*(vit_x+G927)*pas*(K927&gt;=0)</f>
        <v>211.791153319536</v>
      </c>
      <c r="K928" s="420" t="n">
        <f aca="false">K927+0.5*(vit_z+H927)*pas</f>
        <v>-8.54698641598066</v>
      </c>
      <c r="L928" s="418" t="n">
        <f aca="false">SQRT(pos_x^2+pos_z^2)</f>
        <v>211.963543094595</v>
      </c>
      <c r="M928" s="419" t="n">
        <f aca="false">IF(AND(L927&gt;L_rampe,G928&gt;0),ATAN2(G928,H928),$M$4)</f>
        <v>-1.42779672511551</v>
      </c>
      <c r="N928" s="418" t="n">
        <f aca="false">DEGREES(Beta)</f>
        <v>-81.8067263517191</v>
      </c>
      <c r="O928" s="402"/>
      <c r="P928" s="421" t="n">
        <f aca="false">MATCH(t-pas/2-T_ini,CdP_t)</f>
        <v>23</v>
      </c>
      <c r="Q928" s="418" t="n">
        <f aca="false">(INDEX(CdP,2,i_P+1)-INDEX(CdP,2,i_P+0))/(INDEX(CdP,1,i_P+1)-INDEX(CdP,1,i_P+0))*(t-pas/2-T_ini-INDEX(CdP,1,i_P+0))+INDEX(CdP,2,i_P+0)</f>
        <v>0</v>
      </c>
      <c r="R928" s="419" t="n">
        <f aca="false">Poussee/(g*ISP)</f>
        <v>0</v>
      </c>
      <c r="S928" s="420" t="n">
        <f aca="false">S927-Débit*pas</f>
        <v>1.4843</v>
      </c>
      <c r="T928" s="418" t="n">
        <f aca="false">m*g</f>
        <v>14.560983</v>
      </c>
      <c r="U928" s="422" t="n">
        <f aca="false">IF(pos_xz&lt;L_rampe,Poids*COS(Beta),0)</f>
        <v>0</v>
      </c>
      <c r="V928" s="419" t="n">
        <f aca="false">Rho_moyen*(20000-Alt_rampe-pos_z)/(20000+Alt_rampe+pos_z)</f>
        <v>1.22604745346448</v>
      </c>
      <c r="W928" s="418" t="n">
        <f aca="false">1/2*Rho*Sref*Cx*vit_xz^2</f>
        <v>5.59741520863427</v>
      </c>
      <c r="X928" s="402"/>
      <c r="Y928" s="423" t="str">
        <f aca="false">IF(AND(pos_z&lt;=0,K927&gt;0),"Impact balistique","") &amp; IF(AND(H929&lt;0,vit_z&gt;=0),"Apogée","") &amp; IF(AND(Poussee=0,Q927&gt;0),"Fin de propulsion","") &amp; IF(AND(L929&gt;L_rampe,pos_xz&lt;=L_rampe),"Sortie de rampe","")</f>
        <v/>
      </c>
      <c r="Z928" s="424" t="str">
        <f aca="false">IF(ABS(t-T_para)&lt;pas/2,"Para","")</f>
        <v/>
      </c>
      <c r="AA928" s="425" t="str">
        <f aca="false">IF(ABS(t-T_satellite)&lt;pas/2,"Satellite","")</f>
        <v/>
      </c>
      <c r="AB928" s="413"/>
      <c r="AC928" s="421" t="e">
        <f aca="false">IF(ABS(t-ROUND(t,0))&lt;0.001,t,NA())</f>
        <v>#N/A</v>
      </c>
      <c r="AD928" s="426" t="e">
        <f aca="false">IF(ABS(t-ROUND(t,0))&lt;0.001,pos_x,NA())</f>
        <v>#N/A</v>
      </c>
      <c r="AE928" s="427" t="e">
        <f aca="false">IF(t&lt;T_para, pos_z, NA())</f>
        <v>#N/A</v>
      </c>
      <c r="AF928" s="413"/>
      <c r="AG928" s="419" t="n">
        <f aca="false">IF(AND(L927&lt;L_rampe,Poussee&lt;Poids*SIN(M927)),0,(-W927+Poussee)/m-Poids*SIN(M927)/m)</f>
        <v>5.9388504439815</v>
      </c>
      <c r="AH928" s="418" t="n">
        <f aca="false">IF(AND(L927&lt;L_rampe,Poussee&lt;Poids*SIN(M927)), g*SIN(M927), (-W927+Poussee)/m)</f>
        <v>-3.77101585902087</v>
      </c>
    </row>
    <row r="929" customFormat="false" ht="12" hidden="false" customHeight="false" outlineLevel="0" collapsed="false">
      <c r="A929" s="417" t="n">
        <f aca="false">IF(B928+0.01&lt;=T_ini+ROUNDUP(Temps_fin_propu,0), 0.01, IF(K928&gt;0, 0.1, 0.0001))</f>
        <v>0.0001</v>
      </c>
      <c r="B929" s="418" t="n">
        <f aca="false">B928+pas</f>
        <v>16.5579999999998</v>
      </c>
      <c r="C929" s="402"/>
      <c r="D929" s="419" t="n">
        <f aca="false">IF(AND(L928&lt;L_rampe,Poussee&lt;Poids*SIN(M928)),0,(-W928+Poussee)/m*COS(M928)-U928/m*SIN(M928))</f>
        <v>-0.537427040214075</v>
      </c>
      <c r="E929" s="420" t="n">
        <f aca="false">IF(AND(L928&lt;L_rampe,Poussee&lt;Poids*SIN(M928)),0,(-W928+Poussee)/m*SIN(M928)+U928/m*COS(M928)-Poids/m)</f>
        <v>-6.07741075649988</v>
      </c>
      <c r="F929" s="418" t="n">
        <f aca="false">SQRT(acc_x^2+acc_z^2)</f>
        <v>6.10112688990925</v>
      </c>
      <c r="G929" s="419" t="n">
        <f aca="false">G928+acc_x*pas</f>
        <v>10.256097745401</v>
      </c>
      <c r="H929" s="420" t="n">
        <f aca="false">H928+acc_z*pas</f>
        <v>-71.2326036394579</v>
      </c>
      <c r="I929" s="418" t="n">
        <f aca="false">SQRT(vit_x^2+vit_z^2)</f>
        <v>71.9671547458931</v>
      </c>
      <c r="J929" s="419" t="n">
        <f aca="false">J928+0.5*(vit_x+G928)*pas*(K928&gt;=0)</f>
        <v>211.791153319536</v>
      </c>
      <c r="K929" s="420" t="n">
        <f aca="false">K928+0.5*(vit_z+H928)*pas</f>
        <v>-8.55410964595755</v>
      </c>
      <c r="L929" s="418" t="n">
        <f aca="false">SQRT(pos_x^2+pos_z^2)</f>
        <v>211.963830443438</v>
      </c>
      <c r="M929" s="419" t="n">
        <f aca="false">IF(AND(L928&gt;L_rampe,G929&gt;0),ATAN2(G929,H929),$M$4)</f>
        <v>-1.42779866773773</v>
      </c>
      <c r="N929" s="418" t="n">
        <f aca="false">DEGREES(Beta)</f>
        <v>-81.8068376557736</v>
      </c>
      <c r="O929" s="402"/>
      <c r="P929" s="421" t="n">
        <f aca="false">MATCH(t-pas/2-T_ini,CdP_t)</f>
        <v>23</v>
      </c>
      <c r="Q929" s="418" t="n">
        <f aca="false">(INDEX(CdP,2,i_P+1)-INDEX(CdP,2,i_P+0))/(INDEX(CdP,1,i_P+1)-INDEX(CdP,1,i_P+0))*(t-pas/2-T_ini-INDEX(CdP,1,i_P+0))+INDEX(CdP,2,i_P+0)</f>
        <v>0</v>
      </c>
      <c r="R929" s="419" t="n">
        <f aca="false">Poussee/(g*ISP)</f>
        <v>0</v>
      </c>
      <c r="S929" s="420" t="n">
        <f aca="false">S928-Débit*pas</f>
        <v>1.4843</v>
      </c>
      <c r="T929" s="418" t="n">
        <f aca="false">m*g</f>
        <v>14.560983</v>
      </c>
      <c r="U929" s="422" t="n">
        <f aca="false">IF(pos_xz&lt;L_rampe,Poids*COS(Beta),0)</f>
        <v>0</v>
      </c>
      <c r="V929" s="419" t="n">
        <f aca="false">Rho_moyen*(20000-Alt_rampe-pos_z)/(20000+Alt_rampe+pos_z)</f>
        <v>1.22604832680675</v>
      </c>
      <c r="W929" s="418" t="n">
        <f aca="false">1/2*Rho*Sref*Cx*vit_xz^2</f>
        <v>5.59751157768698</v>
      </c>
      <c r="X929" s="402"/>
      <c r="Y929" s="423" t="str">
        <f aca="false">IF(AND(pos_z&lt;=0,K928&gt;0),"Impact balistique","") &amp; IF(AND(H930&lt;0,vit_z&gt;=0),"Apogée","") &amp; IF(AND(Poussee=0,Q928&gt;0),"Fin de propulsion","") &amp; IF(AND(L930&gt;L_rampe,pos_xz&lt;=L_rampe),"Sortie de rampe","")</f>
        <v/>
      </c>
      <c r="Z929" s="424" t="str">
        <f aca="false">IF(ABS(t-T_para)&lt;pas/2,"Para","")</f>
        <v/>
      </c>
      <c r="AA929" s="425" t="str">
        <f aca="false">IF(ABS(t-T_satellite)&lt;pas/2,"Satellite","")</f>
        <v/>
      </c>
      <c r="AB929" s="413"/>
      <c r="AC929" s="421" t="e">
        <f aca="false">IF(ABS(t-ROUND(t,0))&lt;0.001,t,NA())</f>
        <v>#N/A</v>
      </c>
      <c r="AD929" s="426" t="e">
        <f aca="false">IF(ABS(t-ROUND(t,0))&lt;0.001,pos_x,NA())</f>
        <v>#N/A</v>
      </c>
      <c r="AE929" s="427" t="e">
        <f aca="false">IF(t&lt;T_para, pos_z, NA())</f>
        <v>#N/A</v>
      </c>
      <c r="AF929" s="413"/>
      <c r="AG929" s="419" t="n">
        <f aca="false">IF(AND(L928&lt;L_rampe,Poussee&lt;Poids*SIN(M928)),0,(-W928+Poussee)/m-Poids*SIN(M928)/m)</f>
        <v>5.93878823432726</v>
      </c>
      <c r="AH929" s="418" t="n">
        <f aca="false">IF(AND(L928&lt;L_rampe,Poussee&lt;Poids*SIN(M928)), g*SIN(M928), (-W928+Poussee)/m)</f>
        <v>-3.77108078463537</v>
      </c>
    </row>
    <row r="930" customFormat="false" ht="12" hidden="false" customHeight="false" outlineLevel="0" collapsed="false">
      <c r="A930" s="417" t="n">
        <f aca="false">IF(B929+0.01&lt;=T_ini+ROUNDUP(Temps_fin_propu,0), 0.01, IF(K929&gt;0, 0.1, 0.0001))</f>
        <v>0.0001</v>
      </c>
      <c r="B930" s="418" t="n">
        <f aca="false">B929+pas</f>
        <v>16.5580999999998</v>
      </c>
      <c r="C930" s="402"/>
      <c r="D930" s="419" t="n">
        <f aca="false">IF(AND(L929&lt;L_rampe,Poussee&lt;Poids*SIN(M929)),0,(-W929+Poussee)/m*COS(M929)-U929/m*SIN(M929))</f>
        <v>-0.537429041800831</v>
      </c>
      <c r="E930" s="420" t="n">
        <f aca="false">IF(AND(L929&lt;L_rampe,Poussee&lt;Poids*SIN(M929)),0,(-W929+Poussee)/m*SIN(M929)+U929/m*COS(M929)-Poids/m)</f>
        <v>-6.07734544957914</v>
      </c>
      <c r="F930" s="418" t="n">
        <f aca="false">SQRT(acc_x^2+acc_z^2)</f>
        <v>6.10106201316552</v>
      </c>
      <c r="G930" s="419" t="n">
        <f aca="false">G929+acc_x*pas</f>
        <v>10.2560440024969</v>
      </c>
      <c r="H930" s="420" t="n">
        <f aca="false">H929+acc_z*pas</f>
        <v>-71.2332113740029</v>
      </c>
      <c r="I930" s="418" t="n">
        <f aca="false">SQRT(vit_x^2+vit_z^2)</f>
        <v>71.9677486186314</v>
      </c>
      <c r="J930" s="419" t="n">
        <f aca="false">J929+0.5*(vit_x+G929)*pas*(K929&gt;=0)</f>
        <v>211.791153319536</v>
      </c>
      <c r="K930" s="420" t="n">
        <f aca="false">K929+0.5*(vit_z+H929)*pas</f>
        <v>-8.56123293670822</v>
      </c>
      <c r="L930" s="418" t="n">
        <f aca="false">SQRT(pos_x^2+pos_z^2)</f>
        <v>211.964118033727</v>
      </c>
      <c r="M930" s="419" t="n">
        <f aca="false">IF(AND(L929&gt;L_rampe,G930&gt;0),ATAN2(G930,H930),$M$4)</f>
        <v>-1.42780061031771</v>
      </c>
      <c r="N930" s="418" t="n">
        <f aca="false">DEGREES(Beta)</f>
        <v>-81.8069489574078</v>
      </c>
      <c r="O930" s="402"/>
      <c r="P930" s="421" t="n">
        <f aca="false">MATCH(t-pas/2-T_ini,CdP_t)</f>
        <v>23</v>
      </c>
      <c r="Q930" s="418" t="n">
        <f aca="false">(INDEX(CdP,2,i_P+1)-INDEX(CdP,2,i_P+0))/(INDEX(CdP,1,i_P+1)-INDEX(CdP,1,i_P+0))*(t-pas/2-T_ini-INDEX(CdP,1,i_P+0))+INDEX(CdP,2,i_P+0)</f>
        <v>0</v>
      </c>
      <c r="R930" s="419" t="n">
        <f aca="false">Poussee/(g*ISP)</f>
        <v>0</v>
      </c>
      <c r="S930" s="420" t="n">
        <f aca="false">S929-Débit*pas</f>
        <v>1.4843</v>
      </c>
      <c r="T930" s="418" t="n">
        <f aca="false">m*g</f>
        <v>14.560983</v>
      </c>
      <c r="U930" s="422" t="n">
        <f aca="false">IF(pos_xz&lt;L_rampe,Poids*COS(Beta),0)</f>
        <v>0</v>
      </c>
      <c r="V930" s="419" t="n">
        <f aca="false">Rho_moyen*(20000-Alt_rampe-pos_z)/(20000+Alt_rampe+pos_z)</f>
        <v>1.22604920015709</v>
      </c>
      <c r="W930" s="418" t="n">
        <f aca="false">1/2*Rho*Sref*Cx*vit_xz^2</f>
        <v>5.59760794670277</v>
      </c>
      <c r="X930" s="402"/>
      <c r="Y930" s="423" t="str">
        <f aca="false">IF(AND(pos_z&lt;=0,K929&gt;0),"Impact balistique","") &amp; IF(AND(H931&lt;0,vit_z&gt;=0),"Apogée","") &amp; IF(AND(Poussee=0,Q929&gt;0),"Fin de propulsion","") &amp; IF(AND(L931&gt;L_rampe,pos_xz&lt;=L_rampe),"Sortie de rampe","")</f>
        <v/>
      </c>
      <c r="Z930" s="424" t="str">
        <f aca="false">IF(ABS(t-T_para)&lt;pas/2,"Para","")</f>
        <v/>
      </c>
      <c r="AA930" s="425" t="str">
        <f aca="false">IF(ABS(t-T_satellite)&lt;pas/2,"Satellite","")</f>
        <v/>
      </c>
      <c r="AB930" s="413"/>
      <c r="AC930" s="421" t="e">
        <f aca="false">IF(ABS(t-ROUND(t,0))&lt;0.001,t,NA())</f>
        <v>#N/A</v>
      </c>
      <c r="AD930" s="426" t="e">
        <f aca="false">IF(ABS(t-ROUND(t,0))&lt;0.001,pos_x,NA())</f>
        <v>#N/A</v>
      </c>
      <c r="AE930" s="427" t="e">
        <f aca="false">IF(t&lt;T_para, pos_z, NA())</f>
        <v>#N/A</v>
      </c>
      <c r="AF930" s="413"/>
      <c r="AG930" s="419" t="n">
        <f aca="false">IF(AND(L929&lt;L_rampe,Poussee&lt;Poids*SIN(M929)),0,(-W929+Poussee)/m-Poids*SIN(M929)/m)</f>
        <v>5.93872602460218</v>
      </c>
      <c r="AH930" s="418" t="n">
        <f aca="false">IF(AND(L929&lt;L_rampe,Poussee&lt;Poids*SIN(M929)), g*SIN(M929), (-W929+Poussee)/m)</f>
        <v>-3.77114571022501</v>
      </c>
    </row>
    <row r="931" customFormat="false" ht="12" hidden="false" customHeight="false" outlineLevel="0" collapsed="false">
      <c r="A931" s="417" t="n">
        <f aca="false">IF(B930+0.01&lt;=T_ini+ROUNDUP(Temps_fin_propu,0), 0.01, IF(K930&gt;0, 0.1, 0.0001))</f>
        <v>0.0001</v>
      </c>
      <c r="B931" s="418" t="n">
        <f aca="false">B930+pas</f>
        <v>16.5581999999998</v>
      </c>
      <c r="C931" s="402"/>
      <c r="D931" s="419" t="n">
        <f aca="false">IF(AND(L930&lt;L_rampe,Poussee&lt;Poids*SIN(M930)),0,(-W930+Poussee)/m*COS(M930)-U930/m*SIN(M930))</f>
        <v>-0.537431043290009</v>
      </c>
      <c r="E931" s="420" t="n">
        <f aca="false">IF(AND(L930&lt;L_rampe,Poussee&lt;Poids*SIN(M930)),0,(-W930+Poussee)/m*SIN(M930)+U930/m*COS(M930)-Poids/m)</f>
        <v>-6.07728014268386</v>
      </c>
      <c r="F931" s="418" t="n">
        <f aca="false">SQRT(acc_x^2+acc_z^2)</f>
        <v>6.10099713644838</v>
      </c>
      <c r="G931" s="419" t="n">
        <f aca="false">G930+acc_x*pas</f>
        <v>10.2559902593925</v>
      </c>
      <c r="H931" s="420" t="n">
        <f aca="false">H930+acc_z*pas</f>
        <v>-71.2338191020171</v>
      </c>
      <c r="I931" s="418" t="n">
        <f aca="false">SQRT(vit_x^2+vit_z^2)</f>
        <v>71.9683424851487</v>
      </c>
      <c r="J931" s="419" t="n">
        <f aca="false">J930+0.5*(vit_x+G930)*pas*(K930&gt;=0)</f>
        <v>211.791153319536</v>
      </c>
      <c r="K931" s="420" t="n">
        <f aca="false">K930+0.5*(vit_z+H930)*pas</f>
        <v>-8.56835628823202</v>
      </c>
      <c r="L931" s="418" t="n">
        <f aca="false">SQRT(pos_x^2+pos_z^2)</f>
        <v>211.964405865469</v>
      </c>
      <c r="M931" s="419" t="n">
        <f aca="false">IF(AND(L930&gt;L_rampe,G931&gt;0),ATAN2(G931,H931),$M$4)</f>
        <v>-1.42780255285545</v>
      </c>
      <c r="N931" s="418" t="n">
        <f aca="false">DEGREES(Beta)</f>
        <v>-81.807060256622</v>
      </c>
      <c r="O931" s="402"/>
      <c r="P931" s="421" t="n">
        <f aca="false">MATCH(t-pas/2-T_ini,CdP_t)</f>
        <v>23</v>
      </c>
      <c r="Q931" s="418" t="n">
        <f aca="false">(INDEX(CdP,2,i_P+1)-INDEX(CdP,2,i_P+0))/(INDEX(CdP,1,i_P+1)-INDEX(CdP,1,i_P+0))*(t-pas/2-T_ini-INDEX(CdP,1,i_P+0))+INDEX(CdP,2,i_P+0)</f>
        <v>0</v>
      </c>
      <c r="R931" s="419" t="n">
        <f aca="false">Poussee/(g*ISP)</f>
        <v>0</v>
      </c>
      <c r="S931" s="420" t="n">
        <f aca="false">S930-Débit*pas</f>
        <v>1.4843</v>
      </c>
      <c r="T931" s="418" t="n">
        <f aca="false">m*g</f>
        <v>14.560983</v>
      </c>
      <c r="U931" s="422" t="n">
        <f aca="false">IF(pos_xz&lt;L_rampe,Poids*COS(Beta),0)</f>
        <v>0</v>
      </c>
      <c r="V931" s="419" t="n">
        <f aca="false">Rho_moyen*(20000-Alt_rampe-pos_z)/(20000+Alt_rampe+pos_z)</f>
        <v>1.22605007351551</v>
      </c>
      <c r="W931" s="418" t="n">
        <f aca="false">1/2*Rho*Sref*Cx*vit_xz^2</f>
        <v>5.59770431568164</v>
      </c>
      <c r="X931" s="402"/>
      <c r="Y931" s="423" t="str">
        <f aca="false">IF(AND(pos_z&lt;=0,K930&gt;0),"Impact balistique","") &amp; IF(AND(H932&lt;0,vit_z&gt;=0),"Apogée","") &amp; IF(AND(Poussee=0,Q930&gt;0),"Fin de propulsion","") &amp; IF(AND(L932&gt;L_rampe,pos_xz&lt;=L_rampe),"Sortie de rampe","")</f>
        <v/>
      </c>
      <c r="Z931" s="424" t="str">
        <f aca="false">IF(ABS(t-T_para)&lt;pas/2,"Para","")</f>
        <v/>
      </c>
      <c r="AA931" s="425" t="str">
        <f aca="false">IF(ABS(t-T_satellite)&lt;pas/2,"Satellite","")</f>
        <v/>
      </c>
      <c r="AB931" s="413"/>
      <c r="AC931" s="421" t="e">
        <f aca="false">IF(ABS(t-ROUND(t,0))&lt;0.001,t,NA())</f>
        <v>#N/A</v>
      </c>
      <c r="AD931" s="426" t="e">
        <f aca="false">IF(ABS(t-ROUND(t,0))&lt;0.001,pos_x,NA())</f>
        <v>#N/A</v>
      </c>
      <c r="AE931" s="427" t="e">
        <f aca="false">IF(t&lt;T_para, pos_z, NA())</f>
        <v>#N/A</v>
      </c>
      <c r="AF931" s="413"/>
      <c r="AG931" s="419" t="n">
        <f aca="false">IF(AND(L930&lt;L_rampe,Poussee&lt;Poids*SIN(M930)),0,(-W930+Poussee)/m-Poids*SIN(M930)/m)</f>
        <v>5.93866381480626</v>
      </c>
      <c r="AH931" s="418" t="n">
        <f aca="false">IF(AND(L930&lt;L_rampe,Poussee&lt;Poids*SIN(M930)), g*SIN(M930), (-W930+Poussee)/m)</f>
        <v>-3.77121063578979</v>
      </c>
    </row>
    <row r="932" customFormat="false" ht="12" hidden="false" customHeight="false" outlineLevel="0" collapsed="false">
      <c r="A932" s="417" t="n">
        <f aca="false">IF(B931+0.01&lt;=T_ini+ROUNDUP(Temps_fin_propu,0), 0.01, IF(K931&gt;0, 0.1, 0.0001))</f>
        <v>0.0001</v>
      </c>
      <c r="B932" s="418" t="n">
        <f aca="false">B931+pas</f>
        <v>16.5582999999998</v>
      </c>
      <c r="C932" s="402"/>
      <c r="D932" s="419" t="n">
        <f aca="false">IF(AND(L931&lt;L_rampe,Poussee&lt;Poids*SIN(M931)),0,(-W931+Poussee)/m*COS(M931)-U931/m*SIN(M931))</f>
        <v>-0.53743304468161</v>
      </c>
      <c r="E932" s="420" t="n">
        <f aca="false">IF(AND(L931&lt;L_rampe,Poussee&lt;Poids*SIN(M931)),0,(-W931+Poussee)/m*SIN(M931)+U931/m*COS(M931)-Poids/m)</f>
        <v>-6.07721483581404</v>
      </c>
      <c r="F932" s="418" t="n">
        <f aca="false">SQRT(acc_x^2+acc_z^2)</f>
        <v>6.10093225975785</v>
      </c>
      <c r="G932" s="419" t="n">
        <f aca="false">G931+acc_x*pas</f>
        <v>10.2559365160881</v>
      </c>
      <c r="H932" s="420" t="n">
        <f aca="false">H931+acc_z*pas</f>
        <v>-71.2344268235007</v>
      </c>
      <c r="I932" s="418" t="n">
        <f aca="false">SQRT(vit_x^2+vit_z^2)</f>
        <v>71.9689363454449</v>
      </c>
      <c r="J932" s="419" t="n">
        <f aca="false">J931+0.5*(vit_x+G931)*pas*(K931&gt;=0)</f>
        <v>211.791153319536</v>
      </c>
      <c r="K932" s="420" t="n">
        <f aca="false">K931+0.5*(vit_z+H931)*pas</f>
        <v>-8.5754797005283</v>
      </c>
      <c r="L932" s="418" t="n">
        <f aca="false">SQRT(pos_x^2+pos_z^2)</f>
        <v>211.964693938669</v>
      </c>
      <c r="M932" s="419" t="n">
        <f aca="false">IF(AND(L931&gt;L_rampe,G932&gt;0),ATAN2(G932,H932),$M$4)</f>
        <v>-1.42780449535096</v>
      </c>
      <c r="N932" s="418" t="n">
        <f aca="false">DEGREES(Beta)</f>
        <v>-81.8071715534162</v>
      </c>
      <c r="O932" s="402"/>
      <c r="P932" s="421" t="n">
        <f aca="false">MATCH(t-pas/2-T_ini,CdP_t)</f>
        <v>23</v>
      </c>
      <c r="Q932" s="418" t="n">
        <f aca="false">(INDEX(CdP,2,i_P+1)-INDEX(CdP,2,i_P+0))/(INDEX(CdP,1,i_P+1)-INDEX(CdP,1,i_P+0))*(t-pas/2-T_ini-INDEX(CdP,1,i_P+0))+INDEX(CdP,2,i_P+0)</f>
        <v>0</v>
      </c>
      <c r="R932" s="419" t="n">
        <f aca="false">Poussee/(g*ISP)</f>
        <v>0</v>
      </c>
      <c r="S932" s="420" t="n">
        <f aca="false">S931-Débit*pas</f>
        <v>1.4843</v>
      </c>
      <c r="T932" s="418" t="n">
        <f aca="false">m*g</f>
        <v>14.560983</v>
      </c>
      <c r="U932" s="422" t="n">
        <f aca="false">IF(pos_xz&lt;L_rampe,Poids*COS(Beta),0)</f>
        <v>0</v>
      </c>
      <c r="V932" s="419" t="n">
        <f aca="false">Rho_moyen*(20000-Alt_rampe-pos_z)/(20000+Alt_rampe+pos_z)</f>
        <v>1.226050946882</v>
      </c>
      <c r="W932" s="418" t="n">
        <f aca="false">1/2*Rho*Sref*Cx*vit_xz^2</f>
        <v>5.59780068462355</v>
      </c>
      <c r="X932" s="402"/>
      <c r="Y932" s="423" t="str">
        <f aca="false">IF(AND(pos_z&lt;=0,K931&gt;0),"Impact balistique","") &amp; IF(AND(H933&lt;0,vit_z&gt;=0),"Apogée","") &amp; IF(AND(Poussee=0,Q931&gt;0),"Fin de propulsion","") &amp; IF(AND(L933&gt;L_rampe,pos_xz&lt;=L_rampe),"Sortie de rampe","")</f>
        <v/>
      </c>
      <c r="Z932" s="424" t="str">
        <f aca="false">IF(ABS(t-T_para)&lt;pas/2,"Para","")</f>
        <v/>
      </c>
      <c r="AA932" s="425" t="str">
        <f aca="false">IF(ABS(t-T_satellite)&lt;pas/2,"Satellite","")</f>
        <v/>
      </c>
      <c r="AB932" s="413"/>
      <c r="AC932" s="421" t="e">
        <f aca="false">IF(ABS(t-ROUND(t,0))&lt;0.001,t,NA())</f>
        <v>#N/A</v>
      </c>
      <c r="AD932" s="426" t="e">
        <f aca="false">IF(ABS(t-ROUND(t,0))&lt;0.001,pos_x,NA())</f>
        <v>#N/A</v>
      </c>
      <c r="AE932" s="427" t="e">
        <f aca="false">IF(t&lt;T_para, pos_z, NA())</f>
        <v>#N/A</v>
      </c>
      <c r="AF932" s="413"/>
      <c r="AG932" s="419" t="n">
        <f aca="false">IF(AND(L931&lt;L_rampe,Poussee&lt;Poids*SIN(M931)),0,(-W931+Poussee)/m-Poids*SIN(M931)/m)</f>
        <v>5.93860160493954</v>
      </c>
      <c r="AH932" s="418" t="n">
        <f aca="false">IF(AND(L931&lt;L_rampe,Poussee&lt;Poids*SIN(M931)), g*SIN(M931), (-W931+Poussee)/m)</f>
        <v>-3.77127556132968</v>
      </c>
    </row>
    <row r="933" customFormat="false" ht="12" hidden="false" customHeight="false" outlineLevel="0" collapsed="false">
      <c r="A933" s="417" t="n">
        <f aca="false">IF(B932+0.01&lt;=T_ini+ROUNDUP(Temps_fin_propu,0), 0.01, IF(K932&gt;0, 0.1, 0.0001))</f>
        <v>0.0001</v>
      </c>
      <c r="B933" s="418" t="n">
        <f aca="false">B932+pas</f>
        <v>16.5583999999998</v>
      </c>
      <c r="C933" s="402"/>
      <c r="D933" s="419" t="n">
        <f aca="false">IF(AND(L932&lt;L_rampe,Poussee&lt;Poids*SIN(M932)),0,(-W932+Poussee)/m*COS(M932)-U932/m*SIN(M932))</f>
        <v>-0.537435045975633</v>
      </c>
      <c r="E933" s="420" t="n">
        <f aca="false">IF(AND(L932&lt;L_rampe,Poussee&lt;Poids*SIN(M932)),0,(-W932+Poussee)/m*SIN(M932)+U932/m*COS(M932)-Poids/m)</f>
        <v>-6.07714952896972</v>
      </c>
      <c r="F933" s="418" t="n">
        <f aca="false">SQRT(acc_x^2+acc_z^2)</f>
        <v>6.10086738309395</v>
      </c>
      <c r="G933" s="419" t="n">
        <f aca="false">G932+acc_x*pas</f>
        <v>10.2558827725835</v>
      </c>
      <c r="H933" s="420" t="n">
        <f aca="false">H932+acc_z*pas</f>
        <v>-71.2350345384536</v>
      </c>
      <c r="I933" s="418" t="n">
        <f aca="false">SQRT(vit_x^2+vit_z^2)</f>
        <v>71.9695301995202</v>
      </c>
      <c r="J933" s="419" t="n">
        <f aca="false">J932+0.5*(vit_x+G932)*pas*(K932&gt;=0)</f>
        <v>211.791153319536</v>
      </c>
      <c r="K933" s="420" t="n">
        <f aca="false">K932+0.5*(vit_z+H932)*pas</f>
        <v>-8.5826031735964</v>
      </c>
      <c r="L933" s="418" t="n">
        <f aca="false">SQRT(pos_x^2+pos_z^2)</f>
        <v>211.96498225333</v>
      </c>
      <c r="M933" s="419" t="n">
        <f aca="false">IF(AND(L932&gt;L_rampe,G933&gt;0),ATAN2(G933,H933),$M$4)</f>
        <v>-1.42780643780423</v>
      </c>
      <c r="N933" s="418" t="n">
        <f aca="false">DEGREES(Beta)</f>
        <v>-81.8072828477904</v>
      </c>
      <c r="O933" s="402"/>
      <c r="P933" s="421" t="n">
        <f aca="false">MATCH(t-pas/2-T_ini,CdP_t)</f>
        <v>23</v>
      </c>
      <c r="Q933" s="418" t="n">
        <f aca="false">(INDEX(CdP,2,i_P+1)-INDEX(CdP,2,i_P+0))/(INDEX(CdP,1,i_P+1)-INDEX(CdP,1,i_P+0))*(t-pas/2-T_ini-INDEX(CdP,1,i_P+0))+INDEX(CdP,2,i_P+0)</f>
        <v>0</v>
      </c>
      <c r="R933" s="419" t="n">
        <f aca="false">Poussee/(g*ISP)</f>
        <v>0</v>
      </c>
      <c r="S933" s="420" t="n">
        <f aca="false">S932-Débit*pas</f>
        <v>1.4843</v>
      </c>
      <c r="T933" s="418" t="n">
        <f aca="false">m*g</f>
        <v>14.560983</v>
      </c>
      <c r="U933" s="422" t="n">
        <f aca="false">IF(pos_xz&lt;L_rampe,Poids*COS(Beta),0)</f>
        <v>0</v>
      </c>
      <c r="V933" s="419" t="n">
        <f aca="false">Rho_moyen*(20000-Alt_rampe-pos_z)/(20000+Alt_rampe+pos_z)</f>
        <v>1.22605182025656</v>
      </c>
      <c r="W933" s="418" t="n">
        <f aca="false">1/2*Rho*Sref*Cx*vit_xz^2</f>
        <v>5.59789705352848</v>
      </c>
      <c r="X933" s="402"/>
      <c r="Y933" s="423" t="str">
        <f aca="false">IF(AND(pos_z&lt;=0,K932&gt;0),"Impact balistique","") &amp; IF(AND(H934&lt;0,vit_z&gt;=0),"Apogée","") &amp; IF(AND(Poussee=0,Q932&gt;0),"Fin de propulsion","") &amp; IF(AND(L934&gt;L_rampe,pos_xz&lt;=L_rampe),"Sortie de rampe","")</f>
        <v/>
      </c>
      <c r="Z933" s="424" t="str">
        <f aca="false">IF(ABS(t-T_para)&lt;pas/2,"Para","")</f>
        <v/>
      </c>
      <c r="AA933" s="425" t="str">
        <f aca="false">IF(ABS(t-T_satellite)&lt;pas/2,"Satellite","")</f>
        <v/>
      </c>
      <c r="AB933" s="413"/>
      <c r="AC933" s="421" t="e">
        <f aca="false">IF(ABS(t-ROUND(t,0))&lt;0.001,t,NA())</f>
        <v>#N/A</v>
      </c>
      <c r="AD933" s="426" t="e">
        <f aca="false">IF(ABS(t-ROUND(t,0))&lt;0.001,pos_x,NA())</f>
        <v>#N/A</v>
      </c>
      <c r="AE933" s="427" t="e">
        <f aca="false">IF(t&lt;T_para, pos_z, NA())</f>
        <v>#N/A</v>
      </c>
      <c r="AF933" s="413"/>
      <c r="AG933" s="419" t="n">
        <f aca="false">IF(AND(L932&lt;L_rampe,Poussee&lt;Poids*SIN(M932)),0,(-W932+Poussee)/m-Poids*SIN(M932)/m)</f>
        <v>5.93853939500203</v>
      </c>
      <c r="AH933" s="418" t="n">
        <f aca="false">IF(AND(L932&lt;L_rampe,Poussee&lt;Poids*SIN(M932)), g*SIN(M932), (-W932+Poussee)/m)</f>
        <v>-3.77134048684468</v>
      </c>
    </row>
    <row r="934" customFormat="false" ht="12" hidden="false" customHeight="false" outlineLevel="0" collapsed="false">
      <c r="A934" s="417" t="n">
        <f aca="false">IF(B933+0.01&lt;=T_ini+ROUNDUP(Temps_fin_propu,0), 0.01, IF(K933&gt;0, 0.1, 0.0001))</f>
        <v>0.0001</v>
      </c>
      <c r="B934" s="418" t="n">
        <f aca="false">B933+pas</f>
        <v>16.5584999999998</v>
      </c>
      <c r="C934" s="402"/>
      <c r="D934" s="419" t="n">
        <f aca="false">IF(AND(L933&lt;L_rampe,Poussee&lt;Poids*SIN(M933)),0,(-W933+Poussee)/m*COS(M933)-U933/m*SIN(M933))</f>
        <v>-0.537437047172081</v>
      </c>
      <c r="E934" s="420" t="n">
        <f aca="false">IF(AND(L933&lt;L_rampe,Poussee&lt;Poids*SIN(M933)),0,(-W933+Poussee)/m*SIN(M933)+U933/m*COS(M933)-Poids/m)</f>
        <v>-6.07708422215089</v>
      </c>
      <c r="F934" s="418" t="n">
        <f aca="false">SQRT(acc_x^2+acc_z^2)</f>
        <v>6.10080250645669</v>
      </c>
      <c r="G934" s="419" t="n">
        <f aca="false">G933+acc_x*pas</f>
        <v>10.2558290288787</v>
      </c>
      <c r="H934" s="420" t="n">
        <f aca="false">H933+acc_z*pas</f>
        <v>-71.2356422468758</v>
      </c>
      <c r="I934" s="418" t="n">
        <f aca="false">SQRT(vit_x^2+vit_z^2)</f>
        <v>71.9701240473745</v>
      </c>
      <c r="J934" s="419" t="n">
        <f aca="false">J933+0.5*(vit_x+G933)*pas*(K933&gt;=0)</f>
        <v>211.791153319536</v>
      </c>
      <c r="K934" s="420" t="n">
        <f aca="false">K933+0.5*(vit_z+H933)*pas</f>
        <v>-8.58972670743566</v>
      </c>
      <c r="L934" s="418" t="n">
        <f aca="false">SQRT(pos_x^2+pos_z^2)</f>
        <v>211.96527080946</v>
      </c>
      <c r="M934" s="419" t="n">
        <f aca="false">IF(AND(L933&gt;L_rampe,G934&gt;0),ATAN2(G934,H934),$M$4)</f>
        <v>-1.42780838021526</v>
      </c>
      <c r="N934" s="418" t="n">
        <f aca="false">DEGREES(Beta)</f>
        <v>-81.8073941397447</v>
      </c>
      <c r="O934" s="402"/>
      <c r="P934" s="421" t="n">
        <f aca="false">MATCH(t-pas/2-T_ini,CdP_t)</f>
        <v>23</v>
      </c>
      <c r="Q934" s="418" t="n">
        <f aca="false">(INDEX(CdP,2,i_P+1)-INDEX(CdP,2,i_P+0))/(INDEX(CdP,1,i_P+1)-INDEX(CdP,1,i_P+0))*(t-pas/2-T_ini-INDEX(CdP,1,i_P+0))+INDEX(CdP,2,i_P+0)</f>
        <v>0</v>
      </c>
      <c r="R934" s="419" t="n">
        <f aca="false">Poussee/(g*ISP)</f>
        <v>0</v>
      </c>
      <c r="S934" s="420" t="n">
        <f aca="false">S933-Débit*pas</f>
        <v>1.4843</v>
      </c>
      <c r="T934" s="418" t="n">
        <f aca="false">m*g</f>
        <v>14.560983</v>
      </c>
      <c r="U934" s="422" t="n">
        <f aca="false">IF(pos_xz&lt;L_rampe,Poids*COS(Beta),0)</f>
        <v>0</v>
      </c>
      <c r="V934" s="419" t="n">
        <f aca="false">Rho_moyen*(20000-Alt_rampe-pos_z)/(20000+Alt_rampe+pos_z)</f>
        <v>1.22605269363919</v>
      </c>
      <c r="W934" s="418" t="n">
        <f aca="false">1/2*Rho*Sref*Cx*vit_xz^2</f>
        <v>5.5979934223964</v>
      </c>
      <c r="X934" s="402"/>
      <c r="Y934" s="423" t="str">
        <f aca="false">IF(AND(pos_z&lt;=0,K933&gt;0),"Impact balistique","") &amp; IF(AND(H935&lt;0,vit_z&gt;=0),"Apogée","") &amp; IF(AND(Poussee=0,Q933&gt;0),"Fin de propulsion","") &amp; IF(AND(L935&gt;L_rampe,pos_xz&lt;=L_rampe),"Sortie de rampe","")</f>
        <v/>
      </c>
      <c r="Z934" s="424" t="str">
        <f aca="false">IF(ABS(t-T_para)&lt;pas/2,"Para","")</f>
        <v/>
      </c>
      <c r="AA934" s="425" t="str">
        <f aca="false">IF(ABS(t-T_satellite)&lt;pas/2,"Satellite","")</f>
        <v/>
      </c>
      <c r="AB934" s="413"/>
      <c r="AC934" s="421" t="e">
        <f aca="false">IF(ABS(t-ROUND(t,0))&lt;0.001,t,NA())</f>
        <v>#N/A</v>
      </c>
      <c r="AD934" s="426" t="e">
        <f aca="false">IF(ABS(t-ROUND(t,0))&lt;0.001,pos_x,NA())</f>
        <v>#N/A</v>
      </c>
      <c r="AE934" s="427" t="e">
        <f aca="false">IF(t&lt;T_para, pos_z, NA())</f>
        <v>#N/A</v>
      </c>
      <c r="AF934" s="413"/>
      <c r="AG934" s="419" t="n">
        <f aca="false">IF(AND(L933&lt;L_rampe,Poussee&lt;Poids*SIN(M933)),0,(-W933+Poussee)/m-Poids*SIN(M933)/m)</f>
        <v>5.93847718499375</v>
      </c>
      <c r="AH934" s="418" t="n">
        <f aca="false">IF(AND(L933&lt;L_rampe,Poussee&lt;Poids*SIN(M933)), g*SIN(M933), (-W933+Poussee)/m)</f>
        <v>-3.77140541233476</v>
      </c>
    </row>
    <row r="935" customFormat="false" ht="12" hidden="false" customHeight="false" outlineLevel="0" collapsed="false">
      <c r="A935" s="417" t="n">
        <f aca="false">IF(B934+0.01&lt;=T_ini+ROUNDUP(Temps_fin_propu,0), 0.01, IF(K934&gt;0, 0.1, 0.0001))</f>
        <v>0.0001</v>
      </c>
      <c r="B935" s="418" t="n">
        <f aca="false">B934+pas</f>
        <v>16.5585999999998</v>
      </c>
      <c r="C935" s="402"/>
      <c r="D935" s="419" t="n">
        <f aca="false">IF(AND(L934&lt;L_rampe,Poussee&lt;Poids*SIN(M934)),0,(-W934+Poussee)/m*COS(M934)-U934/m*SIN(M934))</f>
        <v>-0.537439048270954</v>
      </c>
      <c r="E935" s="420" t="n">
        <f aca="false">IF(AND(L934&lt;L_rampe,Poussee&lt;Poids*SIN(M934)),0,(-W934+Poussee)/m*SIN(M934)+U934/m*COS(M934)-Poids/m)</f>
        <v>-6.07701891535757</v>
      </c>
      <c r="F935" s="418" t="n">
        <f aca="false">SQRT(acc_x^2+acc_z^2)</f>
        <v>6.10073762984609</v>
      </c>
      <c r="G935" s="419" t="n">
        <f aca="false">G934+acc_x*pas</f>
        <v>10.2557752849739</v>
      </c>
      <c r="H935" s="420" t="n">
        <f aca="false">H934+acc_z*pas</f>
        <v>-71.2362499487673</v>
      </c>
      <c r="I935" s="418" t="n">
        <f aca="false">SQRT(vit_x^2+vit_z^2)</f>
        <v>71.9707178890077</v>
      </c>
      <c r="J935" s="419" t="n">
        <f aca="false">J934+0.5*(vit_x+G934)*pas*(K934&gt;=0)</f>
        <v>211.791153319536</v>
      </c>
      <c r="K935" s="420" t="n">
        <f aca="false">K934+0.5*(vit_z+H934)*pas</f>
        <v>-8.59685030204544</v>
      </c>
      <c r="L935" s="418" t="n">
        <f aca="false">SQRT(pos_x^2+pos_z^2)</f>
        <v>211.965559607062</v>
      </c>
      <c r="M935" s="419" t="n">
        <f aca="false">IF(AND(L934&gt;L_rampe,G935&gt;0),ATAN2(G935,H935),$M$4)</f>
        <v>-1.42781032258406</v>
      </c>
      <c r="N935" s="418" t="n">
        <f aca="false">DEGREES(Beta)</f>
        <v>-81.8075054292793</v>
      </c>
      <c r="O935" s="402"/>
      <c r="P935" s="421" t="n">
        <f aca="false">MATCH(t-pas/2-T_ini,CdP_t)</f>
        <v>23</v>
      </c>
      <c r="Q935" s="418" t="n">
        <f aca="false">(INDEX(CdP,2,i_P+1)-INDEX(CdP,2,i_P+0))/(INDEX(CdP,1,i_P+1)-INDEX(CdP,1,i_P+0))*(t-pas/2-T_ini-INDEX(CdP,1,i_P+0))+INDEX(CdP,2,i_P+0)</f>
        <v>0</v>
      </c>
      <c r="R935" s="419" t="n">
        <f aca="false">Poussee/(g*ISP)</f>
        <v>0</v>
      </c>
      <c r="S935" s="420" t="n">
        <f aca="false">S934-Débit*pas</f>
        <v>1.4843</v>
      </c>
      <c r="T935" s="418" t="n">
        <f aca="false">m*g</f>
        <v>14.560983</v>
      </c>
      <c r="U935" s="422" t="n">
        <f aca="false">IF(pos_xz&lt;L_rampe,Poids*COS(Beta),0)</f>
        <v>0</v>
      </c>
      <c r="V935" s="419" t="n">
        <f aca="false">Rho_moyen*(20000-Alt_rampe-pos_z)/(20000+Alt_rampe+pos_z)</f>
        <v>1.2260535670299</v>
      </c>
      <c r="W935" s="418" t="n">
        <f aca="false">1/2*Rho*Sref*Cx*vit_xz^2</f>
        <v>5.59808979122729</v>
      </c>
      <c r="X935" s="402"/>
      <c r="Y935" s="423" t="str">
        <f aca="false">IF(AND(pos_z&lt;=0,K934&gt;0),"Impact balistique","") &amp; IF(AND(H936&lt;0,vit_z&gt;=0),"Apogée","") &amp; IF(AND(Poussee=0,Q934&gt;0),"Fin de propulsion","") &amp; IF(AND(L936&gt;L_rampe,pos_xz&lt;=L_rampe),"Sortie de rampe","")</f>
        <v/>
      </c>
      <c r="Z935" s="424" t="str">
        <f aca="false">IF(ABS(t-T_para)&lt;pas/2,"Para","")</f>
        <v/>
      </c>
      <c r="AA935" s="425" t="str">
        <f aca="false">IF(ABS(t-T_satellite)&lt;pas/2,"Satellite","")</f>
        <v/>
      </c>
      <c r="AB935" s="413"/>
      <c r="AC935" s="421" t="e">
        <f aca="false">IF(ABS(t-ROUND(t,0))&lt;0.001,t,NA())</f>
        <v>#N/A</v>
      </c>
      <c r="AD935" s="426" t="e">
        <f aca="false">IF(ABS(t-ROUND(t,0))&lt;0.001,pos_x,NA())</f>
        <v>#N/A</v>
      </c>
      <c r="AE935" s="427" t="e">
        <f aca="false">IF(t&lt;T_para, pos_z, NA())</f>
        <v>#N/A</v>
      </c>
      <c r="AF935" s="413"/>
      <c r="AG935" s="419" t="n">
        <f aca="false">IF(AND(L934&lt;L_rampe,Poussee&lt;Poids*SIN(M934)),0,(-W934+Poussee)/m-Poids*SIN(M934)/m)</f>
        <v>5.93841497491473</v>
      </c>
      <c r="AH935" s="418" t="n">
        <f aca="false">IF(AND(L934&lt;L_rampe,Poussee&lt;Poids*SIN(M934)), g*SIN(M934), (-W934+Poussee)/m)</f>
        <v>-3.77147033779991</v>
      </c>
    </row>
    <row r="936" customFormat="false" ht="12" hidden="false" customHeight="false" outlineLevel="0" collapsed="false">
      <c r="A936" s="417" t="n">
        <f aca="false">IF(B935+0.01&lt;=T_ini+ROUNDUP(Temps_fin_propu,0), 0.01, IF(K935&gt;0, 0.1, 0.0001))</f>
        <v>0.0001</v>
      </c>
      <c r="B936" s="418" t="n">
        <f aca="false">B935+pas</f>
        <v>16.5586999999998</v>
      </c>
      <c r="C936" s="402"/>
      <c r="D936" s="419" t="n">
        <f aca="false">IF(AND(L935&lt;L_rampe,Poussee&lt;Poids*SIN(M935)),0,(-W935+Poussee)/m*COS(M935)-U935/m*SIN(M935))</f>
        <v>-0.537441049272251</v>
      </c>
      <c r="E936" s="420" t="n">
        <f aca="false">IF(AND(L935&lt;L_rampe,Poussee&lt;Poids*SIN(M935)),0,(-W935+Poussee)/m*SIN(M935)+U935/m*COS(M935)-Poids/m)</f>
        <v>-6.07695360858979</v>
      </c>
      <c r="F936" s="418" t="n">
        <f aca="false">SQRT(acc_x^2+acc_z^2)</f>
        <v>6.10067275326216</v>
      </c>
      <c r="G936" s="419" t="n">
        <f aca="false">G935+acc_x*pas</f>
        <v>10.255721540869</v>
      </c>
      <c r="H936" s="420" t="n">
        <f aca="false">H935+acc_z*pas</f>
        <v>-71.2368576441282</v>
      </c>
      <c r="I936" s="418" t="n">
        <f aca="false">SQRT(vit_x^2+vit_z^2)</f>
        <v>71.97131172442</v>
      </c>
      <c r="J936" s="419" t="n">
        <f aca="false">J935+0.5*(vit_x+G935)*pas*(K935&gt;=0)</f>
        <v>211.791153319536</v>
      </c>
      <c r="K936" s="420" t="n">
        <f aca="false">K935+0.5*(vit_z+H935)*pas</f>
        <v>-8.60397395742509</v>
      </c>
      <c r="L936" s="418" t="n">
        <f aca="false">SQRT(pos_x^2+pos_z^2)</f>
        <v>211.965848646142</v>
      </c>
      <c r="M936" s="419" t="n">
        <f aca="false">IF(AND(L935&gt;L_rampe,G936&gt;0),ATAN2(G936,H936),$M$4)</f>
        <v>-1.42781226491063</v>
      </c>
      <c r="N936" s="418" t="n">
        <f aca="false">DEGREES(Beta)</f>
        <v>-81.8076167163942</v>
      </c>
      <c r="O936" s="402"/>
      <c r="P936" s="421" t="n">
        <f aca="false">MATCH(t-pas/2-T_ini,CdP_t)</f>
        <v>23</v>
      </c>
      <c r="Q936" s="418" t="n">
        <f aca="false">(INDEX(CdP,2,i_P+1)-INDEX(CdP,2,i_P+0))/(INDEX(CdP,1,i_P+1)-INDEX(CdP,1,i_P+0))*(t-pas/2-T_ini-INDEX(CdP,1,i_P+0))+INDEX(CdP,2,i_P+0)</f>
        <v>0</v>
      </c>
      <c r="R936" s="419" t="n">
        <f aca="false">Poussee/(g*ISP)</f>
        <v>0</v>
      </c>
      <c r="S936" s="420" t="n">
        <f aca="false">S935-Débit*pas</f>
        <v>1.4843</v>
      </c>
      <c r="T936" s="418" t="n">
        <f aca="false">m*g</f>
        <v>14.560983</v>
      </c>
      <c r="U936" s="422" t="n">
        <f aca="false">IF(pos_xz&lt;L_rampe,Poids*COS(Beta),0)</f>
        <v>0</v>
      </c>
      <c r="V936" s="419" t="n">
        <f aca="false">Rho_moyen*(20000-Alt_rampe-pos_z)/(20000+Alt_rampe+pos_z)</f>
        <v>1.22605444042868</v>
      </c>
      <c r="W936" s="418" t="n">
        <f aca="false">1/2*Rho*Sref*Cx*vit_xz^2</f>
        <v>5.59818616002113</v>
      </c>
      <c r="X936" s="402"/>
      <c r="Y936" s="423" t="str">
        <f aca="false">IF(AND(pos_z&lt;=0,K935&gt;0),"Impact balistique","") &amp; IF(AND(H937&lt;0,vit_z&gt;=0),"Apogée","") &amp; IF(AND(Poussee=0,Q935&gt;0),"Fin de propulsion","") &amp; IF(AND(L937&gt;L_rampe,pos_xz&lt;=L_rampe),"Sortie de rampe","")</f>
        <v/>
      </c>
      <c r="Z936" s="424" t="str">
        <f aca="false">IF(ABS(t-T_para)&lt;pas/2,"Para","")</f>
        <v/>
      </c>
      <c r="AA936" s="425" t="str">
        <f aca="false">IF(ABS(t-T_satellite)&lt;pas/2,"Satellite","")</f>
        <v/>
      </c>
      <c r="AB936" s="413"/>
      <c r="AC936" s="421" t="e">
        <f aca="false">IF(ABS(t-ROUND(t,0))&lt;0.001,t,NA())</f>
        <v>#N/A</v>
      </c>
      <c r="AD936" s="426" t="e">
        <f aca="false">IF(ABS(t-ROUND(t,0))&lt;0.001,pos_x,NA())</f>
        <v>#N/A</v>
      </c>
      <c r="AE936" s="427" t="e">
        <f aca="false">IF(t&lt;T_para, pos_z, NA())</f>
        <v>#N/A</v>
      </c>
      <c r="AF936" s="413"/>
      <c r="AG936" s="419" t="n">
        <f aca="false">IF(AND(L935&lt;L_rampe,Poussee&lt;Poids*SIN(M935)),0,(-W935+Poussee)/m-Poids*SIN(M935)/m)</f>
        <v>5.93835276476497</v>
      </c>
      <c r="AH936" s="418" t="n">
        <f aca="false">IF(AND(L935&lt;L_rampe,Poussee&lt;Poids*SIN(M935)), g*SIN(M935), (-W935+Poussee)/m)</f>
        <v>-3.77153526324011</v>
      </c>
    </row>
    <row r="937" customFormat="false" ht="12" hidden="false" customHeight="false" outlineLevel="0" collapsed="false">
      <c r="A937" s="417" t="n">
        <f aca="false">IF(B936+0.01&lt;=T_ini+ROUNDUP(Temps_fin_propu,0), 0.01, IF(K936&gt;0, 0.1, 0.0001))</f>
        <v>0.0001</v>
      </c>
      <c r="B937" s="418" t="n">
        <f aca="false">B936+pas</f>
        <v>16.5587999999998</v>
      </c>
      <c r="C937" s="402"/>
      <c r="D937" s="419" t="n">
        <f aca="false">IF(AND(L936&lt;L_rampe,Poussee&lt;Poids*SIN(M936)),0,(-W936+Poussee)/m*COS(M936)-U936/m*SIN(M936))</f>
        <v>-0.537443050175976</v>
      </c>
      <c r="E937" s="420" t="n">
        <f aca="false">IF(AND(L936&lt;L_rampe,Poussee&lt;Poids*SIN(M936)),0,(-W936+Poussee)/m*SIN(M936)+U936/m*COS(M936)-Poids/m)</f>
        <v>-6.07688830184755</v>
      </c>
      <c r="F937" s="418" t="n">
        <f aca="false">SQRT(acc_x^2+acc_z^2)</f>
        <v>6.10060787670492</v>
      </c>
      <c r="G937" s="419" t="n">
        <f aca="false">G936+acc_x*pas</f>
        <v>10.255667796564</v>
      </c>
      <c r="H937" s="420" t="n">
        <f aca="false">H936+acc_z*pas</f>
        <v>-71.2374653329584</v>
      </c>
      <c r="I937" s="418" t="n">
        <f aca="false">SQRT(vit_x^2+vit_z^2)</f>
        <v>71.9719055536112</v>
      </c>
      <c r="J937" s="419" t="n">
        <f aca="false">J936+0.5*(vit_x+G936)*pas*(K936&gt;=0)</f>
        <v>211.791153319536</v>
      </c>
      <c r="K937" s="420" t="n">
        <f aca="false">K936+0.5*(vit_z+H936)*pas</f>
        <v>-8.61109767357394</v>
      </c>
      <c r="L937" s="418" t="n">
        <f aca="false">SQRT(pos_x^2+pos_z^2)</f>
        <v>211.966137926705</v>
      </c>
      <c r="M937" s="419" t="n">
        <f aca="false">IF(AND(L936&gt;L_rampe,G937&gt;0),ATAN2(G937,H937),$M$4)</f>
        <v>-1.42781420719497</v>
      </c>
      <c r="N937" s="418" t="n">
        <f aca="false">DEGREES(Beta)</f>
        <v>-81.8077280010894</v>
      </c>
      <c r="O937" s="402"/>
      <c r="P937" s="421" t="n">
        <f aca="false">MATCH(t-pas/2-T_ini,CdP_t)</f>
        <v>23</v>
      </c>
      <c r="Q937" s="418" t="n">
        <f aca="false">(INDEX(CdP,2,i_P+1)-INDEX(CdP,2,i_P+0))/(INDEX(CdP,1,i_P+1)-INDEX(CdP,1,i_P+0))*(t-pas/2-T_ini-INDEX(CdP,1,i_P+0))+INDEX(CdP,2,i_P+0)</f>
        <v>0</v>
      </c>
      <c r="R937" s="419" t="n">
        <f aca="false">Poussee/(g*ISP)</f>
        <v>0</v>
      </c>
      <c r="S937" s="420" t="n">
        <f aca="false">S936-Débit*pas</f>
        <v>1.4843</v>
      </c>
      <c r="T937" s="418" t="n">
        <f aca="false">m*g</f>
        <v>14.560983</v>
      </c>
      <c r="U937" s="422" t="n">
        <f aca="false">IF(pos_xz&lt;L_rampe,Poids*COS(Beta),0)</f>
        <v>0</v>
      </c>
      <c r="V937" s="419" t="n">
        <f aca="false">Rho_moyen*(20000-Alt_rampe-pos_z)/(20000+Alt_rampe+pos_z)</f>
        <v>1.22605531383554</v>
      </c>
      <c r="W937" s="418" t="n">
        <f aca="false">1/2*Rho*Sref*Cx*vit_xz^2</f>
        <v>5.5982825287779</v>
      </c>
      <c r="X937" s="402"/>
      <c r="Y937" s="423" t="str">
        <f aca="false">IF(AND(pos_z&lt;=0,K936&gt;0),"Impact balistique","") &amp; IF(AND(H938&lt;0,vit_z&gt;=0),"Apogée","") &amp; IF(AND(Poussee=0,Q936&gt;0),"Fin de propulsion","") &amp; IF(AND(L938&gt;L_rampe,pos_xz&lt;=L_rampe),"Sortie de rampe","")</f>
        <v/>
      </c>
      <c r="Z937" s="424" t="str">
        <f aca="false">IF(ABS(t-T_para)&lt;pas/2,"Para","")</f>
        <v/>
      </c>
      <c r="AA937" s="425" t="str">
        <f aca="false">IF(ABS(t-T_satellite)&lt;pas/2,"Satellite","")</f>
        <v/>
      </c>
      <c r="AB937" s="413"/>
      <c r="AC937" s="421" t="e">
        <f aca="false">IF(ABS(t-ROUND(t,0))&lt;0.001,t,NA())</f>
        <v>#N/A</v>
      </c>
      <c r="AD937" s="426" t="e">
        <f aca="false">IF(ABS(t-ROUND(t,0))&lt;0.001,pos_x,NA())</f>
        <v>#N/A</v>
      </c>
      <c r="AE937" s="427" t="e">
        <f aca="false">IF(t&lt;T_para, pos_z, NA())</f>
        <v>#N/A</v>
      </c>
      <c r="AF937" s="413"/>
      <c r="AG937" s="419" t="n">
        <f aca="false">IF(AND(L936&lt;L_rampe,Poussee&lt;Poids*SIN(M936)),0,(-W936+Poussee)/m-Poids*SIN(M936)/m)</f>
        <v>5.93829055454452</v>
      </c>
      <c r="AH937" s="418" t="n">
        <f aca="false">IF(AND(L936&lt;L_rampe,Poussee&lt;Poids*SIN(M936)), g*SIN(M936), (-W936+Poussee)/m)</f>
        <v>-3.77160018865535</v>
      </c>
    </row>
    <row r="938" customFormat="false" ht="12" hidden="false" customHeight="false" outlineLevel="0" collapsed="false">
      <c r="A938" s="417" t="n">
        <f aca="false">IF(B937+0.01&lt;=T_ini+ROUNDUP(Temps_fin_propu,0), 0.01, IF(K937&gt;0, 0.1, 0.0001))</f>
        <v>0.0001</v>
      </c>
      <c r="B938" s="418" t="n">
        <f aca="false">B937+pas</f>
        <v>16.5588999999998</v>
      </c>
      <c r="C938" s="402"/>
      <c r="D938" s="419" t="n">
        <f aca="false">IF(AND(L937&lt;L_rampe,Poussee&lt;Poids*SIN(M937)),0,(-W937+Poussee)/m*COS(M937)-U937/m*SIN(M937))</f>
        <v>-0.537445050982127</v>
      </c>
      <c r="E938" s="420" t="n">
        <f aca="false">IF(AND(L937&lt;L_rampe,Poussee&lt;Poids*SIN(M937)),0,(-W937+Poussee)/m*SIN(M937)+U937/m*COS(M937)-Poids/m)</f>
        <v>-6.07682299513089</v>
      </c>
      <c r="F938" s="418" t="n">
        <f aca="false">SQRT(acc_x^2+acc_z^2)</f>
        <v>6.10054300017439</v>
      </c>
      <c r="G938" s="419" t="n">
        <f aca="false">G937+acc_x*pas</f>
        <v>10.2556140520589</v>
      </c>
      <c r="H938" s="420" t="n">
        <f aca="false">H937+acc_z*pas</f>
        <v>-71.2380730152579</v>
      </c>
      <c r="I938" s="418" t="n">
        <f aca="false">SQRT(vit_x^2+vit_z^2)</f>
        <v>71.9724993765814</v>
      </c>
      <c r="J938" s="419" t="n">
        <f aca="false">J937+0.5*(vit_x+G937)*pas*(K937&gt;=0)</f>
        <v>211.791153319536</v>
      </c>
      <c r="K938" s="420" t="n">
        <f aca="false">K937+0.5*(vit_z+H937)*pas</f>
        <v>-8.61822145049135</v>
      </c>
      <c r="L938" s="418" t="n">
        <f aca="false">SQRT(pos_x^2+pos_z^2)</f>
        <v>211.966427448757</v>
      </c>
      <c r="M938" s="419" t="n">
        <f aca="false">IF(AND(L937&gt;L_rampe,G938&gt;0),ATAN2(G938,H938),$M$4)</f>
        <v>-1.42781614943708</v>
      </c>
      <c r="N938" s="418" t="n">
        <f aca="false">DEGREES(Beta)</f>
        <v>-81.8078392833652</v>
      </c>
      <c r="O938" s="402"/>
      <c r="P938" s="421" t="n">
        <f aca="false">MATCH(t-pas/2-T_ini,CdP_t)</f>
        <v>23</v>
      </c>
      <c r="Q938" s="418" t="n">
        <f aca="false">(INDEX(CdP,2,i_P+1)-INDEX(CdP,2,i_P+0))/(INDEX(CdP,1,i_P+1)-INDEX(CdP,1,i_P+0))*(t-pas/2-T_ini-INDEX(CdP,1,i_P+0))+INDEX(CdP,2,i_P+0)</f>
        <v>0</v>
      </c>
      <c r="R938" s="419" t="n">
        <f aca="false">Poussee/(g*ISP)</f>
        <v>0</v>
      </c>
      <c r="S938" s="420" t="n">
        <f aca="false">S937-Débit*pas</f>
        <v>1.4843</v>
      </c>
      <c r="T938" s="418" t="n">
        <f aca="false">m*g</f>
        <v>14.560983</v>
      </c>
      <c r="U938" s="422" t="n">
        <f aca="false">IF(pos_xz&lt;L_rampe,Poids*COS(Beta),0)</f>
        <v>0</v>
      </c>
      <c r="V938" s="419" t="n">
        <f aca="false">Rho_moyen*(20000-Alt_rampe-pos_z)/(20000+Alt_rampe+pos_z)</f>
        <v>1.22605618725047</v>
      </c>
      <c r="W938" s="418" t="n">
        <f aca="false">1/2*Rho*Sref*Cx*vit_xz^2</f>
        <v>5.59837889749756</v>
      </c>
      <c r="X938" s="402"/>
      <c r="Y938" s="423" t="str">
        <f aca="false">IF(AND(pos_z&lt;=0,K937&gt;0),"Impact balistique","") &amp; IF(AND(H939&lt;0,vit_z&gt;=0),"Apogée","") &amp; IF(AND(Poussee=0,Q937&gt;0),"Fin de propulsion","") &amp; IF(AND(L939&gt;L_rampe,pos_xz&lt;=L_rampe),"Sortie de rampe","")</f>
        <v/>
      </c>
      <c r="Z938" s="424" t="str">
        <f aca="false">IF(ABS(t-T_para)&lt;pas/2,"Para","")</f>
        <v/>
      </c>
      <c r="AA938" s="425" t="str">
        <f aca="false">IF(ABS(t-T_satellite)&lt;pas/2,"Satellite","")</f>
        <v/>
      </c>
      <c r="AB938" s="413"/>
      <c r="AC938" s="421" t="e">
        <f aca="false">IF(ABS(t-ROUND(t,0))&lt;0.001,t,NA())</f>
        <v>#N/A</v>
      </c>
      <c r="AD938" s="426" t="e">
        <f aca="false">IF(ABS(t-ROUND(t,0))&lt;0.001,pos_x,NA())</f>
        <v>#N/A</v>
      </c>
      <c r="AE938" s="427" t="e">
        <f aca="false">IF(t&lt;T_para, pos_z, NA())</f>
        <v>#N/A</v>
      </c>
      <c r="AF938" s="413"/>
      <c r="AG938" s="419" t="n">
        <f aca="false">IF(AND(L937&lt;L_rampe,Poussee&lt;Poids*SIN(M937)),0,(-W937+Poussee)/m-Poids*SIN(M937)/m)</f>
        <v>5.93822834425338</v>
      </c>
      <c r="AH938" s="418" t="n">
        <f aca="false">IF(AND(L937&lt;L_rampe,Poussee&lt;Poids*SIN(M937)), g*SIN(M937), (-W937+Poussee)/m)</f>
        <v>-3.77166511404561</v>
      </c>
    </row>
    <row r="939" customFormat="false" ht="12" hidden="false" customHeight="false" outlineLevel="0" collapsed="false">
      <c r="A939" s="417" t="n">
        <f aca="false">IF(B938+0.01&lt;=T_ini+ROUNDUP(Temps_fin_propu,0), 0.01, IF(K938&gt;0, 0.1, 0.0001))</f>
        <v>0.0001</v>
      </c>
      <c r="B939" s="418" t="n">
        <f aca="false">B938+pas</f>
        <v>16.5589999999998</v>
      </c>
      <c r="C939" s="402"/>
      <c r="D939" s="419" t="n">
        <f aca="false">IF(AND(L938&lt;L_rampe,Poussee&lt;Poids*SIN(M938)),0,(-W938+Poussee)/m*COS(M938)-U938/m*SIN(M938))</f>
        <v>-0.537447051690705</v>
      </c>
      <c r="E939" s="420" t="n">
        <f aca="false">IF(AND(L938&lt;L_rampe,Poussee&lt;Poids*SIN(M938)),0,(-W938+Poussee)/m*SIN(M938)+U938/m*COS(M938)-Poids/m)</f>
        <v>-6.0767576884398</v>
      </c>
      <c r="F939" s="418" t="n">
        <f aca="false">SQRT(acc_x^2+acc_z^2)</f>
        <v>6.10047812367057</v>
      </c>
      <c r="G939" s="419" t="n">
        <f aca="false">G938+acc_x*pas</f>
        <v>10.2555603073537</v>
      </c>
      <c r="H939" s="420" t="n">
        <f aca="false">H938+acc_z*pas</f>
        <v>-71.2386806910267</v>
      </c>
      <c r="I939" s="418" t="n">
        <f aca="false">SQRT(vit_x^2+vit_z^2)</f>
        <v>71.9730931933305</v>
      </c>
      <c r="J939" s="419" t="n">
        <f aca="false">J938+0.5*(vit_x+G938)*pas*(K938&gt;=0)</f>
        <v>211.791153319536</v>
      </c>
      <c r="K939" s="420" t="n">
        <f aca="false">K938+0.5*(vit_z+H938)*pas</f>
        <v>-8.62534528817667</v>
      </c>
      <c r="L939" s="418" t="n">
        <f aca="false">SQRT(pos_x^2+pos_z^2)</f>
        <v>211.966717212301</v>
      </c>
      <c r="M939" s="419" t="n">
        <f aca="false">IF(AND(L938&gt;L_rampe,G939&gt;0),ATAN2(G939,H939),$M$4)</f>
        <v>-1.42781809163696</v>
      </c>
      <c r="N939" s="418" t="n">
        <f aca="false">DEGREES(Beta)</f>
        <v>-81.8079505632215</v>
      </c>
      <c r="O939" s="402"/>
      <c r="P939" s="421" t="n">
        <f aca="false">MATCH(t-pas/2-T_ini,CdP_t)</f>
        <v>23</v>
      </c>
      <c r="Q939" s="418" t="n">
        <f aca="false">(INDEX(CdP,2,i_P+1)-INDEX(CdP,2,i_P+0))/(INDEX(CdP,1,i_P+1)-INDEX(CdP,1,i_P+0))*(t-pas/2-T_ini-INDEX(CdP,1,i_P+0))+INDEX(CdP,2,i_P+0)</f>
        <v>0</v>
      </c>
      <c r="R939" s="419" t="n">
        <f aca="false">Poussee/(g*ISP)</f>
        <v>0</v>
      </c>
      <c r="S939" s="420" t="n">
        <f aca="false">S938-Débit*pas</f>
        <v>1.4843</v>
      </c>
      <c r="T939" s="418" t="n">
        <f aca="false">m*g</f>
        <v>14.560983</v>
      </c>
      <c r="U939" s="422" t="n">
        <f aca="false">IF(pos_xz&lt;L_rampe,Poids*COS(Beta),0)</f>
        <v>0</v>
      </c>
      <c r="V939" s="419" t="n">
        <f aca="false">Rho_moyen*(20000-Alt_rampe-pos_z)/(20000+Alt_rampe+pos_z)</f>
        <v>1.22605706067347</v>
      </c>
      <c r="W939" s="418" t="n">
        <f aca="false">1/2*Rho*Sref*Cx*vit_xz^2</f>
        <v>5.5984752661801</v>
      </c>
      <c r="X939" s="402"/>
      <c r="Y939" s="423" t="str">
        <f aca="false">IF(AND(pos_z&lt;=0,K938&gt;0),"Impact balistique","") &amp; IF(AND(H940&lt;0,vit_z&gt;=0),"Apogée","") &amp; IF(AND(Poussee=0,Q938&gt;0),"Fin de propulsion","") &amp; IF(AND(L940&gt;L_rampe,pos_xz&lt;=L_rampe),"Sortie de rampe","")</f>
        <v/>
      </c>
      <c r="Z939" s="424" t="str">
        <f aca="false">IF(ABS(t-T_para)&lt;pas/2,"Para","")</f>
        <v/>
      </c>
      <c r="AA939" s="425" t="str">
        <f aca="false">IF(ABS(t-T_satellite)&lt;pas/2,"Satellite","")</f>
        <v/>
      </c>
      <c r="AB939" s="413"/>
      <c r="AC939" s="421" t="e">
        <f aca="false">IF(ABS(t-ROUND(t,0))&lt;0.001,t,NA())</f>
        <v>#N/A</v>
      </c>
      <c r="AD939" s="426" t="e">
        <f aca="false">IF(ABS(t-ROUND(t,0))&lt;0.001,pos_x,NA())</f>
        <v>#N/A</v>
      </c>
      <c r="AE939" s="427" t="e">
        <f aca="false">IF(t&lt;T_para, pos_z, NA())</f>
        <v>#N/A</v>
      </c>
      <c r="AF939" s="413"/>
      <c r="AG939" s="419" t="n">
        <f aca="false">IF(AND(L938&lt;L_rampe,Poussee&lt;Poids*SIN(M938)),0,(-W938+Poussee)/m-Poids*SIN(M938)/m)</f>
        <v>5.93816613389157</v>
      </c>
      <c r="AH939" s="418" t="n">
        <f aca="false">IF(AND(L938&lt;L_rampe,Poussee&lt;Poids*SIN(M938)), g*SIN(M938), (-W938+Poussee)/m)</f>
        <v>-3.77173003941088</v>
      </c>
    </row>
    <row r="940" customFormat="false" ht="12" hidden="false" customHeight="false" outlineLevel="0" collapsed="false">
      <c r="A940" s="417" t="n">
        <f aca="false">IF(B939+0.01&lt;=T_ini+ROUNDUP(Temps_fin_propu,0), 0.01, IF(K939&gt;0, 0.1, 0.0001))</f>
        <v>0.0001</v>
      </c>
      <c r="B940" s="418" t="n">
        <f aca="false">B939+pas</f>
        <v>16.5590999999998</v>
      </c>
      <c r="C940" s="402"/>
      <c r="D940" s="419" t="n">
        <f aca="false">IF(AND(L939&lt;L_rampe,Poussee&lt;Poids*SIN(M939)),0,(-W939+Poussee)/m*COS(M939)-U939/m*SIN(M939))</f>
        <v>-0.537449052301712</v>
      </c>
      <c r="E940" s="420" t="n">
        <f aca="false">IF(AND(L939&lt;L_rampe,Poussee&lt;Poids*SIN(M939)),0,(-W939+Poussee)/m*SIN(M939)+U939/m*COS(M939)-Poids/m)</f>
        <v>-6.07669238177431</v>
      </c>
      <c r="F940" s="418" t="n">
        <f aca="false">SQRT(acc_x^2+acc_z^2)</f>
        <v>6.1004132471935</v>
      </c>
      <c r="G940" s="419" t="n">
        <f aca="false">G939+acc_x*pas</f>
        <v>10.2555065624485</v>
      </c>
      <c r="H940" s="420" t="n">
        <f aca="false">H939+acc_z*pas</f>
        <v>-71.2392883602649</v>
      </c>
      <c r="I940" s="418" t="n">
        <f aca="false">SQRT(vit_x^2+vit_z^2)</f>
        <v>71.9736870038586</v>
      </c>
      <c r="J940" s="419" t="n">
        <f aca="false">J939+0.5*(vit_x+G939)*pas*(K939&gt;=0)</f>
        <v>211.791153319536</v>
      </c>
      <c r="K940" s="420" t="n">
        <f aca="false">K939+0.5*(vit_z+H939)*pas</f>
        <v>-8.63246918662923</v>
      </c>
      <c r="L940" s="418" t="n">
        <f aca="false">SQRT(pos_x^2+pos_z^2)</f>
        <v>211.967007217344</v>
      </c>
      <c r="M940" s="419" t="n">
        <f aca="false">IF(AND(L939&gt;L_rampe,G940&gt;0),ATAN2(G940,H940),$M$4)</f>
        <v>-1.42782003379462</v>
      </c>
      <c r="N940" s="418" t="n">
        <f aca="false">DEGREES(Beta)</f>
        <v>-81.8080618406584</v>
      </c>
      <c r="O940" s="402"/>
      <c r="P940" s="421" t="n">
        <f aca="false">MATCH(t-pas/2-T_ini,CdP_t)</f>
        <v>23</v>
      </c>
      <c r="Q940" s="418" t="n">
        <f aca="false">(INDEX(CdP,2,i_P+1)-INDEX(CdP,2,i_P+0))/(INDEX(CdP,1,i_P+1)-INDEX(CdP,1,i_P+0))*(t-pas/2-T_ini-INDEX(CdP,1,i_P+0))+INDEX(CdP,2,i_P+0)</f>
        <v>0</v>
      </c>
      <c r="R940" s="419" t="n">
        <f aca="false">Poussee/(g*ISP)</f>
        <v>0</v>
      </c>
      <c r="S940" s="420" t="n">
        <f aca="false">S939-Débit*pas</f>
        <v>1.4843</v>
      </c>
      <c r="T940" s="418" t="n">
        <f aca="false">m*g</f>
        <v>14.560983</v>
      </c>
      <c r="U940" s="422" t="n">
        <f aca="false">IF(pos_xz&lt;L_rampe,Poids*COS(Beta),0)</f>
        <v>0</v>
      </c>
      <c r="V940" s="419" t="n">
        <f aca="false">Rho_moyen*(20000-Alt_rampe-pos_z)/(20000+Alt_rampe+pos_z)</f>
        <v>1.22605793410454</v>
      </c>
      <c r="W940" s="418" t="n">
        <f aca="false">1/2*Rho*Sref*Cx*vit_xz^2</f>
        <v>5.59857163482549</v>
      </c>
      <c r="X940" s="402"/>
      <c r="Y940" s="423" t="str">
        <f aca="false">IF(AND(pos_z&lt;=0,K939&gt;0),"Impact balistique","") &amp; IF(AND(H941&lt;0,vit_z&gt;=0),"Apogée","") &amp; IF(AND(Poussee=0,Q939&gt;0),"Fin de propulsion","") &amp; IF(AND(L941&gt;L_rampe,pos_xz&lt;=L_rampe),"Sortie de rampe","")</f>
        <v/>
      </c>
      <c r="Z940" s="424" t="str">
        <f aca="false">IF(ABS(t-T_para)&lt;pas/2,"Para","")</f>
        <v/>
      </c>
      <c r="AA940" s="425" t="str">
        <f aca="false">IF(ABS(t-T_satellite)&lt;pas/2,"Satellite","")</f>
        <v/>
      </c>
      <c r="AB940" s="413"/>
      <c r="AC940" s="421" t="e">
        <f aca="false">IF(ABS(t-ROUND(t,0))&lt;0.001,t,NA())</f>
        <v>#N/A</v>
      </c>
      <c r="AD940" s="426" t="e">
        <f aca="false">IF(ABS(t-ROUND(t,0))&lt;0.001,pos_x,NA())</f>
        <v>#N/A</v>
      </c>
      <c r="AE940" s="427" t="e">
        <f aca="false">IF(t&lt;T_para, pos_z, NA())</f>
        <v>#N/A</v>
      </c>
      <c r="AF940" s="413"/>
      <c r="AG940" s="419" t="n">
        <f aca="false">IF(AND(L939&lt;L_rampe,Poussee&lt;Poids*SIN(M939)),0,(-W939+Poussee)/m-Poids*SIN(M939)/m)</f>
        <v>5.93810392345912</v>
      </c>
      <c r="AH940" s="418" t="n">
        <f aca="false">IF(AND(L939&lt;L_rampe,Poussee&lt;Poids*SIN(M939)), g*SIN(M939), (-W939+Poussee)/m)</f>
        <v>-3.77179496475113</v>
      </c>
    </row>
    <row r="941" customFormat="false" ht="12" hidden="false" customHeight="false" outlineLevel="0" collapsed="false">
      <c r="A941" s="417" t="n">
        <f aca="false">IF(B940+0.01&lt;=T_ini+ROUNDUP(Temps_fin_propu,0), 0.01, IF(K940&gt;0, 0.1, 0.0001))</f>
        <v>0.0001</v>
      </c>
      <c r="B941" s="418" t="n">
        <f aca="false">B940+pas</f>
        <v>16.5591999999998</v>
      </c>
      <c r="C941" s="402"/>
      <c r="D941" s="419" t="n">
        <f aca="false">IF(AND(L940&lt;L_rampe,Poussee&lt;Poids*SIN(M940)),0,(-W940+Poussee)/m*COS(M940)-U940/m*SIN(M940))</f>
        <v>-0.537451052815147</v>
      </c>
      <c r="E941" s="420" t="n">
        <f aca="false">IF(AND(L940&lt;L_rampe,Poussee&lt;Poids*SIN(M940)),0,(-W940+Poussee)/m*SIN(M940)+U940/m*COS(M940)-Poids/m)</f>
        <v>-6.07662707513443</v>
      </c>
      <c r="F941" s="418" t="n">
        <f aca="false">SQRT(acc_x^2+acc_z^2)</f>
        <v>6.10034837074318</v>
      </c>
      <c r="G941" s="419" t="n">
        <f aca="false">G940+acc_x*pas</f>
        <v>10.2554528173432</v>
      </c>
      <c r="H941" s="420" t="n">
        <f aca="false">H940+acc_z*pas</f>
        <v>-71.2398960229724</v>
      </c>
      <c r="I941" s="418" t="n">
        <f aca="false">SQRT(vit_x^2+vit_z^2)</f>
        <v>71.9742808081656</v>
      </c>
      <c r="J941" s="419" t="n">
        <f aca="false">J940+0.5*(vit_x+G940)*pas*(K940&gt;=0)</f>
        <v>211.791153319536</v>
      </c>
      <c r="K941" s="420" t="n">
        <f aca="false">K940+0.5*(vit_z+H940)*pas</f>
        <v>-8.63959314584839</v>
      </c>
      <c r="L941" s="418" t="n">
        <f aca="false">SQRT(pos_x^2+pos_z^2)</f>
        <v>211.96729746389</v>
      </c>
      <c r="M941" s="419" t="n">
        <f aca="false">IF(AND(L940&gt;L_rampe,G941&gt;0),ATAN2(G941,H941),$M$4)</f>
        <v>-1.42782197591005</v>
      </c>
      <c r="N941" s="418" t="n">
        <f aca="false">DEGREES(Beta)</f>
        <v>-81.808173115676</v>
      </c>
      <c r="O941" s="402"/>
      <c r="P941" s="421" t="n">
        <f aca="false">MATCH(t-pas/2-T_ini,CdP_t)</f>
        <v>23</v>
      </c>
      <c r="Q941" s="418" t="n">
        <f aca="false">(INDEX(CdP,2,i_P+1)-INDEX(CdP,2,i_P+0))/(INDEX(CdP,1,i_P+1)-INDEX(CdP,1,i_P+0))*(t-pas/2-T_ini-INDEX(CdP,1,i_P+0))+INDEX(CdP,2,i_P+0)</f>
        <v>0</v>
      </c>
      <c r="R941" s="419" t="n">
        <f aca="false">Poussee/(g*ISP)</f>
        <v>0</v>
      </c>
      <c r="S941" s="420" t="n">
        <f aca="false">S940-Débit*pas</f>
        <v>1.4843</v>
      </c>
      <c r="T941" s="418" t="n">
        <f aca="false">m*g</f>
        <v>14.560983</v>
      </c>
      <c r="U941" s="422" t="n">
        <f aca="false">IF(pos_xz&lt;L_rampe,Poids*COS(Beta),0)</f>
        <v>0</v>
      </c>
      <c r="V941" s="419" t="n">
        <f aca="false">Rho_moyen*(20000-Alt_rampe-pos_z)/(20000+Alt_rampe+pos_z)</f>
        <v>1.22605880754369</v>
      </c>
      <c r="W941" s="418" t="n">
        <f aca="false">1/2*Rho*Sref*Cx*vit_xz^2</f>
        <v>5.5986680034337</v>
      </c>
      <c r="X941" s="402"/>
      <c r="Y941" s="423" t="str">
        <f aca="false">IF(AND(pos_z&lt;=0,K940&gt;0),"Impact balistique","") &amp; IF(AND(H942&lt;0,vit_z&gt;=0),"Apogée","") &amp; IF(AND(Poussee=0,Q940&gt;0),"Fin de propulsion","") &amp; IF(AND(L942&gt;L_rampe,pos_xz&lt;=L_rampe),"Sortie de rampe","")</f>
        <v/>
      </c>
      <c r="Z941" s="424" t="str">
        <f aca="false">IF(ABS(t-T_para)&lt;pas/2,"Para","")</f>
        <v/>
      </c>
      <c r="AA941" s="425" t="str">
        <f aca="false">IF(ABS(t-T_satellite)&lt;pas/2,"Satellite","")</f>
        <v/>
      </c>
      <c r="AB941" s="413"/>
      <c r="AC941" s="421" t="e">
        <f aca="false">IF(ABS(t-ROUND(t,0))&lt;0.001,t,NA())</f>
        <v>#N/A</v>
      </c>
      <c r="AD941" s="426" t="e">
        <f aca="false">IF(ABS(t-ROUND(t,0))&lt;0.001,pos_x,NA())</f>
        <v>#N/A</v>
      </c>
      <c r="AE941" s="427" t="e">
        <f aca="false">IF(t&lt;T_para, pos_z, NA())</f>
        <v>#N/A</v>
      </c>
      <c r="AF941" s="413"/>
      <c r="AG941" s="419" t="n">
        <f aca="false">IF(AND(L940&lt;L_rampe,Poussee&lt;Poids*SIN(M940)),0,(-W940+Poussee)/m-Poids*SIN(M940)/m)</f>
        <v>5.93804171295604</v>
      </c>
      <c r="AH941" s="418" t="n">
        <f aca="false">IF(AND(L940&lt;L_rampe,Poussee&lt;Poids*SIN(M940)), g*SIN(M940), (-W940+Poussee)/m)</f>
        <v>-3.77185989006636</v>
      </c>
    </row>
    <row r="942" customFormat="false" ht="12" hidden="false" customHeight="false" outlineLevel="0" collapsed="false">
      <c r="A942" s="417" t="n">
        <f aca="false">IF(B941+0.01&lt;=T_ini+ROUNDUP(Temps_fin_propu,0), 0.01, IF(K941&gt;0, 0.1, 0.0001))</f>
        <v>0.0001</v>
      </c>
      <c r="B942" s="418" t="n">
        <f aca="false">B941+pas</f>
        <v>16.5592999999998</v>
      </c>
      <c r="C942" s="402"/>
      <c r="D942" s="419" t="n">
        <f aca="false">IF(AND(L941&lt;L_rampe,Poussee&lt;Poids*SIN(M941)),0,(-W941+Poussee)/m*COS(M941)-U941/m*SIN(M941))</f>
        <v>-0.537453053231013</v>
      </c>
      <c r="E942" s="420" t="n">
        <f aca="false">IF(AND(L941&lt;L_rampe,Poussee&lt;Poids*SIN(M941)),0,(-W941+Poussee)/m*SIN(M941)+U941/m*COS(M941)-Poids/m)</f>
        <v>-6.07656176852019</v>
      </c>
      <c r="F942" s="418" t="n">
        <f aca="false">SQRT(acc_x^2+acc_z^2)</f>
        <v>6.10028349431963</v>
      </c>
      <c r="G942" s="419" t="n">
        <f aca="false">G941+acc_x*pas</f>
        <v>10.2553990720379</v>
      </c>
      <c r="H942" s="420" t="n">
        <f aca="false">H941+acc_z*pas</f>
        <v>-71.2405036791493</v>
      </c>
      <c r="I942" s="418" t="n">
        <f aca="false">SQRT(vit_x^2+vit_z^2)</f>
        <v>71.9748746062516</v>
      </c>
      <c r="J942" s="419" t="n">
        <f aca="false">J941+0.5*(vit_x+G941)*pas*(K941&gt;=0)</f>
        <v>211.791153319536</v>
      </c>
      <c r="K942" s="420" t="n">
        <f aca="false">K941+0.5*(vit_z+H941)*pas</f>
        <v>-8.6467171658335</v>
      </c>
      <c r="L942" s="418" t="n">
        <f aca="false">SQRT(pos_x^2+pos_z^2)</f>
        <v>211.967587951944</v>
      </c>
      <c r="M942" s="419" t="n">
        <f aca="false">IF(AND(L941&gt;L_rampe,G942&gt;0),ATAN2(G942,H942),$M$4)</f>
        <v>-1.42782391798326</v>
      </c>
      <c r="N942" s="418" t="n">
        <f aca="false">DEGREES(Beta)</f>
        <v>-81.8082843882744</v>
      </c>
      <c r="O942" s="402"/>
      <c r="P942" s="421" t="n">
        <f aca="false">MATCH(t-pas/2-T_ini,CdP_t)</f>
        <v>23</v>
      </c>
      <c r="Q942" s="418" t="n">
        <f aca="false">(INDEX(CdP,2,i_P+1)-INDEX(CdP,2,i_P+0))/(INDEX(CdP,1,i_P+1)-INDEX(CdP,1,i_P+0))*(t-pas/2-T_ini-INDEX(CdP,1,i_P+0))+INDEX(CdP,2,i_P+0)</f>
        <v>0</v>
      </c>
      <c r="R942" s="419" t="n">
        <f aca="false">Poussee/(g*ISP)</f>
        <v>0</v>
      </c>
      <c r="S942" s="420" t="n">
        <f aca="false">S941-Débit*pas</f>
        <v>1.4843</v>
      </c>
      <c r="T942" s="418" t="n">
        <f aca="false">m*g</f>
        <v>14.560983</v>
      </c>
      <c r="U942" s="422" t="n">
        <f aca="false">IF(pos_xz&lt;L_rampe,Poids*COS(Beta),0)</f>
        <v>0</v>
      </c>
      <c r="V942" s="419" t="n">
        <f aca="false">Rho_moyen*(20000-Alt_rampe-pos_z)/(20000+Alt_rampe+pos_z)</f>
        <v>1.22605968099091</v>
      </c>
      <c r="W942" s="418" t="n">
        <f aca="false">1/2*Rho*Sref*Cx*vit_xz^2</f>
        <v>5.59876437200472</v>
      </c>
      <c r="X942" s="402"/>
      <c r="Y942" s="423" t="str">
        <f aca="false">IF(AND(pos_z&lt;=0,K941&gt;0),"Impact balistique","") &amp; IF(AND(H943&lt;0,vit_z&gt;=0),"Apogée","") &amp; IF(AND(Poussee=0,Q941&gt;0),"Fin de propulsion","") &amp; IF(AND(L943&gt;L_rampe,pos_xz&lt;=L_rampe),"Sortie de rampe","")</f>
        <v/>
      </c>
      <c r="Z942" s="424" t="str">
        <f aca="false">IF(ABS(t-T_para)&lt;pas/2,"Para","")</f>
        <v/>
      </c>
      <c r="AA942" s="425" t="str">
        <f aca="false">IF(ABS(t-T_satellite)&lt;pas/2,"Satellite","")</f>
        <v/>
      </c>
      <c r="AB942" s="413"/>
      <c r="AC942" s="421" t="e">
        <f aca="false">IF(ABS(t-ROUND(t,0))&lt;0.001,t,NA())</f>
        <v>#N/A</v>
      </c>
      <c r="AD942" s="426" t="e">
        <f aca="false">IF(ABS(t-ROUND(t,0))&lt;0.001,pos_x,NA())</f>
        <v>#N/A</v>
      </c>
      <c r="AE942" s="427" t="e">
        <f aca="false">IF(t&lt;T_para, pos_z, NA())</f>
        <v>#N/A</v>
      </c>
      <c r="AF942" s="413"/>
      <c r="AG942" s="419" t="n">
        <f aca="false">IF(AND(L941&lt;L_rampe,Poussee&lt;Poids*SIN(M941)),0,(-W941+Poussee)/m-Poids*SIN(M941)/m)</f>
        <v>5.93797950238237</v>
      </c>
      <c r="AH942" s="418" t="n">
        <f aca="false">IF(AND(L941&lt;L_rampe,Poussee&lt;Poids*SIN(M941)), g*SIN(M941), (-W941+Poussee)/m)</f>
        <v>-3.77192481535654</v>
      </c>
    </row>
    <row r="943" customFormat="false" ht="12" hidden="false" customHeight="false" outlineLevel="0" collapsed="false">
      <c r="A943" s="417" t="n">
        <f aca="false">IF(B942+0.01&lt;=T_ini+ROUNDUP(Temps_fin_propu,0), 0.01, IF(K942&gt;0, 0.1, 0.0001))</f>
        <v>0.0001</v>
      </c>
      <c r="B943" s="418" t="n">
        <f aca="false">B942+pas</f>
        <v>16.5593999999998</v>
      </c>
      <c r="C943" s="402"/>
      <c r="D943" s="419" t="n">
        <f aca="false">IF(AND(L942&lt;L_rampe,Poussee&lt;Poids*SIN(M942)),0,(-W942+Poussee)/m*COS(M942)-U942/m*SIN(M942))</f>
        <v>-0.537455053549308</v>
      </c>
      <c r="E943" s="420" t="n">
        <f aca="false">IF(AND(L942&lt;L_rampe,Poussee&lt;Poids*SIN(M942)),0,(-W942+Poussee)/m*SIN(M942)+U942/m*COS(M942)-Poids/m)</f>
        <v>-6.07649646193159</v>
      </c>
      <c r="F943" s="418" t="n">
        <f aca="false">SQRT(acc_x^2+acc_z^2)</f>
        <v>6.10021861792287</v>
      </c>
      <c r="G943" s="419" t="n">
        <f aca="false">G942+acc_x*pas</f>
        <v>10.2553453265325</v>
      </c>
      <c r="H943" s="420" t="n">
        <f aca="false">H942+acc_z*pas</f>
        <v>-71.2411113287955</v>
      </c>
      <c r="I943" s="418" t="n">
        <f aca="false">SQRT(vit_x^2+vit_z^2)</f>
        <v>71.9754683981165</v>
      </c>
      <c r="J943" s="419" t="n">
        <f aca="false">J942+0.5*(vit_x+G942)*pas*(K942&gt;=0)</f>
        <v>211.791153319536</v>
      </c>
      <c r="K943" s="420" t="n">
        <f aca="false">K942+0.5*(vit_z+H942)*pas</f>
        <v>-8.6538412465839</v>
      </c>
      <c r="L943" s="418" t="n">
        <f aca="false">SQRT(pos_x^2+pos_z^2)</f>
        <v>211.967878681512</v>
      </c>
      <c r="M943" s="419" t="n">
        <f aca="false">IF(AND(L942&gt;L_rampe,G943&gt;0),ATAN2(G943,H943),$M$4)</f>
        <v>-1.42782586001425</v>
      </c>
      <c r="N943" s="418" t="n">
        <f aca="false">DEGREES(Beta)</f>
        <v>-81.8083956584538</v>
      </c>
      <c r="O943" s="402"/>
      <c r="P943" s="421" t="n">
        <f aca="false">MATCH(t-pas/2-T_ini,CdP_t)</f>
        <v>23</v>
      </c>
      <c r="Q943" s="418" t="n">
        <f aca="false">(INDEX(CdP,2,i_P+1)-INDEX(CdP,2,i_P+0))/(INDEX(CdP,1,i_P+1)-INDEX(CdP,1,i_P+0))*(t-pas/2-T_ini-INDEX(CdP,1,i_P+0))+INDEX(CdP,2,i_P+0)</f>
        <v>0</v>
      </c>
      <c r="R943" s="419" t="n">
        <f aca="false">Poussee/(g*ISP)</f>
        <v>0</v>
      </c>
      <c r="S943" s="420" t="n">
        <f aca="false">S942-Débit*pas</f>
        <v>1.4843</v>
      </c>
      <c r="T943" s="418" t="n">
        <f aca="false">m*g</f>
        <v>14.560983</v>
      </c>
      <c r="U943" s="422" t="n">
        <f aca="false">IF(pos_xz&lt;L_rampe,Poids*COS(Beta),0)</f>
        <v>0</v>
      </c>
      <c r="V943" s="419" t="n">
        <f aca="false">Rho_moyen*(20000-Alt_rampe-pos_z)/(20000+Alt_rampe+pos_z)</f>
        <v>1.2260605544462</v>
      </c>
      <c r="W943" s="418" t="n">
        <f aca="false">1/2*Rho*Sref*Cx*vit_xz^2</f>
        <v>5.59886074053852</v>
      </c>
      <c r="X943" s="402"/>
      <c r="Y943" s="423" t="str">
        <f aca="false">IF(AND(pos_z&lt;=0,K942&gt;0),"Impact balistique","") &amp; IF(AND(H944&lt;0,vit_z&gt;=0),"Apogée","") &amp; IF(AND(Poussee=0,Q942&gt;0),"Fin de propulsion","") &amp; IF(AND(L944&gt;L_rampe,pos_xz&lt;=L_rampe),"Sortie de rampe","")</f>
        <v/>
      </c>
      <c r="Z943" s="424" t="str">
        <f aca="false">IF(ABS(t-T_para)&lt;pas/2,"Para","")</f>
        <v/>
      </c>
      <c r="AA943" s="425" t="str">
        <f aca="false">IF(ABS(t-T_satellite)&lt;pas/2,"Satellite","")</f>
        <v/>
      </c>
      <c r="AB943" s="413"/>
      <c r="AC943" s="421" t="e">
        <f aca="false">IF(ABS(t-ROUND(t,0))&lt;0.001,t,NA())</f>
        <v>#N/A</v>
      </c>
      <c r="AD943" s="426" t="e">
        <f aca="false">IF(ABS(t-ROUND(t,0))&lt;0.001,pos_x,NA())</f>
        <v>#N/A</v>
      </c>
      <c r="AE943" s="427" t="e">
        <f aca="false">IF(t&lt;T_para, pos_z, NA())</f>
        <v>#N/A</v>
      </c>
      <c r="AF943" s="413"/>
      <c r="AG943" s="419" t="n">
        <f aca="false">IF(AND(L942&lt;L_rampe,Poussee&lt;Poids*SIN(M942)),0,(-W942+Poussee)/m-Poids*SIN(M942)/m)</f>
        <v>5.93791729173811</v>
      </c>
      <c r="AH943" s="418" t="n">
        <f aca="false">IF(AND(L942&lt;L_rampe,Poussee&lt;Poids*SIN(M942)), g*SIN(M942), (-W942+Poussee)/m)</f>
        <v>-3.77198974062166</v>
      </c>
    </row>
    <row r="944" customFormat="false" ht="12" hidden="false" customHeight="false" outlineLevel="0" collapsed="false">
      <c r="A944" s="417" t="n">
        <f aca="false">IF(B943+0.01&lt;=T_ini+ROUNDUP(Temps_fin_propu,0), 0.01, IF(K943&gt;0, 0.1, 0.0001))</f>
        <v>0.0001</v>
      </c>
      <c r="B944" s="418" t="n">
        <f aca="false">B943+pas</f>
        <v>16.5594999999998</v>
      </c>
      <c r="C944" s="402"/>
      <c r="D944" s="419" t="n">
        <f aca="false">IF(AND(L943&lt;L_rampe,Poussee&lt;Poids*SIN(M943)),0,(-W943+Poussee)/m*COS(M943)-U943/m*SIN(M943))</f>
        <v>-0.537457053770035</v>
      </c>
      <c r="E944" s="420" t="n">
        <f aca="false">IF(AND(L943&lt;L_rampe,Poussee&lt;Poids*SIN(M943)),0,(-W943+Poussee)/m*SIN(M943)+U943/m*COS(M943)-Poids/m)</f>
        <v>-6.07643115536865</v>
      </c>
      <c r="F944" s="418" t="n">
        <f aca="false">SQRT(acc_x^2+acc_z^2)</f>
        <v>6.10015374155291</v>
      </c>
      <c r="G944" s="419" t="n">
        <f aca="false">G943+acc_x*pas</f>
        <v>10.2552915808271</v>
      </c>
      <c r="H944" s="420" t="n">
        <f aca="false">H943+acc_z*pas</f>
        <v>-71.241718971911</v>
      </c>
      <c r="I944" s="418" t="n">
        <f aca="false">SQRT(vit_x^2+vit_z^2)</f>
        <v>71.9760621837603</v>
      </c>
      <c r="J944" s="419" t="n">
        <f aca="false">J943+0.5*(vit_x+G943)*pas*(K943&gt;=0)</f>
        <v>211.791153319536</v>
      </c>
      <c r="K944" s="420" t="n">
        <f aca="false">K943+0.5*(vit_z+H943)*pas</f>
        <v>-8.66096538809893</v>
      </c>
      <c r="L944" s="418" t="n">
        <f aca="false">SQRT(pos_x^2+pos_z^2)</f>
        <v>211.968169652599</v>
      </c>
      <c r="M944" s="419" t="n">
        <f aca="false">IF(AND(L943&gt;L_rampe,G944&gt;0),ATAN2(G944,H944),$M$4)</f>
        <v>-1.42782780200302</v>
      </c>
      <c r="N944" s="418" t="n">
        <f aca="false">DEGREES(Beta)</f>
        <v>-81.808506926214</v>
      </c>
      <c r="O944" s="402"/>
      <c r="P944" s="421" t="n">
        <f aca="false">MATCH(t-pas/2-T_ini,CdP_t)</f>
        <v>23</v>
      </c>
      <c r="Q944" s="418" t="n">
        <f aca="false">(INDEX(CdP,2,i_P+1)-INDEX(CdP,2,i_P+0))/(INDEX(CdP,1,i_P+1)-INDEX(CdP,1,i_P+0))*(t-pas/2-T_ini-INDEX(CdP,1,i_P+0))+INDEX(CdP,2,i_P+0)</f>
        <v>0</v>
      </c>
      <c r="R944" s="419" t="n">
        <f aca="false">Poussee/(g*ISP)</f>
        <v>0</v>
      </c>
      <c r="S944" s="420" t="n">
        <f aca="false">S943-Débit*pas</f>
        <v>1.4843</v>
      </c>
      <c r="T944" s="418" t="n">
        <f aca="false">m*g</f>
        <v>14.560983</v>
      </c>
      <c r="U944" s="422" t="n">
        <f aca="false">IF(pos_xz&lt;L_rampe,Poids*COS(Beta),0)</f>
        <v>0</v>
      </c>
      <c r="V944" s="419" t="n">
        <f aca="false">Rho_moyen*(20000-Alt_rampe-pos_z)/(20000+Alt_rampe+pos_z)</f>
        <v>1.22606142790956</v>
      </c>
      <c r="W944" s="418" t="n">
        <f aca="false">1/2*Rho*Sref*Cx*vit_xz^2</f>
        <v>5.59895710903508</v>
      </c>
      <c r="X944" s="402"/>
      <c r="Y944" s="423" t="str">
        <f aca="false">IF(AND(pos_z&lt;=0,K943&gt;0),"Impact balistique","") &amp; IF(AND(H945&lt;0,vit_z&gt;=0),"Apogée","") &amp; IF(AND(Poussee=0,Q943&gt;0),"Fin de propulsion","") &amp; IF(AND(L945&gt;L_rampe,pos_xz&lt;=L_rampe),"Sortie de rampe","")</f>
        <v/>
      </c>
      <c r="Z944" s="424" t="str">
        <f aca="false">IF(ABS(t-T_para)&lt;pas/2,"Para","")</f>
        <v/>
      </c>
      <c r="AA944" s="425" t="str">
        <f aca="false">IF(ABS(t-T_satellite)&lt;pas/2,"Satellite","")</f>
        <v/>
      </c>
      <c r="AB944" s="413"/>
      <c r="AC944" s="421" t="e">
        <f aca="false">IF(ABS(t-ROUND(t,0))&lt;0.001,t,NA())</f>
        <v>#N/A</v>
      </c>
      <c r="AD944" s="426" t="e">
        <f aca="false">IF(ABS(t-ROUND(t,0))&lt;0.001,pos_x,NA())</f>
        <v>#N/A</v>
      </c>
      <c r="AE944" s="427" t="e">
        <f aca="false">IF(t&lt;T_para, pos_z, NA())</f>
        <v>#N/A</v>
      </c>
      <c r="AF944" s="413"/>
      <c r="AG944" s="419" t="n">
        <f aca="false">IF(AND(L943&lt;L_rampe,Poussee&lt;Poids*SIN(M943)),0,(-W943+Poussee)/m-Poids*SIN(M943)/m)</f>
        <v>5.93785508102328</v>
      </c>
      <c r="AH944" s="418" t="n">
        <f aca="false">IF(AND(L943&lt;L_rampe,Poussee&lt;Poids*SIN(M943)), g*SIN(M943), (-W943+Poussee)/m)</f>
        <v>-3.77205466586171</v>
      </c>
    </row>
    <row r="945" customFormat="false" ht="12" hidden="false" customHeight="false" outlineLevel="0" collapsed="false">
      <c r="A945" s="417" t="n">
        <f aca="false">IF(B944+0.01&lt;=T_ini+ROUNDUP(Temps_fin_propu,0), 0.01, IF(K944&gt;0, 0.1, 0.0001))</f>
        <v>0.0001</v>
      </c>
      <c r="B945" s="418" t="n">
        <f aca="false">B944+pas</f>
        <v>16.5595999999998</v>
      </c>
      <c r="C945" s="402"/>
      <c r="D945" s="419" t="n">
        <f aca="false">IF(AND(L944&lt;L_rampe,Poussee&lt;Poids*SIN(M944)),0,(-W944+Poussee)/m*COS(M944)-U944/m*SIN(M944))</f>
        <v>-0.537459053893194</v>
      </c>
      <c r="E945" s="420" t="n">
        <f aca="false">IF(AND(L944&lt;L_rampe,Poussee&lt;Poids*SIN(M944)),0,(-W944+Poussee)/m*SIN(M944)+U944/m*COS(M944)-Poids/m)</f>
        <v>-6.07636584883139</v>
      </c>
      <c r="F945" s="418" t="n">
        <f aca="false">SQRT(acc_x^2+acc_z^2)</f>
        <v>6.10008886520977</v>
      </c>
      <c r="G945" s="419" t="n">
        <f aca="false">G944+acc_x*pas</f>
        <v>10.2552378349217</v>
      </c>
      <c r="H945" s="420" t="n">
        <f aca="false">H944+acc_z*pas</f>
        <v>-71.2423266084959</v>
      </c>
      <c r="I945" s="418" t="n">
        <f aca="false">SQRT(vit_x^2+vit_z^2)</f>
        <v>71.9766559631831</v>
      </c>
      <c r="J945" s="419" t="n">
        <f aca="false">J944+0.5*(vit_x+G944)*pas*(K944&gt;=0)</f>
        <v>211.791153319536</v>
      </c>
      <c r="K945" s="420" t="n">
        <f aca="false">K944+0.5*(vit_z+H944)*pas</f>
        <v>-8.66808959037795</v>
      </c>
      <c r="L945" s="418" t="n">
        <f aca="false">SQRT(pos_x^2+pos_z^2)</f>
        <v>211.96846086521</v>
      </c>
      <c r="M945" s="419" t="n">
        <f aca="false">IF(AND(L944&gt;L_rampe,G945&gt;0),ATAN2(G945,H945),$M$4)</f>
        <v>-1.42782974394957</v>
      </c>
      <c r="N945" s="418" t="n">
        <f aca="false">DEGREES(Beta)</f>
        <v>-81.8086181915553</v>
      </c>
      <c r="O945" s="402"/>
      <c r="P945" s="421" t="n">
        <f aca="false">MATCH(t-pas/2-T_ini,CdP_t)</f>
        <v>23</v>
      </c>
      <c r="Q945" s="418" t="n">
        <f aca="false">(INDEX(CdP,2,i_P+1)-INDEX(CdP,2,i_P+0))/(INDEX(CdP,1,i_P+1)-INDEX(CdP,1,i_P+0))*(t-pas/2-T_ini-INDEX(CdP,1,i_P+0))+INDEX(CdP,2,i_P+0)</f>
        <v>0</v>
      </c>
      <c r="R945" s="419" t="n">
        <f aca="false">Poussee/(g*ISP)</f>
        <v>0</v>
      </c>
      <c r="S945" s="420" t="n">
        <f aca="false">S944-Débit*pas</f>
        <v>1.4843</v>
      </c>
      <c r="T945" s="418" t="n">
        <f aca="false">m*g</f>
        <v>14.560983</v>
      </c>
      <c r="U945" s="422" t="n">
        <f aca="false">IF(pos_xz&lt;L_rampe,Poids*COS(Beta),0)</f>
        <v>0</v>
      </c>
      <c r="V945" s="419" t="n">
        <f aca="false">Rho_moyen*(20000-Alt_rampe-pos_z)/(20000+Alt_rampe+pos_z)</f>
        <v>1.226062301381</v>
      </c>
      <c r="W945" s="418" t="n">
        <f aca="false">1/2*Rho*Sref*Cx*vit_xz^2</f>
        <v>5.59905347749436</v>
      </c>
      <c r="X945" s="402"/>
      <c r="Y945" s="423" t="str">
        <f aca="false">IF(AND(pos_z&lt;=0,K944&gt;0),"Impact balistique","") &amp; IF(AND(H946&lt;0,vit_z&gt;=0),"Apogée","") &amp; IF(AND(Poussee=0,Q944&gt;0),"Fin de propulsion","") &amp; IF(AND(L946&gt;L_rampe,pos_xz&lt;=L_rampe),"Sortie de rampe","")</f>
        <v/>
      </c>
      <c r="Z945" s="424" t="str">
        <f aca="false">IF(ABS(t-T_para)&lt;pas/2,"Para","")</f>
        <v/>
      </c>
      <c r="AA945" s="425" t="str">
        <f aca="false">IF(ABS(t-T_satellite)&lt;pas/2,"Satellite","")</f>
        <v/>
      </c>
      <c r="AB945" s="413"/>
      <c r="AC945" s="421" t="e">
        <f aca="false">IF(ABS(t-ROUND(t,0))&lt;0.001,t,NA())</f>
        <v>#N/A</v>
      </c>
      <c r="AD945" s="426" t="e">
        <f aca="false">IF(ABS(t-ROUND(t,0))&lt;0.001,pos_x,NA())</f>
        <v>#N/A</v>
      </c>
      <c r="AE945" s="427" t="e">
        <f aca="false">IF(t&lt;T_para, pos_z, NA())</f>
        <v>#N/A</v>
      </c>
      <c r="AF945" s="413"/>
      <c r="AG945" s="419" t="n">
        <f aca="false">IF(AND(L944&lt;L_rampe,Poussee&lt;Poids*SIN(M944)),0,(-W944+Poussee)/m-Poids*SIN(M944)/m)</f>
        <v>5.93779287023792</v>
      </c>
      <c r="AH945" s="418" t="n">
        <f aca="false">IF(AND(L944&lt;L_rampe,Poussee&lt;Poids*SIN(M944)), g*SIN(M944), (-W944+Poussee)/m)</f>
        <v>-3.77211959107666</v>
      </c>
    </row>
    <row r="946" customFormat="false" ht="12" hidden="false" customHeight="false" outlineLevel="0" collapsed="false">
      <c r="A946" s="417" t="n">
        <f aca="false">IF(B945+0.01&lt;=T_ini+ROUNDUP(Temps_fin_propu,0), 0.01, IF(K945&gt;0, 0.1, 0.0001))</f>
        <v>0.0001</v>
      </c>
      <c r="B946" s="418" t="n">
        <f aca="false">B945+pas</f>
        <v>16.5596999999998</v>
      </c>
      <c r="C946" s="402"/>
      <c r="D946" s="419" t="n">
        <f aca="false">IF(AND(L945&lt;L_rampe,Poussee&lt;Poids*SIN(M945)),0,(-W945+Poussee)/m*COS(M945)-U945/m*SIN(M945))</f>
        <v>-0.537461053918785</v>
      </c>
      <c r="E946" s="420" t="n">
        <f aca="false">IF(AND(L945&lt;L_rampe,Poussee&lt;Poids*SIN(M945)),0,(-W945+Poussee)/m*SIN(M945)+U945/m*COS(M945)-Poids/m)</f>
        <v>-6.07630054231982</v>
      </c>
      <c r="F946" s="418" t="n">
        <f aca="false">SQRT(acc_x^2+acc_z^2)</f>
        <v>6.10002398889346</v>
      </c>
      <c r="G946" s="419" t="n">
        <f aca="false">G945+acc_x*pas</f>
        <v>10.2551840888164</v>
      </c>
      <c r="H946" s="420" t="n">
        <f aca="false">H945+acc_z*pas</f>
        <v>-71.2429342385502</v>
      </c>
      <c r="I946" s="418" t="n">
        <f aca="false">SQRT(vit_x^2+vit_z^2)</f>
        <v>71.9772497363847</v>
      </c>
      <c r="J946" s="419" t="n">
        <f aca="false">J945+0.5*(vit_x+G945)*pas*(K945&gt;=0)</f>
        <v>211.791153319536</v>
      </c>
      <c r="K946" s="420" t="n">
        <f aca="false">K945+0.5*(vit_z+H945)*pas</f>
        <v>-8.6752138534203</v>
      </c>
      <c r="L946" s="418" t="n">
        <f aca="false">SQRT(pos_x^2+pos_z^2)</f>
        <v>211.96875231935</v>
      </c>
      <c r="M946" s="419" t="n">
        <f aca="false">IF(AND(L945&gt;L_rampe,G946&gt;0),ATAN2(G946,H946),$M$4)</f>
        <v>-1.4278316858539</v>
      </c>
      <c r="N946" s="418" t="n">
        <f aca="false">DEGREES(Beta)</f>
        <v>-81.8087294544778</v>
      </c>
      <c r="O946" s="402"/>
      <c r="P946" s="421" t="n">
        <f aca="false">MATCH(t-pas/2-T_ini,CdP_t)</f>
        <v>23</v>
      </c>
      <c r="Q946" s="418" t="n">
        <f aca="false">(INDEX(CdP,2,i_P+1)-INDEX(CdP,2,i_P+0))/(INDEX(CdP,1,i_P+1)-INDEX(CdP,1,i_P+0))*(t-pas/2-T_ini-INDEX(CdP,1,i_P+0))+INDEX(CdP,2,i_P+0)</f>
        <v>0</v>
      </c>
      <c r="R946" s="419" t="n">
        <f aca="false">Poussee/(g*ISP)</f>
        <v>0</v>
      </c>
      <c r="S946" s="420" t="n">
        <f aca="false">S945-Débit*pas</f>
        <v>1.4843</v>
      </c>
      <c r="T946" s="418" t="n">
        <f aca="false">m*g</f>
        <v>14.560983</v>
      </c>
      <c r="U946" s="422" t="n">
        <f aca="false">IF(pos_xz&lt;L_rampe,Poids*COS(Beta),0)</f>
        <v>0</v>
      </c>
      <c r="V946" s="419" t="n">
        <f aca="false">Rho_moyen*(20000-Alt_rampe-pos_z)/(20000+Alt_rampe+pos_z)</f>
        <v>1.22606317486051</v>
      </c>
      <c r="W946" s="418" t="n">
        <f aca="false">1/2*Rho*Sref*Cx*vit_xz^2</f>
        <v>5.59914984591635</v>
      </c>
      <c r="X946" s="402"/>
      <c r="Y946" s="423" t="str">
        <f aca="false">IF(AND(pos_z&lt;=0,K945&gt;0),"Impact balistique","") &amp; IF(AND(H947&lt;0,vit_z&gt;=0),"Apogée","") &amp; IF(AND(Poussee=0,Q945&gt;0),"Fin de propulsion","") &amp; IF(AND(L947&gt;L_rampe,pos_xz&lt;=L_rampe),"Sortie de rampe","")</f>
        <v/>
      </c>
      <c r="Z946" s="424" t="str">
        <f aca="false">IF(ABS(t-T_para)&lt;pas/2,"Para","")</f>
        <v/>
      </c>
      <c r="AA946" s="425" t="str">
        <f aca="false">IF(ABS(t-T_satellite)&lt;pas/2,"Satellite","")</f>
        <v/>
      </c>
      <c r="AB946" s="413"/>
      <c r="AC946" s="421" t="e">
        <f aca="false">IF(ABS(t-ROUND(t,0))&lt;0.001,t,NA())</f>
        <v>#N/A</v>
      </c>
      <c r="AD946" s="426" t="e">
        <f aca="false">IF(ABS(t-ROUND(t,0))&lt;0.001,pos_x,NA())</f>
        <v>#N/A</v>
      </c>
      <c r="AE946" s="427" t="e">
        <f aca="false">IF(t&lt;T_para, pos_z, NA())</f>
        <v>#N/A</v>
      </c>
      <c r="AF946" s="413"/>
      <c r="AG946" s="419" t="n">
        <f aca="false">IF(AND(L945&lt;L_rampe,Poussee&lt;Poids*SIN(M945)),0,(-W945+Poussee)/m-Poids*SIN(M945)/m)</f>
        <v>5.93773065938204</v>
      </c>
      <c r="AH946" s="418" t="n">
        <f aca="false">IF(AND(L945&lt;L_rampe,Poussee&lt;Poids*SIN(M945)), g*SIN(M945), (-W945+Poussee)/m)</f>
        <v>-3.7721845162665</v>
      </c>
    </row>
    <row r="947" customFormat="false" ht="12" hidden="false" customHeight="false" outlineLevel="0" collapsed="false">
      <c r="A947" s="417" t="n">
        <f aca="false">IF(B946+0.01&lt;=T_ini+ROUNDUP(Temps_fin_propu,0), 0.01, IF(K946&gt;0, 0.1, 0.0001))</f>
        <v>0.0001</v>
      </c>
      <c r="B947" s="418" t="n">
        <f aca="false">B946+pas</f>
        <v>16.5597999999998</v>
      </c>
      <c r="C947" s="402"/>
      <c r="D947" s="419" t="n">
        <f aca="false">IF(AND(L946&lt;L_rampe,Poussee&lt;Poids*SIN(M946)),0,(-W946+Poussee)/m*COS(M946)-U946/m*SIN(M946))</f>
        <v>-0.537463053846809</v>
      </c>
      <c r="E947" s="420" t="n">
        <f aca="false">IF(AND(L946&lt;L_rampe,Poussee&lt;Poids*SIN(M946)),0,(-W946+Poussee)/m*SIN(M946)+U946/m*COS(M946)-Poids/m)</f>
        <v>-6.07623523583397</v>
      </c>
      <c r="F947" s="418" t="n">
        <f aca="false">SQRT(acc_x^2+acc_z^2)</f>
        <v>6.09995911260401</v>
      </c>
      <c r="G947" s="419" t="n">
        <f aca="false">G946+acc_x*pas</f>
        <v>10.255130342511</v>
      </c>
      <c r="H947" s="420" t="n">
        <f aca="false">H946+acc_z*pas</f>
        <v>-71.2435418620737</v>
      </c>
      <c r="I947" s="418" t="n">
        <f aca="false">SQRT(vit_x^2+vit_z^2)</f>
        <v>71.9778435033653</v>
      </c>
      <c r="J947" s="419" t="n">
        <f aca="false">J946+0.5*(vit_x+G946)*pas*(K946&gt;=0)</f>
        <v>211.791153319536</v>
      </c>
      <c r="K947" s="420" t="n">
        <f aca="false">K946+0.5*(vit_z+H946)*pas</f>
        <v>-8.68233817722534</v>
      </c>
      <c r="L947" s="418" t="n">
        <f aca="false">SQRT(pos_x^2+pos_z^2)</f>
        <v>211.969044015023</v>
      </c>
      <c r="M947" s="419" t="n">
        <f aca="false">IF(AND(L946&gt;L_rampe,G947&gt;0),ATAN2(G947,H947),$M$4)</f>
        <v>-1.42783362771602</v>
      </c>
      <c r="N947" s="418" t="n">
        <f aca="false">DEGREES(Beta)</f>
        <v>-81.8088407149814</v>
      </c>
      <c r="O947" s="402"/>
      <c r="P947" s="421" t="n">
        <f aca="false">MATCH(t-pas/2-T_ini,CdP_t)</f>
        <v>23</v>
      </c>
      <c r="Q947" s="418" t="n">
        <f aca="false">(INDEX(CdP,2,i_P+1)-INDEX(CdP,2,i_P+0))/(INDEX(CdP,1,i_P+1)-INDEX(CdP,1,i_P+0))*(t-pas/2-T_ini-INDEX(CdP,1,i_P+0))+INDEX(CdP,2,i_P+0)</f>
        <v>0</v>
      </c>
      <c r="R947" s="419" t="n">
        <f aca="false">Poussee/(g*ISP)</f>
        <v>0</v>
      </c>
      <c r="S947" s="420" t="n">
        <f aca="false">S946-Débit*pas</f>
        <v>1.4843</v>
      </c>
      <c r="T947" s="418" t="n">
        <f aca="false">m*g</f>
        <v>14.560983</v>
      </c>
      <c r="U947" s="422" t="n">
        <f aca="false">IF(pos_xz&lt;L_rampe,Poids*COS(Beta),0)</f>
        <v>0</v>
      </c>
      <c r="V947" s="419" t="n">
        <f aca="false">Rho_moyen*(20000-Alt_rampe-pos_z)/(20000+Alt_rampe+pos_z)</f>
        <v>1.22606404834809</v>
      </c>
      <c r="W947" s="418" t="n">
        <f aca="false">1/2*Rho*Sref*Cx*vit_xz^2</f>
        <v>5.59924621430103</v>
      </c>
      <c r="X947" s="402"/>
      <c r="Y947" s="423" t="str">
        <f aca="false">IF(AND(pos_z&lt;=0,K946&gt;0),"Impact balistique","") &amp; IF(AND(H948&lt;0,vit_z&gt;=0),"Apogée","") &amp; IF(AND(Poussee=0,Q946&gt;0),"Fin de propulsion","") &amp; IF(AND(L948&gt;L_rampe,pos_xz&lt;=L_rampe),"Sortie de rampe","")</f>
        <v/>
      </c>
      <c r="Z947" s="424" t="str">
        <f aca="false">IF(ABS(t-T_para)&lt;pas/2,"Para","")</f>
        <v/>
      </c>
      <c r="AA947" s="425" t="str">
        <f aca="false">IF(ABS(t-T_satellite)&lt;pas/2,"Satellite","")</f>
        <v/>
      </c>
      <c r="AB947" s="413"/>
      <c r="AC947" s="421" t="e">
        <f aca="false">IF(ABS(t-ROUND(t,0))&lt;0.001,t,NA())</f>
        <v>#N/A</v>
      </c>
      <c r="AD947" s="426" t="e">
        <f aca="false">IF(ABS(t-ROUND(t,0))&lt;0.001,pos_x,NA())</f>
        <v>#N/A</v>
      </c>
      <c r="AE947" s="427" t="e">
        <f aca="false">IF(t&lt;T_para, pos_z, NA())</f>
        <v>#N/A</v>
      </c>
      <c r="AF947" s="413"/>
      <c r="AG947" s="419" t="n">
        <f aca="false">IF(AND(L946&lt;L_rampe,Poussee&lt;Poids*SIN(M946)),0,(-W946+Poussee)/m-Poids*SIN(M946)/m)</f>
        <v>5.93766844845565</v>
      </c>
      <c r="AH947" s="418" t="n">
        <f aca="false">IF(AND(L946&lt;L_rampe,Poussee&lt;Poids*SIN(M946)), g*SIN(M946), (-W946+Poussee)/m)</f>
        <v>-3.77224944143122</v>
      </c>
    </row>
    <row r="948" customFormat="false" ht="12" hidden="false" customHeight="false" outlineLevel="0" collapsed="false">
      <c r="A948" s="417" t="n">
        <f aca="false">IF(B947+0.01&lt;=T_ini+ROUNDUP(Temps_fin_propu,0), 0.01, IF(K947&gt;0, 0.1, 0.0001))</f>
        <v>0.0001</v>
      </c>
      <c r="B948" s="418" t="n">
        <f aca="false">B947+pas</f>
        <v>16.5598999999998</v>
      </c>
      <c r="C948" s="402"/>
      <c r="D948" s="419" t="n">
        <f aca="false">IF(AND(L947&lt;L_rampe,Poussee&lt;Poids*SIN(M947)),0,(-W947+Poussee)/m*COS(M947)-U947/m*SIN(M947))</f>
        <v>-0.537465053677268</v>
      </c>
      <c r="E948" s="420" t="n">
        <f aca="false">IF(AND(L947&lt;L_rampe,Poussee&lt;Poids*SIN(M947)),0,(-W947+Poussee)/m*SIN(M947)+U947/m*COS(M947)-Poids/m)</f>
        <v>-6.07616992937384</v>
      </c>
      <c r="F948" s="418" t="n">
        <f aca="false">SQRT(acc_x^2+acc_z^2)</f>
        <v>6.09989423634142</v>
      </c>
      <c r="G948" s="419" t="n">
        <f aca="false">G947+acc_x*pas</f>
        <v>10.2550765960056</v>
      </c>
      <c r="H948" s="420" t="n">
        <f aca="false">H947+acc_z*pas</f>
        <v>-71.2441494790667</v>
      </c>
      <c r="I948" s="418" t="n">
        <f aca="false">SQRT(vit_x^2+vit_z^2)</f>
        <v>71.9784372641247</v>
      </c>
      <c r="J948" s="419" t="n">
        <f aca="false">J947+0.5*(vit_x+G947)*pas*(K947&gt;=0)</f>
        <v>211.791153319536</v>
      </c>
      <c r="K948" s="420" t="n">
        <f aca="false">K947+0.5*(vit_z+H947)*pas</f>
        <v>-8.68946256179239</v>
      </c>
      <c r="L948" s="418" t="n">
        <f aca="false">SQRT(pos_x^2+pos_z^2)</f>
        <v>211.969335952236</v>
      </c>
      <c r="M948" s="419" t="n">
        <f aca="false">IF(AND(L947&gt;L_rampe,G948&gt;0),ATAN2(G948,H948),$M$4)</f>
        <v>-1.42783556953592</v>
      </c>
      <c r="N948" s="418" t="n">
        <f aca="false">DEGREES(Beta)</f>
        <v>-81.8089519730664</v>
      </c>
      <c r="O948" s="402"/>
      <c r="P948" s="421" t="n">
        <f aca="false">MATCH(t-pas/2-T_ini,CdP_t)</f>
        <v>23</v>
      </c>
      <c r="Q948" s="418" t="n">
        <f aca="false">(INDEX(CdP,2,i_P+1)-INDEX(CdP,2,i_P+0))/(INDEX(CdP,1,i_P+1)-INDEX(CdP,1,i_P+0))*(t-pas/2-T_ini-INDEX(CdP,1,i_P+0))+INDEX(CdP,2,i_P+0)</f>
        <v>0</v>
      </c>
      <c r="R948" s="419" t="n">
        <f aca="false">Poussee/(g*ISP)</f>
        <v>0</v>
      </c>
      <c r="S948" s="420" t="n">
        <f aca="false">S947-Débit*pas</f>
        <v>1.4843</v>
      </c>
      <c r="T948" s="418" t="n">
        <f aca="false">m*g</f>
        <v>14.560983</v>
      </c>
      <c r="U948" s="422" t="n">
        <f aca="false">IF(pos_xz&lt;L_rampe,Poids*COS(Beta),0)</f>
        <v>0</v>
      </c>
      <c r="V948" s="419" t="n">
        <f aca="false">Rho_moyen*(20000-Alt_rampe-pos_z)/(20000+Alt_rampe+pos_z)</f>
        <v>1.22606492184374</v>
      </c>
      <c r="W948" s="418" t="n">
        <f aca="false">1/2*Rho*Sref*Cx*vit_xz^2</f>
        <v>5.59934258264836</v>
      </c>
      <c r="X948" s="402"/>
      <c r="Y948" s="423" t="str">
        <f aca="false">IF(AND(pos_z&lt;=0,K947&gt;0),"Impact balistique","") &amp; IF(AND(H949&lt;0,vit_z&gt;=0),"Apogée","") &amp; IF(AND(Poussee=0,Q947&gt;0),"Fin de propulsion","") &amp; IF(AND(L949&gt;L_rampe,pos_xz&lt;=L_rampe),"Sortie de rampe","")</f>
        <v/>
      </c>
      <c r="Z948" s="424" t="str">
        <f aca="false">IF(ABS(t-T_para)&lt;pas/2,"Para","")</f>
        <v/>
      </c>
      <c r="AA948" s="425" t="str">
        <f aca="false">IF(ABS(t-T_satellite)&lt;pas/2,"Satellite","")</f>
        <v/>
      </c>
      <c r="AB948" s="413"/>
      <c r="AC948" s="421" t="e">
        <f aca="false">IF(ABS(t-ROUND(t,0))&lt;0.001,t,NA())</f>
        <v>#N/A</v>
      </c>
      <c r="AD948" s="426" t="e">
        <f aca="false">IF(ABS(t-ROUND(t,0))&lt;0.001,pos_x,NA())</f>
        <v>#N/A</v>
      </c>
      <c r="AE948" s="427" t="e">
        <f aca="false">IF(t&lt;T_para, pos_z, NA())</f>
        <v>#N/A</v>
      </c>
      <c r="AF948" s="413"/>
      <c r="AG948" s="419" t="n">
        <f aca="false">IF(AND(L947&lt;L_rampe,Poussee&lt;Poids*SIN(M947)),0,(-W947+Poussee)/m-Poids*SIN(M947)/m)</f>
        <v>5.93760623745879</v>
      </c>
      <c r="AH948" s="418" t="n">
        <f aca="false">IF(AND(L947&lt;L_rampe,Poussee&lt;Poids*SIN(M947)), g*SIN(M947), (-W947+Poussee)/m)</f>
        <v>-3.7723143665708</v>
      </c>
    </row>
    <row r="949" customFormat="false" ht="12" hidden="false" customHeight="false" outlineLevel="0" collapsed="false">
      <c r="A949" s="417" t="n">
        <f aca="false">IF(B948+0.01&lt;=T_ini+ROUNDUP(Temps_fin_propu,0), 0.01, IF(K948&gt;0, 0.1, 0.0001))</f>
        <v>0.0001</v>
      </c>
      <c r="B949" s="418" t="n">
        <f aca="false">B948+pas</f>
        <v>16.5599999999998</v>
      </c>
      <c r="C949" s="402"/>
      <c r="D949" s="419" t="n">
        <f aca="false">IF(AND(L948&lt;L_rampe,Poussee&lt;Poids*SIN(M948)),0,(-W948+Poussee)/m*COS(M948)-U948/m*SIN(M948))</f>
        <v>-0.537467053410161</v>
      </c>
      <c r="E949" s="420" t="n">
        <f aca="false">IF(AND(L948&lt;L_rampe,Poussee&lt;Poids*SIN(M948)),0,(-W948+Poussee)/m*SIN(M948)+U948/m*COS(M948)-Poids/m)</f>
        <v>-6.07610462293946</v>
      </c>
      <c r="F949" s="418" t="n">
        <f aca="false">SQRT(acc_x^2+acc_z^2)</f>
        <v>6.09982936010571</v>
      </c>
      <c r="G949" s="419" t="n">
        <f aca="false">G948+acc_x*pas</f>
        <v>10.2550228493003</v>
      </c>
      <c r="H949" s="420" t="n">
        <f aca="false">H948+acc_z*pas</f>
        <v>-71.244757089529</v>
      </c>
      <c r="I949" s="418" t="n">
        <f aca="false">SQRT(vit_x^2+vit_z^2)</f>
        <v>71.9790310186631</v>
      </c>
      <c r="J949" s="419" t="n">
        <f aca="false">J948+0.5*(vit_x+G948)*pas*(K948&gt;=0)</f>
        <v>211.791153319536</v>
      </c>
      <c r="K949" s="420" t="n">
        <f aca="false">K948+0.5*(vit_z+H948)*pas</f>
        <v>-8.69658700712082</v>
      </c>
      <c r="L949" s="418" t="n">
        <f aca="false">SQRT(pos_x^2+pos_z^2)</f>
        <v>211.969628130994</v>
      </c>
      <c r="M949" s="419" t="n">
        <f aca="false">IF(AND(L948&gt;L_rampe,G949&gt;0),ATAN2(G949,H949),$M$4)</f>
        <v>-1.42783751131361</v>
      </c>
      <c r="N949" s="418" t="n">
        <f aca="false">DEGREES(Beta)</f>
        <v>-81.8090632287327</v>
      </c>
      <c r="O949" s="402"/>
      <c r="P949" s="421" t="n">
        <f aca="false">MATCH(t-pas/2-T_ini,CdP_t)</f>
        <v>23</v>
      </c>
      <c r="Q949" s="418" t="n">
        <f aca="false">(INDEX(CdP,2,i_P+1)-INDEX(CdP,2,i_P+0))/(INDEX(CdP,1,i_P+1)-INDEX(CdP,1,i_P+0))*(t-pas/2-T_ini-INDEX(CdP,1,i_P+0))+INDEX(CdP,2,i_P+0)</f>
        <v>0</v>
      </c>
      <c r="R949" s="419" t="n">
        <f aca="false">Poussee/(g*ISP)</f>
        <v>0</v>
      </c>
      <c r="S949" s="420" t="n">
        <f aca="false">S948-Débit*pas</f>
        <v>1.4843</v>
      </c>
      <c r="T949" s="418" t="n">
        <f aca="false">m*g</f>
        <v>14.560983</v>
      </c>
      <c r="U949" s="422" t="n">
        <f aca="false">IF(pos_xz&lt;L_rampe,Poids*COS(Beta),0)</f>
        <v>0</v>
      </c>
      <c r="V949" s="419" t="n">
        <f aca="false">Rho_moyen*(20000-Alt_rampe-pos_z)/(20000+Alt_rampe+pos_z)</f>
        <v>1.22606579534747</v>
      </c>
      <c r="W949" s="418" t="n">
        <f aca="false">1/2*Rho*Sref*Cx*vit_xz^2</f>
        <v>5.59943895095833</v>
      </c>
      <c r="X949" s="402"/>
      <c r="Y949" s="423" t="str">
        <f aca="false">IF(AND(pos_z&lt;=0,K948&gt;0),"Impact balistique","") &amp; IF(AND(H950&lt;0,vit_z&gt;=0),"Apogée","") &amp; IF(AND(Poussee=0,Q948&gt;0),"Fin de propulsion","") &amp; IF(AND(L950&gt;L_rampe,pos_xz&lt;=L_rampe),"Sortie de rampe","")</f>
        <v/>
      </c>
      <c r="Z949" s="424" t="str">
        <f aca="false">IF(ABS(t-T_para)&lt;pas/2,"Para","")</f>
        <v/>
      </c>
      <c r="AA949" s="425" t="str">
        <f aca="false">IF(ABS(t-T_satellite)&lt;pas/2,"Satellite","")</f>
        <v/>
      </c>
      <c r="AB949" s="413"/>
      <c r="AC949" s="421" t="e">
        <f aca="false">IF(ABS(t-ROUND(t,0))&lt;0.001,t,NA())</f>
        <v>#N/A</v>
      </c>
      <c r="AD949" s="426" t="e">
        <f aca="false">IF(ABS(t-ROUND(t,0))&lt;0.001,pos_x,NA())</f>
        <v>#N/A</v>
      </c>
      <c r="AE949" s="427" t="e">
        <f aca="false">IF(t&lt;T_para, pos_z, NA())</f>
        <v>#N/A</v>
      </c>
      <c r="AF949" s="413"/>
      <c r="AG949" s="419" t="n">
        <f aca="false">IF(AND(L948&lt;L_rampe,Poussee&lt;Poids*SIN(M948)),0,(-W948+Poussee)/m-Poids*SIN(M948)/m)</f>
        <v>5.93754402639146</v>
      </c>
      <c r="AH949" s="418" t="n">
        <f aca="false">IF(AND(L948&lt;L_rampe,Poussee&lt;Poids*SIN(M948)), g*SIN(M948), (-W948+Poussee)/m)</f>
        <v>-3.77237929168522</v>
      </c>
    </row>
    <row r="950" customFormat="false" ht="12" hidden="false" customHeight="false" outlineLevel="0" collapsed="false">
      <c r="A950" s="417" t="n">
        <f aca="false">IF(B949+0.01&lt;=T_ini+ROUNDUP(Temps_fin_propu,0), 0.01, IF(K949&gt;0, 0.1, 0.0001))</f>
        <v>0.0001</v>
      </c>
      <c r="B950" s="418" t="n">
        <f aca="false">B949+pas</f>
        <v>16.5600999999998</v>
      </c>
      <c r="C950" s="402"/>
      <c r="D950" s="419" t="n">
        <f aca="false">IF(AND(L949&lt;L_rampe,Poussee&lt;Poids*SIN(M949)),0,(-W949+Poussee)/m*COS(M949)-U949/m*SIN(M949))</f>
        <v>-0.53746905304549</v>
      </c>
      <c r="E950" s="420" t="n">
        <f aca="false">IF(AND(L949&lt;L_rampe,Poussee&lt;Poids*SIN(M949)),0,(-W949+Poussee)/m*SIN(M949)+U949/m*COS(M949)-Poids/m)</f>
        <v>-6.07603931653084</v>
      </c>
      <c r="F950" s="418" t="n">
        <f aca="false">SQRT(acc_x^2+acc_z^2)</f>
        <v>6.09976448389691</v>
      </c>
      <c r="G950" s="419" t="n">
        <f aca="false">G949+acc_x*pas</f>
        <v>10.254969102395</v>
      </c>
      <c r="H950" s="420" t="n">
        <f aca="false">H949+acc_z*pas</f>
        <v>-71.2453646934606</v>
      </c>
      <c r="I950" s="418" t="n">
        <f aca="false">SQRT(vit_x^2+vit_z^2)</f>
        <v>71.9796247669803</v>
      </c>
      <c r="J950" s="419" t="n">
        <f aca="false">J949+0.5*(vit_x+G949)*pas*(K949&gt;=0)</f>
        <v>211.791153319536</v>
      </c>
      <c r="K950" s="420" t="n">
        <f aca="false">K949+0.5*(vit_z+H949)*pas</f>
        <v>-8.70371151320997</v>
      </c>
      <c r="L950" s="418" t="n">
        <f aca="false">SQRT(pos_x^2+pos_z^2)</f>
        <v>211.9699205513</v>
      </c>
      <c r="M950" s="419" t="n">
        <f aca="false">IF(AND(L949&gt;L_rampe,G950&gt;0),ATAN2(G950,H950),$M$4)</f>
        <v>-1.42783945304908</v>
      </c>
      <c r="N950" s="418" t="n">
        <f aca="false">DEGREES(Beta)</f>
        <v>-81.8091744819804</v>
      </c>
      <c r="O950" s="402"/>
      <c r="P950" s="421" t="n">
        <f aca="false">MATCH(t-pas/2-T_ini,CdP_t)</f>
        <v>23</v>
      </c>
      <c r="Q950" s="418" t="n">
        <f aca="false">(INDEX(CdP,2,i_P+1)-INDEX(CdP,2,i_P+0))/(INDEX(CdP,1,i_P+1)-INDEX(CdP,1,i_P+0))*(t-pas/2-T_ini-INDEX(CdP,1,i_P+0))+INDEX(CdP,2,i_P+0)</f>
        <v>0</v>
      </c>
      <c r="R950" s="419" t="n">
        <f aca="false">Poussee/(g*ISP)</f>
        <v>0</v>
      </c>
      <c r="S950" s="420" t="n">
        <f aca="false">S949-Débit*pas</f>
        <v>1.4843</v>
      </c>
      <c r="T950" s="418" t="n">
        <f aca="false">m*g</f>
        <v>14.560983</v>
      </c>
      <c r="U950" s="422" t="n">
        <f aca="false">IF(pos_xz&lt;L_rampe,Poids*COS(Beta),0)</f>
        <v>0</v>
      </c>
      <c r="V950" s="419" t="n">
        <f aca="false">Rho_moyen*(20000-Alt_rampe-pos_z)/(20000+Alt_rampe+pos_z)</f>
        <v>1.22606666885927</v>
      </c>
      <c r="W950" s="418" t="n">
        <f aca="false">1/2*Rho*Sref*Cx*vit_xz^2</f>
        <v>5.59953531923092</v>
      </c>
      <c r="X950" s="402"/>
      <c r="Y950" s="423" t="str">
        <f aca="false">IF(AND(pos_z&lt;=0,K949&gt;0),"Impact balistique","") &amp; IF(AND(H951&lt;0,vit_z&gt;=0),"Apogée","") &amp; IF(AND(Poussee=0,Q949&gt;0),"Fin de propulsion","") &amp; IF(AND(L951&gt;L_rampe,pos_xz&lt;=L_rampe),"Sortie de rampe","")</f>
        <v/>
      </c>
      <c r="Z950" s="424" t="str">
        <f aca="false">IF(ABS(t-T_para)&lt;pas/2,"Para","")</f>
        <v/>
      </c>
      <c r="AA950" s="425" t="str">
        <f aca="false">IF(ABS(t-T_satellite)&lt;pas/2,"Satellite","")</f>
        <v/>
      </c>
      <c r="AB950" s="413"/>
      <c r="AC950" s="421" t="e">
        <f aca="false">IF(ABS(t-ROUND(t,0))&lt;0.001,t,NA())</f>
        <v>#N/A</v>
      </c>
      <c r="AD950" s="426" t="e">
        <f aca="false">IF(ABS(t-ROUND(t,0))&lt;0.001,pos_x,NA())</f>
        <v>#N/A</v>
      </c>
      <c r="AE950" s="427" t="e">
        <f aca="false">IF(t&lt;T_para, pos_z, NA())</f>
        <v>#N/A</v>
      </c>
      <c r="AF950" s="413"/>
      <c r="AG950" s="419" t="n">
        <f aca="false">IF(AND(L949&lt;L_rampe,Poussee&lt;Poids*SIN(M949)),0,(-W949+Poussee)/m-Poids*SIN(M949)/m)</f>
        <v>5.9374818152537</v>
      </c>
      <c r="AH950" s="418" t="n">
        <f aca="false">IF(AND(L949&lt;L_rampe,Poussee&lt;Poids*SIN(M949)), g*SIN(M949), (-W949+Poussee)/m)</f>
        <v>-3.77244421677447</v>
      </c>
    </row>
    <row r="951" customFormat="false" ht="12" hidden="false" customHeight="false" outlineLevel="0" collapsed="false">
      <c r="A951" s="417" t="n">
        <f aca="false">IF(B950+0.01&lt;=T_ini+ROUNDUP(Temps_fin_propu,0), 0.01, IF(K950&gt;0, 0.1, 0.0001))</f>
        <v>0.0001</v>
      </c>
      <c r="B951" s="418" t="n">
        <f aca="false">B950+pas</f>
        <v>16.5601999999998</v>
      </c>
      <c r="C951" s="402"/>
      <c r="D951" s="419" t="n">
        <f aca="false">IF(AND(L950&lt;L_rampe,Poussee&lt;Poids*SIN(M950)),0,(-W950+Poussee)/m*COS(M950)-U950/m*SIN(M950))</f>
        <v>-0.537471052583254</v>
      </c>
      <c r="E951" s="420" t="n">
        <f aca="false">IF(AND(L950&lt;L_rampe,Poussee&lt;Poids*SIN(M950)),0,(-W950+Poussee)/m*SIN(M950)+U950/m*COS(M950)-Poids/m)</f>
        <v>-6.07597401014799</v>
      </c>
      <c r="F951" s="418" t="n">
        <f aca="false">SQRT(acc_x^2+acc_z^2)</f>
        <v>6.09969960771502</v>
      </c>
      <c r="G951" s="419" t="n">
        <f aca="false">G950+acc_x*pas</f>
        <v>10.2549153552897</v>
      </c>
      <c r="H951" s="420" t="n">
        <f aca="false">H950+acc_z*pas</f>
        <v>-71.2459722908616</v>
      </c>
      <c r="I951" s="418" t="n">
        <f aca="false">SQRT(vit_x^2+vit_z^2)</f>
        <v>71.9802185090764</v>
      </c>
      <c r="J951" s="419" t="n">
        <f aca="false">J950+0.5*(vit_x+G950)*pas*(K950&gt;=0)</f>
        <v>211.791153319536</v>
      </c>
      <c r="K951" s="420" t="n">
        <f aca="false">K950+0.5*(vit_z+H950)*pas</f>
        <v>-8.71083608005919</v>
      </c>
      <c r="L951" s="418" t="n">
        <f aca="false">SQRT(pos_x^2+pos_z^2)</f>
        <v>211.970213213161</v>
      </c>
      <c r="M951" s="419" t="n">
        <f aca="false">IF(AND(L950&gt;L_rampe,G951&gt;0),ATAN2(G951,H951),$M$4)</f>
        <v>-1.42784139474235</v>
      </c>
      <c r="N951" s="418" t="n">
        <f aca="false">DEGREES(Beta)</f>
        <v>-81.8092857328097</v>
      </c>
      <c r="O951" s="402"/>
      <c r="P951" s="421" t="n">
        <f aca="false">MATCH(t-pas/2-T_ini,CdP_t)</f>
        <v>23</v>
      </c>
      <c r="Q951" s="418" t="n">
        <f aca="false">(INDEX(CdP,2,i_P+1)-INDEX(CdP,2,i_P+0))/(INDEX(CdP,1,i_P+1)-INDEX(CdP,1,i_P+0))*(t-pas/2-T_ini-INDEX(CdP,1,i_P+0))+INDEX(CdP,2,i_P+0)</f>
        <v>0</v>
      </c>
      <c r="R951" s="419" t="n">
        <f aca="false">Poussee/(g*ISP)</f>
        <v>0</v>
      </c>
      <c r="S951" s="420" t="n">
        <f aca="false">S950-Débit*pas</f>
        <v>1.4843</v>
      </c>
      <c r="T951" s="418" t="n">
        <f aca="false">m*g</f>
        <v>14.560983</v>
      </c>
      <c r="U951" s="422" t="n">
        <f aca="false">IF(pos_xz&lt;L_rampe,Poids*COS(Beta),0)</f>
        <v>0</v>
      </c>
      <c r="V951" s="419" t="n">
        <f aca="false">Rho_moyen*(20000-Alt_rampe-pos_z)/(20000+Alt_rampe+pos_z)</f>
        <v>1.22606754237914</v>
      </c>
      <c r="W951" s="418" t="n">
        <f aca="false">1/2*Rho*Sref*Cx*vit_xz^2</f>
        <v>5.59963168746609</v>
      </c>
      <c r="X951" s="402"/>
      <c r="Y951" s="423" t="str">
        <f aca="false">IF(AND(pos_z&lt;=0,K950&gt;0),"Impact balistique","") &amp; IF(AND(H952&lt;0,vit_z&gt;=0),"Apogée","") &amp; IF(AND(Poussee=0,Q950&gt;0),"Fin de propulsion","") &amp; IF(AND(L952&gt;L_rampe,pos_xz&lt;=L_rampe),"Sortie de rampe","")</f>
        <v/>
      </c>
      <c r="Z951" s="424" t="str">
        <f aca="false">IF(ABS(t-T_para)&lt;pas/2,"Para","")</f>
        <v/>
      </c>
      <c r="AA951" s="425" t="str">
        <f aca="false">IF(ABS(t-T_satellite)&lt;pas/2,"Satellite","")</f>
        <v/>
      </c>
      <c r="AB951" s="413"/>
      <c r="AC951" s="421" t="e">
        <f aca="false">IF(ABS(t-ROUND(t,0))&lt;0.001,t,NA())</f>
        <v>#N/A</v>
      </c>
      <c r="AD951" s="426" t="e">
        <f aca="false">IF(ABS(t-ROUND(t,0))&lt;0.001,pos_x,NA())</f>
        <v>#N/A</v>
      </c>
      <c r="AE951" s="427" t="e">
        <f aca="false">IF(t&lt;T_para, pos_z, NA())</f>
        <v>#N/A</v>
      </c>
      <c r="AF951" s="413"/>
      <c r="AG951" s="419" t="n">
        <f aca="false">IF(AND(L950&lt;L_rampe,Poussee&lt;Poids*SIN(M950)),0,(-W950+Poussee)/m-Poids*SIN(M950)/m)</f>
        <v>5.93741960404552</v>
      </c>
      <c r="AH951" s="418" t="n">
        <f aca="false">IF(AND(L950&lt;L_rampe,Poussee&lt;Poids*SIN(M950)), g*SIN(M950), (-W950+Poussee)/m)</f>
        <v>-3.77250914183852</v>
      </c>
    </row>
    <row r="952" customFormat="false" ht="12" hidden="false" customHeight="false" outlineLevel="0" collapsed="false">
      <c r="A952" s="417" t="n">
        <f aca="false">IF(B951+0.01&lt;=T_ini+ROUNDUP(Temps_fin_propu,0), 0.01, IF(K951&gt;0, 0.1, 0.0001))</f>
        <v>0.0001</v>
      </c>
      <c r="B952" s="418" t="n">
        <f aca="false">B951+pas</f>
        <v>16.5602999999998</v>
      </c>
      <c r="C952" s="402"/>
      <c r="D952" s="419" t="n">
        <f aca="false">IF(AND(L951&lt;L_rampe,Poussee&lt;Poids*SIN(M951)),0,(-W951+Poussee)/m*COS(M951)-U951/m*SIN(M951))</f>
        <v>-0.537473052023455</v>
      </c>
      <c r="E952" s="420" t="n">
        <f aca="false">IF(AND(L951&lt;L_rampe,Poussee&lt;Poids*SIN(M951)),0,(-W951+Poussee)/m*SIN(M951)+U951/m*COS(M951)-Poids/m)</f>
        <v>-6.07590870379093</v>
      </c>
      <c r="F952" s="418" t="n">
        <f aca="false">SQRT(acc_x^2+acc_z^2)</f>
        <v>6.09963473156007</v>
      </c>
      <c r="G952" s="419" t="n">
        <f aca="false">G951+acc_x*pas</f>
        <v>10.2548616079845</v>
      </c>
      <c r="H952" s="420" t="n">
        <f aca="false">H951+acc_z*pas</f>
        <v>-71.246579881732</v>
      </c>
      <c r="I952" s="418" t="n">
        <f aca="false">SQRT(vit_x^2+vit_z^2)</f>
        <v>71.9808122449513</v>
      </c>
      <c r="J952" s="419" t="n">
        <f aca="false">J951+0.5*(vit_x+G951)*pas*(K951&gt;=0)</f>
        <v>211.791153319536</v>
      </c>
      <c r="K952" s="420" t="n">
        <f aca="false">K951+0.5*(vit_z+H951)*pas</f>
        <v>-8.71796070766782</v>
      </c>
      <c r="L952" s="418" t="n">
        <f aca="false">SQRT(pos_x^2+pos_z^2)</f>
        <v>211.970506116581</v>
      </c>
      <c r="M952" s="419" t="n">
        <f aca="false">IF(AND(L951&gt;L_rampe,G952&gt;0),ATAN2(G952,H952),$M$4)</f>
        <v>-1.42784333639341</v>
      </c>
      <c r="N952" s="418" t="n">
        <f aca="false">DEGREES(Beta)</f>
        <v>-81.8093969812206</v>
      </c>
      <c r="O952" s="402"/>
      <c r="P952" s="421" t="n">
        <f aca="false">MATCH(t-pas/2-T_ini,CdP_t)</f>
        <v>23</v>
      </c>
      <c r="Q952" s="418" t="n">
        <f aca="false">(INDEX(CdP,2,i_P+1)-INDEX(CdP,2,i_P+0))/(INDEX(CdP,1,i_P+1)-INDEX(CdP,1,i_P+0))*(t-pas/2-T_ini-INDEX(CdP,1,i_P+0))+INDEX(CdP,2,i_P+0)</f>
        <v>0</v>
      </c>
      <c r="R952" s="419" t="n">
        <f aca="false">Poussee/(g*ISP)</f>
        <v>0</v>
      </c>
      <c r="S952" s="420" t="n">
        <f aca="false">S951-Débit*pas</f>
        <v>1.4843</v>
      </c>
      <c r="T952" s="418" t="n">
        <f aca="false">m*g</f>
        <v>14.560983</v>
      </c>
      <c r="U952" s="422" t="n">
        <f aca="false">IF(pos_xz&lt;L_rampe,Poids*COS(Beta),0)</f>
        <v>0</v>
      </c>
      <c r="V952" s="419" t="n">
        <f aca="false">Rho_moyen*(20000-Alt_rampe-pos_z)/(20000+Alt_rampe+pos_z)</f>
        <v>1.22606841590708</v>
      </c>
      <c r="W952" s="418" t="n">
        <f aca="false">1/2*Rho*Sref*Cx*vit_xz^2</f>
        <v>5.59972805566382</v>
      </c>
      <c r="X952" s="402"/>
      <c r="Y952" s="423" t="str">
        <f aca="false">IF(AND(pos_z&lt;=0,K951&gt;0),"Impact balistique","") &amp; IF(AND(H953&lt;0,vit_z&gt;=0),"Apogée","") &amp; IF(AND(Poussee=0,Q951&gt;0),"Fin de propulsion","") &amp; IF(AND(L953&gt;L_rampe,pos_xz&lt;=L_rampe),"Sortie de rampe","")</f>
        <v/>
      </c>
      <c r="Z952" s="424" t="str">
        <f aca="false">IF(ABS(t-T_para)&lt;pas/2,"Para","")</f>
        <v/>
      </c>
      <c r="AA952" s="425" t="str">
        <f aca="false">IF(ABS(t-T_satellite)&lt;pas/2,"Satellite","")</f>
        <v/>
      </c>
      <c r="AB952" s="413"/>
      <c r="AC952" s="421" t="e">
        <f aca="false">IF(ABS(t-ROUND(t,0))&lt;0.001,t,NA())</f>
        <v>#N/A</v>
      </c>
      <c r="AD952" s="426" t="e">
        <f aca="false">IF(ABS(t-ROUND(t,0))&lt;0.001,pos_x,NA())</f>
        <v>#N/A</v>
      </c>
      <c r="AE952" s="427" t="e">
        <f aca="false">IF(t&lt;T_para, pos_z, NA())</f>
        <v>#N/A</v>
      </c>
      <c r="AF952" s="413"/>
      <c r="AG952" s="419" t="n">
        <f aca="false">IF(AND(L951&lt;L_rampe,Poussee&lt;Poids*SIN(M951)),0,(-W951+Poussee)/m-Poids*SIN(M951)/m)</f>
        <v>5.93735739276694</v>
      </c>
      <c r="AH952" s="418" t="n">
        <f aca="false">IF(AND(L951&lt;L_rampe,Poussee&lt;Poids*SIN(M951)), g*SIN(M951), (-W951+Poussee)/m)</f>
        <v>-3.77257406687738</v>
      </c>
    </row>
    <row r="953" customFormat="false" ht="12" hidden="false" customHeight="false" outlineLevel="0" collapsed="false">
      <c r="A953" s="417" t="n">
        <f aca="false">IF(B952+0.01&lt;=T_ini+ROUNDUP(Temps_fin_propu,0), 0.01, IF(K952&gt;0, 0.1, 0.0001))</f>
        <v>0.0001</v>
      </c>
      <c r="B953" s="418" t="n">
        <f aca="false">B952+pas</f>
        <v>16.5603999999998</v>
      </c>
      <c r="C953" s="402"/>
      <c r="D953" s="419" t="n">
        <f aca="false">IF(AND(L952&lt;L_rampe,Poussee&lt;Poids*SIN(M952)),0,(-W952+Poussee)/m*COS(M952)-U952/m*SIN(M952))</f>
        <v>-0.537475051366094</v>
      </c>
      <c r="E953" s="420" t="n">
        <f aca="false">IF(AND(L952&lt;L_rampe,Poussee&lt;Poids*SIN(M952)),0,(-W952+Poussee)/m*SIN(M952)+U952/m*COS(M952)-Poids/m)</f>
        <v>-6.07584339745969</v>
      </c>
      <c r="F953" s="418" t="n">
        <f aca="false">SQRT(acc_x^2+acc_z^2)</f>
        <v>6.09956985543206</v>
      </c>
      <c r="G953" s="419" t="n">
        <f aca="false">G952+acc_x*pas</f>
        <v>10.2548078604794</v>
      </c>
      <c r="H953" s="420" t="n">
        <f aca="false">H952+acc_z*pas</f>
        <v>-71.2471874660718</v>
      </c>
      <c r="I953" s="418" t="n">
        <f aca="false">SQRT(vit_x^2+vit_z^2)</f>
        <v>71.9814059746051</v>
      </c>
      <c r="J953" s="419" t="n">
        <f aca="false">J952+0.5*(vit_x+G952)*pas*(K952&gt;=0)</f>
        <v>211.791153319536</v>
      </c>
      <c r="K953" s="420" t="n">
        <f aca="false">K952+0.5*(vit_z+H952)*pas</f>
        <v>-8.72508539603521</v>
      </c>
      <c r="L953" s="418" t="n">
        <f aca="false">SQRT(pos_x^2+pos_z^2)</f>
        <v>211.970799261567</v>
      </c>
      <c r="M953" s="419" t="n">
        <f aca="false">IF(AND(L952&gt;L_rampe,G953&gt;0),ATAN2(G953,H953),$M$4)</f>
        <v>-1.42784527800226</v>
      </c>
      <c r="N953" s="418" t="n">
        <f aca="false">DEGREES(Beta)</f>
        <v>-81.8095082272132</v>
      </c>
      <c r="O953" s="402"/>
      <c r="P953" s="421" t="n">
        <f aca="false">MATCH(t-pas/2-T_ini,CdP_t)</f>
        <v>23</v>
      </c>
      <c r="Q953" s="418" t="n">
        <f aca="false">(INDEX(CdP,2,i_P+1)-INDEX(CdP,2,i_P+0))/(INDEX(CdP,1,i_P+1)-INDEX(CdP,1,i_P+0))*(t-pas/2-T_ini-INDEX(CdP,1,i_P+0))+INDEX(CdP,2,i_P+0)</f>
        <v>0</v>
      </c>
      <c r="R953" s="419" t="n">
        <f aca="false">Poussee/(g*ISP)</f>
        <v>0</v>
      </c>
      <c r="S953" s="420" t="n">
        <f aca="false">S952-Débit*pas</f>
        <v>1.4843</v>
      </c>
      <c r="T953" s="418" t="n">
        <f aca="false">m*g</f>
        <v>14.560983</v>
      </c>
      <c r="U953" s="422" t="n">
        <f aca="false">IF(pos_xz&lt;L_rampe,Poids*COS(Beta),0)</f>
        <v>0</v>
      </c>
      <c r="V953" s="419" t="n">
        <f aca="false">Rho_moyen*(20000-Alt_rampe-pos_z)/(20000+Alt_rampe+pos_z)</f>
        <v>1.2260692894431</v>
      </c>
      <c r="W953" s="418" t="n">
        <f aca="false">1/2*Rho*Sref*Cx*vit_xz^2</f>
        <v>5.59982442382409</v>
      </c>
      <c r="X953" s="402"/>
      <c r="Y953" s="423" t="str">
        <f aca="false">IF(AND(pos_z&lt;=0,K952&gt;0),"Impact balistique","") &amp; IF(AND(H954&lt;0,vit_z&gt;=0),"Apogée","") &amp; IF(AND(Poussee=0,Q952&gt;0),"Fin de propulsion","") &amp; IF(AND(L954&gt;L_rampe,pos_xz&lt;=L_rampe),"Sortie de rampe","")</f>
        <v/>
      </c>
      <c r="Z953" s="424" t="str">
        <f aca="false">IF(ABS(t-T_para)&lt;pas/2,"Para","")</f>
        <v/>
      </c>
      <c r="AA953" s="425" t="str">
        <f aca="false">IF(ABS(t-T_satellite)&lt;pas/2,"Satellite","")</f>
        <v/>
      </c>
      <c r="AB953" s="413"/>
      <c r="AC953" s="421" t="e">
        <f aca="false">IF(ABS(t-ROUND(t,0))&lt;0.001,t,NA())</f>
        <v>#N/A</v>
      </c>
      <c r="AD953" s="426" t="e">
        <f aca="false">IF(ABS(t-ROUND(t,0))&lt;0.001,pos_x,NA())</f>
        <v>#N/A</v>
      </c>
      <c r="AE953" s="427" t="e">
        <f aca="false">IF(t&lt;T_para, pos_z, NA())</f>
        <v>#N/A</v>
      </c>
      <c r="AF953" s="413"/>
      <c r="AG953" s="419" t="n">
        <f aca="false">IF(AND(L952&lt;L_rampe,Poussee&lt;Poids*SIN(M952)),0,(-W952+Poussee)/m-Poids*SIN(M952)/m)</f>
        <v>5.93729518141798</v>
      </c>
      <c r="AH953" s="418" t="n">
        <f aca="false">IF(AND(L952&lt;L_rampe,Poussee&lt;Poids*SIN(M952)), g*SIN(M952), (-W952+Poussee)/m)</f>
        <v>-3.77263899189101</v>
      </c>
    </row>
    <row r="954" customFormat="false" ht="12" hidden="false" customHeight="false" outlineLevel="0" collapsed="false">
      <c r="A954" s="417" t="n">
        <f aca="false">IF(B953+0.01&lt;=T_ini+ROUNDUP(Temps_fin_propu,0), 0.01, IF(K953&gt;0, 0.1, 0.0001))</f>
        <v>0.0001</v>
      </c>
      <c r="B954" s="418" t="n">
        <f aca="false">B953+pas</f>
        <v>16.5604999999998</v>
      </c>
      <c r="C954" s="402"/>
      <c r="D954" s="419" t="n">
        <f aca="false">IF(AND(L953&lt;L_rampe,Poussee&lt;Poids*SIN(M953)),0,(-W953+Poussee)/m*COS(M953)-U953/m*SIN(M953))</f>
        <v>-0.537477050611172</v>
      </c>
      <c r="E954" s="420" t="n">
        <f aca="false">IF(AND(L953&lt;L_rampe,Poussee&lt;Poids*SIN(M953)),0,(-W953+Poussee)/m*SIN(M953)+U953/m*COS(M953)-Poids/m)</f>
        <v>-6.07577809115426</v>
      </c>
      <c r="F954" s="418" t="n">
        <f aca="false">SQRT(acc_x^2+acc_z^2)</f>
        <v>6.09950497933101</v>
      </c>
      <c r="G954" s="419" t="n">
        <f aca="false">G953+acc_x*pas</f>
        <v>10.2547541127743</v>
      </c>
      <c r="H954" s="420" t="n">
        <f aca="false">H953+acc_z*pas</f>
        <v>-71.2477950438809</v>
      </c>
      <c r="I954" s="418" t="n">
        <f aca="false">SQRT(vit_x^2+vit_z^2)</f>
        <v>71.9819996980378</v>
      </c>
      <c r="J954" s="419" t="n">
        <f aca="false">J953+0.5*(vit_x+G953)*pas*(K953&gt;=0)</f>
        <v>211.791153319536</v>
      </c>
      <c r="K954" s="420" t="n">
        <f aca="false">K953+0.5*(vit_z+H953)*pas</f>
        <v>-8.73221014516071</v>
      </c>
      <c r="L954" s="418" t="n">
        <f aca="false">SQRT(pos_x^2+pos_z^2)</f>
        <v>211.971092648122</v>
      </c>
      <c r="M954" s="419" t="n">
        <f aca="false">IF(AND(L953&gt;L_rampe,G954&gt;0),ATAN2(G954,H954),$M$4)</f>
        <v>-1.4278472195689</v>
      </c>
      <c r="N954" s="418" t="n">
        <f aca="false">DEGREES(Beta)</f>
        <v>-81.8096194707875</v>
      </c>
      <c r="O954" s="402"/>
      <c r="P954" s="421" t="n">
        <f aca="false">MATCH(t-pas/2-T_ini,CdP_t)</f>
        <v>23</v>
      </c>
      <c r="Q954" s="418" t="n">
        <f aca="false">(INDEX(CdP,2,i_P+1)-INDEX(CdP,2,i_P+0))/(INDEX(CdP,1,i_P+1)-INDEX(CdP,1,i_P+0))*(t-pas/2-T_ini-INDEX(CdP,1,i_P+0))+INDEX(CdP,2,i_P+0)</f>
        <v>0</v>
      </c>
      <c r="R954" s="419" t="n">
        <f aca="false">Poussee/(g*ISP)</f>
        <v>0</v>
      </c>
      <c r="S954" s="420" t="n">
        <f aca="false">S953-Débit*pas</f>
        <v>1.4843</v>
      </c>
      <c r="T954" s="418" t="n">
        <f aca="false">m*g</f>
        <v>14.560983</v>
      </c>
      <c r="U954" s="422" t="n">
        <f aca="false">IF(pos_xz&lt;L_rampe,Poids*COS(Beta),0)</f>
        <v>0</v>
      </c>
      <c r="V954" s="419" t="n">
        <f aca="false">Rho_moyen*(20000-Alt_rampe-pos_z)/(20000+Alt_rampe+pos_z)</f>
        <v>1.22607016298719</v>
      </c>
      <c r="W954" s="418" t="n">
        <f aca="false">1/2*Rho*Sref*Cx*vit_xz^2</f>
        <v>5.59992079194688</v>
      </c>
      <c r="X954" s="402"/>
      <c r="Y954" s="423" t="str">
        <f aca="false">IF(AND(pos_z&lt;=0,K953&gt;0),"Impact balistique","") &amp; IF(AND(H955&lt;0,vit_z&gt;=0),"Apogée","") &amp; IF(AND(Poussee=0,Q953&gt;0),"Fin de propulsion","") &amp; IF(AND(L955&gt;L_rampe,pos_xz&lt;=L_rampe),"Sortie de rampe","")</f>
        <v/>
      </c>
      <c r="Z954" s="424" t="str">
        <f aca="false">IF(ABS(t-T_para)&lt;pas/2,"Para","")</f>
        <v/>
      </c>
      <c r="AA954" s="425" t="str">
        <f aca="false">IF(ABS(t-T_satellite)&lt;pas/2,"Satellite","")</f>
        <v/>
      </c>
      <c r="AB954" s="413"/>
      <c r="AC954" s="421" t="e">
        <f aca="false">IF(ABS(t-ROUND(t,0))&lt;0.001,t,NA())</f>
        <v>#N/A</v>
      </c>
      <c r="AD954" s="426" t="e">
        <f aca="false">IF(ABS(t-ROUND(t,0))&lt;0.001,pos_x,NA())</f>
        <v>#N/A</v>
      </c>
      <c r="AE954" s="427" t="e">
        <f aca="false">IF(t&lt;T_para, pos_z, NA())</f>
        <v>#N/A</v>
      </c>
      <c r="AF954" s="413"/>
      <c r="AG954" s="419" t="n">
        <f aca="false">IF(AND(L953&lt;L_rampe,Poussee&lt;Poids*SIN(M953)),0,(-W953+Poussee)/m-Poids*SIN(M953)/m)</f>
        <v>5.93723296999867</v>
      </c>
      <c r="AH954" s="418" t="n">
        <f aca="false">IF(AND(L953&lt;L_rampe,Poussee&lt;Poids*SIN(M953)), g*SIN(M953), (-W953+Poussee)/m)</f>
        <v>-3.7727039168794</v>
      </c>
    </row>
    <row r="955" customFormat="false" ht="12" hidden="false" customHeight="false" outlineLevel="0" collapsed="false">
      <c r="A955" s="417" t="n">
        <f aca="false">IF(B954+0.01&lt;=T_ini+ROUNDUP(Temps_fin_propu,0), 0.01, IF(K954&gt;0, 0.1, 0.0001))</f>
        <v>0.0001</v>
      </c>
      <c r="B955" s="418" t="n">
        <f aca="false">B954+pas</f>
        <v>16.5605999999998</v>
      </c>
      <c r="C955" s="402"/>
      <c r="D955" s="419" t="n">
        <f aca="false">IF(AND(L954&lt;L_rampe,Poussee&lt;Poids*SIN(M954)),0,(-W954+Poussee)/m*COS(M954)-U954/m*SIN(M954))</f>
        <v>-0.537479049758688</v>
      </c>
      <c r="E955" s="420" t="n">
        <f aca="false">IF(AND(L954&lt;L_rampe,Poussee&lt;Poids*SIN(M954)),0,(-W954+Poussee)/m*SIN(M954)+U954/m*COS(M954)-Poids/m)</f>
        <v>-6.07571278487468</v>
      </c>
      <c r="F955" s="418" t="n">
        <f aca="false">SQRT(acc_x^2+acc_z^2)</f>
        <v>6.09944010325695</v>
      </c>
      <c r="G955" s="419" t="n">
        <f aca="false">G954+acc_x*pas</f>
        <v>10.2547003648693</v>
      </c>
      <c r="H955" s="420" t="n">
        <f aca="false">H954+acc_z*pas</f>
        <v>-71.2484026151594</v>
      </c>
      <c r="I955" s="418" t="n">
        <f aca="false">SQRT(vit_x^2+vit_z^2)</f>
        <v>71.9825934152493</v>
      </c>
      <c r="J955" s="419" t="n">
        <f aca="false">J954+0.5*(vit_x+G954)*pas*(K954&gt;=0)</f>
        <v>211.791153319536</v>
      </c>
      <c r="K955" s="420" t="n">
        <f aca="false">K954+0.5*(vit_z+H954)*pas</f>
        <v>-8.73933495504366</v>
      </c>
      <c r="L955" s="418" t="n">
        <f aca="false">SQRT(pos_x^2+pos_z^2)</f>
        <v>211.971386276251</v>
      </c>
      <c r="M955" s="419" t="n">
        <f aca="false">IF(AND(L954&gt;L_rampe,G955&gt;0),ATAN2(G955,H955),$M$4)</f>
        <v>-1.42784916109334</v>
      </c>
      <c r="N955" s="418" t="n">
        <f aca="false">DEGREES(Beta)</f>
        <v>-81.8097307119438</v>
      </c>
      <c r="O955" s="402"/>
      <c r="P955" s="421" t="n">
        <f aca="false">MATCH(t-pas/2-T_ini,CdP_t)</f>
        <v>23</v>
      </c>
      <c r="Q955" s="418" t="n">
        <f aca="false">(INDEX(CdP,2,i_P+1)-INDEX(CdP,2,i_P+0))/(INDEX(CdP,1,i_P+1)-INDEX(CdP,1,i_P+0))*(t-pas/2-T_ini-INDEX(CdP,1,i_P+0))+INDEX(CdP,2,i_P+0)</f>
        <v>0</v>
      </c>
      <c r="R955" s="419" t="n">
        <f aca="false">Poussee/(g*ISP)</f>
        <v>0</v>
      </c>
      <c r="S955" s="420" t="n">
        <f aca="false">S954-Débit*pas</f>
        <v>1.4843</v>
      </c>
      <c r="T955" s="418" t="n">
        <f aca="false">m*g</f>
        <v>14.560983</v>
      </c>
      <c r="U955" s="422" t="n">
        <f aca="false">IF(pos_xz&lt;L_rampe,Poids*COS(Beta),0)</f>
        <v>0</v>
      </c>
      <c r="V955" s="419" t="n">
        <f aca="false">Rho_moyen*(20000-Alt_rampe-pos_z)/(20000+Alt_rampe+pos_z)</f>
        <v>1.22607103653935</v>
      </c>
      <c r="W955" s="418" t="n">
        <f aca="false">1/2*Rho*Sref*Cx*vit_xz^2</f>
        <v>5.60001716003216</v>
      </c>
      <c r="X955" s="402"/>
      <c r="Y955" s="423" t="str">
        <f aca="false">IF(AND(pos_z&lt;=0,K954&gt;0),"Impact balistique","") &amp; IF(AND(H956&lt;0,vit_z&gt;=0),"Apogée","") &amp; IF(AND(Poussee=0,Q954&gt;0),"Fin de propulsion","") &amp; IF(AND(L956&gt;L_rampe,pos_xz&lt;=L_rampe),"Sortie de rampe","")</f>
        <v/>
      </c>
      <c r="Z955" s="424" t="str">
        <f aca="false">IF(ABS(t-T_para)&lt;pas/2,"Para","")</f>
        <v/>
      </c>
      <c r="AA955" s="425" t="str">
        <f aca="false">IF(ABS(t-T_satellite)&lt;pas/2,"Satellite","")</f>
        <v/>
      </c>
      <c r="AB955" s="413"/>
      <c r="AC955" s="421" t="e">
        <f aca="false">IF(ABS(t-ROUND(t,0))&lt;0.001,t,NA())</f>
        <v>#N/A</v>
      </c>
      <c r="AD955" s="426" t="e">
        <f aca="false">IF(ABS(t-ROUND(t,0))&lt;0.001,pos_x,NA())</f>
        <v>#N/A</v>
      </c>
      <c r="AE955" s="427" t="e">
        <f aca="false">IF(t&lt;T_para, pos_z, NA())</f>
        <v>#N/A</v>
      </c>
      <c r="AF955" s="413"/>
      <c r="AG955" s="419" t="n">
        <f aca="false">IF(AND(L954&lt;L_rampe,Poussee&lt;Poids*SIN(M954)),0,(-W954+Poussee)/m-Poids*SIN(M954)/m)</f>
        <v>5.93717075850902</v>
      </c>
      <c r="AH955" s="418" t="n">
        <f aca="false">IF(AND(L954&lt;L_rampe,Poussee&lt;Poids*SIN(M954)), g*SIN(M954), (-W954+Poussee)/m)</f>
        <v>-3.77276884184254</v>
      </c>
    </row>
    <row r="956" customFormat="false" ht="12" hidden="false" customHeight="false" outlineLevel="0" collapsed="false">
      <c r="A956" s="417" t="n">
        <f aca="false">IF(B955+0.01&lt;=T_ini+ROUNDUP(Temps_fin_propu,0), 0.01, IF(K955&gt;0, 0.1, 0.0001))</f>
        <v>0.0001</v>
      </c>
      <c r="B956" s="418" t="n">
        <f aca="false">B955+pas</f>
        <v>16.5606999999998</v>
      </c>
      <c r="C956" s="402"/>
      <c r="D956" s="419" t="n">
        <f aca="false">IF(AND(L955&lt;L_rampe,Poussee&lt;Poids*SIN(M955)),0,(-W955+Poussee)/m*COS(M955)-U955/m*SIN(M955))</f>
        <v>-0.537481048808644</v>
      </c>
      <c r="E956" s="420" t="n">
        <f aca="false">IF(AND(L955&lt;L_rampe,Poussee&lt;Poids*SIN(M955)),0,(-W955+Poussee)/m*SIN(M955)+U955/m*COS(M955)-Poids/m)</f>
        <v>-6.07564747862095</v>
      </c>
      <c r="F956" s="418" t="n">
        <f aca="false">SQRT(acc_x^2+acc_z^2)</f>
        <v>6.09937522720988</v>
      </c>
      <c r="G956" s="419" t="n">
        <f aca="false">G955+acc_x*pas</f>
        <v>10.2546466167644</v>
      </c>
      <c r="H956" s="420" t="n">
        <f aca="false">H955+acc_z*pas</f>
        <v>-71.2490101799072</v>
      </c>
      <c r="I956" s="418" t="n">
        <f aca="false">SQRT(vit_x^2+vit_z^2)</f>
        <v>71.9831871262397</v>
      </c>
      <c r="J956" s="419" t="n">
        <f aca="false">J955+0.5*(vit_x+G955)*pas*(K955&gt;=0)</f>
        <v>211.791153319536</v>
      </c>
      <c r="K956" s="420" t="n">
        <f aca="false">K955+0.5*(vit_z+H955)*pas</f>
        <v>-8.74645982568341</v>
      </c>
      <c r="L956" s="418" t="n">
        <f aca="false">SQRT(pos_x^2+pos_z^2)</f>
        <v>211.971680145961</v>
      </c>
      <c r="M956" s="419" t="n">
        <f aca="false">IF(AND(L955&gt;L_rampe,G956&gt;0),ATAN2(G956,H956),$M$4)</f>
        <v>-1.42785110257558</v>
      </c>
      <c r="N956" s="418" t="n">
        <f aca="false">DEGREES(Beta)</f>
        <v>-81.8098419506819</v>
      </c>
      <c r="O956" s="402"/>
      <c r="P956" s="421" t="n">
        <f aca="false">MATCH(t-pas/2-T_ini,CdP_t)</f>
        <v>23</v>
      </c>
      <c r="Q956" s="418" t="n">
        <f aca="false">(INDEX(CdP,2,i_P+1)-INDEX(CdP,2,i_P+0))/(INDEX(CdP,1,i_P+1)-INDEX(CdP,1,i_P+0))*(t-pas/2-T_ini-INDEX(CdP,1,i_P+0))+INDEX(CdP,2,i_P+0)</f>
        <v>0</v>
      </c>
      <c r="R956" s="419" t="n">
        <f aca="false">Poussee/(g*ISP)</f>
        <v>0</v>
      </c>
      <c r="S956" s="420" t="n">
        <f aca="false">S955-Débit*pas</f>
        <v>1.4843</v>
      </c>
      <c r="T956" s="418" t="n">
        <f aca="false">m*g</f>
        <v>14.560983</v>
      </c>
      <c r="U956" s="422" t="n">
        <f aca="false">IF(pos_xz&lt;L_rampe,Poids*COS(Beta),0)</f>
        <v>0</v>
      </c>
      <c r="V956" s="419" t="n">
        <f aca="false">Rho_moyen*(20000-Alt_rampe-pos_z)/(20000+Alt_rampe+pos_z)</f>
        <v>1.22607191009958</v>
      </c>
      <c r="W956" s="418" t="n">
        <f aca="false">1/2*Rho*Sref*Cx*vit_xz^2</f>
        <v>5.60011352807991</v>
      </c>
      <c r="X956" s="402"/>
      <c r="Y956" s="423" t="str">
        <f aca="false">IF(AND(pos_z&lt;=0,K955&gt;0),"Impact balistique","") &amp; IF(AND(H957&lt;0,vit_z&gt;=0),"Apogée","") &amp; IF(AND(Poussee=0,Q955&gt;0),"Fin de propulsion","") &amp; IF(AND(L957&gt;L_rampe,pos_xz&lt;=L_rampe),"Sortie de rampe","")</f>
        <v/>
      </c>
      <c r="Z956" s="424" t="str">
        <f aca="false">IF(ABS(t-T_para)&lt;pas/2,"Para","")</f>
        <v/>
      </c>
      <c r="AA956" s="425" t="str">
        <f aca="false">IF(ABS(t-T_satellite)&lt;pas/2,"Satellite","")</f>
        <v/>
      </c>
      <c r="AB956" s="413"/>
      <c r="AC956" s="421" t="e">
        <f aca="false">IF(ABS(t-ROUND(t,0))&lt;0.001,t,NA())</f>
        <v>#N/A</v>
      </c>
      <c r="AD956" s="426" t="e">
        <f aca="false">IF(ABS(t-ROUND(t,0))&lt;0.001,pos_x,NA())</f>
        <v>#N/A</v>
      </c>
      <c r="AE956" s="427" t="e">
        <f aca="false">IF(t&lt;T_para, pos_z, NA())</f>
        <v>#N/A</v>
      </c>
      <c r="AF956" s="413"/>
      <c r="AG956" s="419" t="n">
        <f aca="false">IF(AND(L955&lt;L_rampe,Poussee&lt;Poids*SIN(M955)),0,(-W955+Poussee)/m-Poids*SIN(M955)/m)</f>
        <v>5.93710854694905</v>
      </c>
      <c r="AH956" s="418" t="n">
        <f aca="false">IF(AND(L955&lt;L_rampe,Poussee&lt;Poids*SIN(M955)), g*SIN(M955), (-W955+Poussee)/m)</f>
        <v>-3.77283376678041</v>
      </c>
    </row>
    <row r="957" customFormat="false" ht="12" hidden="false" customHeight="false" outlineLevel="0" collapsed="false">
      <c r="A957" s="417" t="n">
        <f aca="false">IF(B956+0.01&lt;=T_ini+ROUNDUP(Temps_fin_propu,0), 0.01, IF(K956&gt;0, 0.1, 0.0001))</f>
        <v>0.0001</v>
      </c>
      <c r="B957" s="418" t="n">
        <f aca="false">B956+pas</f>
        <v>16.5607999999998</v>
      </c>
      <c r="C957" s="402"/>
      <c r="D957" s="419" t="n">
        <f aca="false">IF(AND(L956&lt;L_rampe,Poussee&lt;Poids*SIN(M956)),0,(-W956+Poussee)/m*COS(M956)-U956/m*SIN(M956))</f>
        <v>-0.53748304776104</v>
      </c>
      <c r="E957" s="420" t="n">
        <f aca="false">IF(AND(L956&lt;L_rampe,Poussee&lt;Poids*SIN(M956)),0,(-W956+Poussee)/m*SIN(M956)+U956/m*COS(M956)-Poids/m)</f>
        <v>-6.0755821723931</v>
      </c>
      <c r="F957" s="418" t="n">
        <f aca="false">SQRT(acc_x^2+acc_z^2)</f>
        <v>6.09931035118983</v>
      </c>
      <c r="G957" s="419" t="n">
        <f aca="false">G956+acc_x*pas</f>
        <v>10.2545928684597</v>
      </c>
      <c r="H957" s="420" t="n">
        <f aca="false">H956+acc_z*pas</f>
        <v>-71.2496177381245</v>
      </c>
      <c r="I957" s="418" t="n">
        <f aca="false">SQRT(vit_x^2+vit_z^2)</f>
        <v>71.9837808310089</v>
      </c>
      <c r="J957" s="419" t="n">
        <f aca="false">J956+0.5*(vit_x+G956)*pas*(K956&gt;=0)</f>
        <v>211.791153319536</v>
      </c>
      <c r="K957" s="420" t="n">
        <f aca="false">K956+0.5*(vit_z+H956)*pas</f>
        <v>-8.75358475707931</v>
      </c>
      <c r="L957" s="418" t="n">
        <f aca="false">SQRT(pos_x^2+pos_z^2)</f>
        <v>211.971974257256</v>
      </c>
      <c r="M957" s="419" t="n">
        <f aca="false">IF(AND(L956&gt;L_rampe,G957&gt;0),ATAN2(G957,H957),$M$4)</f>
        <v>-1.42785304401562</v>
      </c>
      <c r="N957" s="418" t="n">
        <f aca="false">DEGREES(Beta)</f>
        <v>-81.8099531870022</v>
      </c>
      <c r="O957" s="402"/>
      <c r="P957" s="421" t="n">
        <f aca="false">MATCH(t-pas/2-T_ini,CdP_t)</f>
        <v>23</v>
      </c>
      <c r="Q957" s="418" t="n">
        <f aca="false">(INDEX(CdP,2,i_P+1)-INDEX(CdP,2,i_P+0))/(INDEX(CdP,1,i_P+1)-INDEX(CdP,1,i_P+0))*(t-pas/2-T_ini-INDEX(CdP,1,i_P+0))+INDEX(CdP,2,i_P+0)</f>
        <v>0</v>
      </c>
      <c r="R957" s="419" t="n">
        <f aca="false">Poussee/(g*ISP)</f>
        <v>0</v>
      </c>
      <c r="S957" s="420" t="n">
        <f aca="false">S956-Débit*pas</f>
        <v>1.4843</v>
      </c>
      <c r="T957" s="418" t="n">
        <f aca="false">m*g</f>
        <v>14.560983</v>
      </c>
      <c r="U957" s="422" t="n">
        <f aca="false">IF(pos_xz&lt;L_rampe,Poids*COS(Beta),0)</f>
        <v>0</v>
      </c>
      <c r="V957" s="419" t="n">
        <f aca="false">Rho_moyen*(20000-Alt_rampe-pos_z)/(20000+Alt_rampe+pos_z)</f>
        <v>1.22607278366788</v>
      </c>
      <c r="W957" s="418" t="n">
        <f aca="false">1/2*Rho*Sref*Cx*vit_xz^2</f>
        <v>5.6002098960901</v>
      </c>
      <c r="X957" s="402"/>
      <c r="Y957" s="423" t="str">
        <f aca="false">IF(AND(pos_z&lt;=0,K956&gt;0),"Impact balistique","") &amp; IF(AND(H958&lt;0,vit_z&gt;=0),"Apogée","") &amp; IF(AND(Poussee=0,Q956&gt;0),"Fin de propulsion","") &amp; IF(AND(L958&gt;L_rampe,pos_xz&lt;=L_rampe),"Sortie de rampe","")</f>
        <v/>
      </c>
      <c r="Z957" s="424" t="str">
        <f aca="false">IF(ABS(t-T_para)&lt;pas/2,"Para","")</f>
        <v/>
      </c>
      <c r="AA957" s="425" t="str">
        <f aca="false">IF(ABS(t-T_satellite)&lt;pas/2,"Satellite","")</f>
        <v/>
      </c>
      <c r="AB957" s="413"/>
      <c r="AC957" s="421" t="e">
        <f aca="false">IF(ABS(t-ROUND(t,0))&lt;0.001,t,NA())</f>
        <v>#N/A</v>
      </c>
      <c r="AD957" s="426" t="e">
        <f aca="false">IF(ABS(t-ROUND(t,0))&lt;0.001,pos_x,NA())</f>
        <v>#N/A</v>
      </c>
      <c r="AE957" s="427" t="e">
        <f aca="false">IF(t&lt;T_para, pos_z, NA())</f>
        <v>#N/A</v>
      </c>
      <c r="AF957" s="413"/>
      <c r="AG957" s="419" t="n">
        <f aca="false">IF(AND(L956&lt;L_rampe,Poussee&lt;Poids*SIN(M956)),0,(-W956+Poussee)/m-Poids*SIN(M956)/m)</f>
        <v>5.93704633531879</v>
      </c>
      <c r="AH957" s="418" t="n">
        <f aca="false">IF(AND(L956&lt;L_rampe,Poussee&lt;Poids*SIN(M956)), g*SIN(M956), (-W956+Poussee)/m)</f>
        <v>-3.772898691693</v>
      </c>
    </row>
    <row r="958" customFormat="false" ht="12" hidden="false" customHeight="false" outlineLevel="0" collapsed="false">
      <c r="A958" s="417" t="n">
        <f aca="false">IF(B957+0.01&lt;=T_ini+ROUNDUP(Temps_fin_propu,0), 0.01, IF(K957&gt;0, 0.1, 0.0001))</f>
        <v>0.0001</v>
      </c>
      <c r="B958" s="418" t="n">
        <f aca="false">B957+pas</f>
        <v>16.5608999999998</v>
      </c>
      <c r="C958" s="402"/>
      <c r="D958" s="419" t="n">
        <f aca="false">IF(AND(L957&lt;L_rampe,Poussee&lt;Poids*SIN(M957)),0,(-W957+Poussee)/m*COS(M957)-U957/m*SIN(M957))</f>
        <v>-0.537485046615877</v>
      </c>
      <c r="E958" s="420" t="n">
        <f aca="false">IF(AND(L957&lt;L_rampe,Poussee&lt;Poids*SIN(M957)),0,(-W957+Poussee)/m*SIN(M957)+U957/m*COS(M957)-Poids/m)</f>
        <v>-6.07551686619114</v>
      </c>
      <c r="F958" s="418" t="n">
        <f aca="false">SQRT(acc_x^2+acc_z^2)</f>
        <v>6.0992454751968</v>
      </c>
      <c r="G958" s="419" t="n">
        <f aca="false">G957+acc_x*pas</f>
        <v>10.254539119955</v>
      </c>
      <c r="H958" s="420" t="n">
        <f aca="false">H957+acc_z*pas</f>
        <v>-71.2502252898111</v>
      </c>
      <c r="I958" s="418" t="n">
        <f aca="false">SQRT(vit_x^2+vit_z^2)</f>
        <v>71.9843745295569</v>
      </c>
      <c r="J958" s="419" t="n">
        <f aca="false">J957+0.5*(vit_x+G957)*pas*(K957&gt;=0)</f>
        <v>211.791153319536</v>
      </c>
      <c r="K958" s="420" t="n">
        <f aca="false">K957+0.5*(vit_z+H957)*pas</f>
        <v>-8.76070974923071</v>
      </c>
      <c r="L958" s="418" t="n">
        <f aca="false">SQRT(pos_x^2+pos_z^2)</f>
        <v>211.97226861014</v>
      </c>
      <c r="M958" s="419" t="n">
        <f aca="false">IF(AND(L957&gt;L_rampe,G958&gt;0),ATAN2(G958,H958),$M$4)</f>
        <v>-1.42785498541345</v>
      </c>
      <c r="N958" s="418" t="n">
        <f aca="false">DEGREES(Beta)</f>
        <v>-81.8100644209044</v>
      </c>
      <c r="O958" s="402"/>
      <c r="P958" s="421" t="n">
        <f aca="false">MATCH(t-pas/2-T_ini,CdP_t)</f>
        <v>23</v>
      </c>
      <c r="Q958" s="418" t="n">
        <f aca="false">(INDEX(CdP,2,i_P+1)-INDEX(CdP,2,i_P+0))/(INDEX(CdP,1,i_P+1)-INDEX(CdP,1,i_P+0))*(t-pas/2-T_ini-INDEX(CdP,1,i_P+0))+INDEX(CdP,2,i_P+0)</f>
        <v>0</v>
      </c>
      <c r="R958" s="419" t="n">
        <f aca="false">Poussee/(g*ISP)</f>
        <v>0</v>
      </c>
      <c r="S958" s="420" t="n">
        <f aca="false">S957-Débit*pas</f>
        <v>1.4843</v>
      </c>
      <c r="T958" s="418" t="n">
        <f aca="false">m*g</f>
        <v>14.560983</v>
      </c>
      <c r="U958" s="422" t="n">
        <f aca="false">IF(pos_xz&lt;L_rampe,Poids*COS(Beta),0)</f>
        <v>0</v>
      </c>
      <c r="V958" s="419" t="n">
        <f aca="false">Rho_moyen*(20000-Alt_rampe-pos_z)/(20000+Alt_rampe+pos_z)</f>
        <v>1.22607365724426</v>
      </c>
      <c r="W958" s="418" t="n">
        <f aca="false">1/2*Rho*Sref*Cx*vit_xz^2</f>
        <v>5.60030626406271</v>
      </c>
      <c r="X958" s="402"/>
      <c r="Y958" s="423" t="str">
        <f aca="false">IF(AND(pos_z&lt;=0,K957&gt;0),"Impact balistique","") &amp; IF(AND(H959&lt;0,vit_z&gt;=0),"Apogée","") &amp; IF(AND(Poussee=0,Q957&gt;0),"Fin de propulsion","") &amp; IF(AND(L959&gt;L_rampe,pos_xz&lt;=L_rampe),"Sortie de rampe","")</f>
        <v/>
      </c>
      <c r="Z958" s="424" t="str">
        <f aca="false">IF(ABS(t-T_para)&lt;pas/2,"Para","")</f>
        <v/>
      </c>
      <c r="AA958" s="425" t="str">
        <f aca="false">IF(ABS(t-T_satellite)&lt;pas/2,"Satellite","")</f>
        <v/>
      </c>
      <c r="AB958" s="413"/>
      <c r="AC958" s="421" t="e">
        <f aca="false">IF(ABS(t-ROUND(t,0))&lt;0.001,t,NA())</f>
        <v>#N/A</v>
      </c>
      <c r="AD958" s="426" t="e">
        <f aca="false">IF(ABS(t-ROUND(t,0))&lt;0.001,pos_x,NA())</f>
        <v>#N/A</v>
      </c>
      <c r="AE958" s="427" t="e">
        <f aca="false">IF(t&lt;T_para, pos_z, NA())</f>
        <v>#N/A</v>
      </c>
      <c r="AF958" s="413"/>
      <c r="AG958" s="419" t="n">
        <f aca="false">IF(AND(L957&lt;L_rampe,Poussee&lt;Poids*SIN(M957)),0,(-W957+Poussee)/m-Poids*SIN(M957)/m)</f>
        <v>5.93698412361825</v>
      </c>
      <c r="AH958" s="418" t="n">
        <f aca="false">IF(AND(L957&lt;L_rampe,Poussee&lt;Poids*SIN(M957)), g*SIN(M957), (-W957+Poussee)/m)</f>
        <v>-3.77296361658028</v>
      </c>
    </row>
    <row r="959" customFormat="false" ht="12" hidden="false" customHeight="false" outlineLevel="0" collapsed="false">
      <c r="A959" s="417" t="n">
        <f aca="false">IF(B958+0.01&lt;=T_ini+ROUNDUP(Temps_fin_propu,0), 0.01, IF(K958&gt;0, 0.1, 0.0001))</f>
        <v>0.0001</v>
      </c>
      <c r="B959" s="418" t="n">
        <f aca="false">B958+pas</f>
        <v>16.5609999999998</v>
      </c>
      <c r="C959" s="402"/>
      <c r="D959" s="419" t="n">
        <f aca="false">IF(AND(L958&lt;L_rampe,Poussee&lt;Poids*SIN(M958)),0,(-W958+Poussee)/m*COS(M958)-U958/m*SIN(M958))</f>
        <v>-0.537487045373156</v>
      </c>
      <c r="E959" s="420" t="n">
        <f aca="false">IF(AND(L958&lt;L_rampe,Poussee&lt;Poids*SIN(M958)),0,(-W958+Poussee)/m*SIN(M958)+U958/m*COS(M958)-Poids/m)</f>
        <v>-6.07545156001508</v>
      </c>
      <c r="F959" s="418" t="n">
        <f aca="false">SQRT(acc_x^2+acc_z^2)</f>
        <v>6.09918059923082</v>
      </c>
      <c r="G959" s="419" t="n">
        <f aca="false">G958+acc_x*pas</f>
        <v>10.2544853712505</v>
      </c>
      <c r="H959" s="420" t="n">
        <f aca="false">H958+acc_z*pas</f>
        <v>-71.2508328349671</v>
      </c>
      <c r="I959" s="418" t="n">
        <f aca="false">SQRT(vit_x^2+vit_z^2)</f>
        <v>71.9849682218838</v>
      </c>
      <c r="J959" s="419" t="n">
        <f aca="false">J958+0.5*(vit_x+G958)*pas*(K958&gt;=0)</f>
        <v>211.791153319536</v>
      </c>
      <c r="K959" s="420" t="n">
        <f aca="false">K958+0.5*(vit_z+H958)*pas</f>
        <v>-8.76783480213695</v>
      </c>
      <c r="L959" s="418" t="n">
        <f aca="false">SQRT(pos_x^2+pos_z^2)</f>
        <v>211.97256320462</v>
      </c>
      <c r="M959" s="419" t="n">
        <f aca="false">IF(AND(L958&gt;L_rampe,G959&gt;0),ATAN2(G959,H959),$M$4)</f>
        <v>-1.42785692676909</v>
      </c>
      <c r="N959" s="418" t="n">
        <f aca="false">DEGREES(Beta)</f>
        <v>-81.8101756523889</v>
      </c>
      <c r="O959" s="402"/>
      <c r="P959" s="421" t="n">
        <f aca="false">MATCH(t-pas/2-T_ini,CdP_t)</f>
        <v>23</v>
      </c>
      <c r="Q959" s="418" t="n">
        <f aca="false">(INDEX(CdP,2,i_P+1)-INDEX(CdP,2,i_P+0))/(INDEX(CdP,1,i_P+1)-INDEX(CdP,1,i_P+0))*(t-pas/2-T_ini-INDEX(CdP,1,i_P+0))+INDEX(CdP,2,i_P+0)</f>
        <v>0</v>
      </c>
      <c r="R959" s="419" t="n">
        <f aca="false">Poussee/(g*ISP)</f>
        <v>0</v>
      </c>
      <c r="S959" s="420" t="n">
        <f aca="false">S958-Débit*pas</f>
        <v>1.4843</v>
      </c>
      <c r="T959" s="418" t="n">
        <f aca="false">m*g</f>
        <v>14.560983</v>
      </c>
      <c r="U959" s="422" t="n">
        <f aca="false">IF(pos_xz&lt;L_rampe,Poids*COS(Beta),0)</f>
        <v>0</v>
      </c>
      <c r="V959" s="419" t="n">
        <f aca="false">Rho_moyen*(20000-Alt_rampe-pos_z)/(20000+Alt_rampe+pos_z)</f>
        <v>1.2260745308287</v>
      </c>
      <c r="W959" s="418" t="n">
        <f aca="false">1/2*Rho*Sref*Cx*vit_xz^2</f>
        <v>5.60040263199772</v>
      </c>
      <c r="X959" s="402"/>
      <c r="Y959" s="423" t="str">
        <f aca="false">IF(AND(pos_z&lt;=0,K958&gt;0),"Impact balistique","") &amp; IF(AND(H960&lt;0,vit_z&gt;=0),"Apogée","") &amp; IF(AND(Poussee=0,Q958&gt;0),"Fin de propulsion","") &amp; IF(AND(L960&gt;L_rampe,pos_xz&lt;=L_rampe),"Sortie de rampe","")</f>
        <v/>
      </c>
      <c r="Z959" s="424" t="str">
        <f aca="false">IF(ABS(t-T_para)&lt;pas/2,"Para","")</f>
        <v/>
      </c>
      <c r="AA959" s="425" t="str">
        <f aca="false">IF(ABS(t-T_satellite)&lt;pas/2,"Satellite","")</f>
        <v/>
      </c>
      <c r="AB959" s="413"/>
      <c r="AC959" s="421" t="e">
        <f aca="false">IF(ABS(t-ROUND(t,0))&lt;0.001,t,NA())</f>
        <v>#N/A</v>
      </c>
      <c r="AD959" s="426" t="e">
        <f aca="false">IF(ABS(t-ROUND(t,0))&lt;0.001,pos_x,NA())</f>
        <v>#N/A</v>
      </c>
      <c r="AE959" s="427" t="e">
        <f aca="false">IF(t&lt;T_para, pos_z, NA())</f>
        <v>#N/A</v>
      </c>
      <c r="AF959" s="413"/>
      <c r="AG959" s="419" t="n">
        <f aca="false">IF(AND(L958&lt;L_rampe,Poussee&lt;Poids*SIN(M958)),0,(-W958+Poussee)/m-Poids*SIN(M958)/m)</f>
        <v>5.93692191184746</v>
      </c>
      <c r="AH959" s="418" t="n">
        <f aca="false">IF(AND(L958&lt;L_rampe,Poussee&lt;Poids*SIN(M958)), g*SIN(M958), (-W958+Poussee)/m)</f>
        <v>-3.77302854144224</v>
      </c>
    </row>
    <row r="960" customFormat="false" ht="12" hidden="false" customHeight="false" outlineLevel="0" collapsed="false">
      <c r="A960" s="417" t="n">
        <f aca="false">IF(B959+0.01&lt;=T_ini+ROUNDUP(Temps_fin_propu,0), 0.01, IF(K959&gt;0, 0.1, 0.0001))</f>
        <v>0.0001</v>
      </c>
      <c r="B960" s="418" t="n">
        <f aca="false">B959+pas</f>
        <v>16.5610999999998</v>
      </c>
      <c r="C960" s="402"/>
      <c r="D960" s="419" t="n">
        <f aca="false">IF(AND(L959&lt;L_rampe,Poussee&lt;Poids*SIN(M959)),0,(-W959+Poussee)/m*COS(M959)-U959/m*SIN(M959))</f>
        <v>-0.537489044032877</v>
      </c>
      <c r="E960" s="420" t="n">
        <f aca="false">IF(AND(L959&lt;L_rampe,Poussee&lt;Poids*SIN(M959)),0,(-W959+Poussee)/m*SIN(M959)+U959/m*COS(M959)-Poids/m)</f>
        <v>-6.07538625386494</v>
      </c>
      <c r="F960" s="418" t="n">
        <f aca="false">SQRT(acc_x^2+acc_z^2)</f>
        <v>6.0991157232919</v>
      </c>
      <c r="G960" s="419" t="n">
        <f aca="false">G959+acc_x*pas</f>
        <v>10.2544316223461</v>
      </c>
      <c r="H960" s="420" t="n">
        <f aca="false">H959+acc_z*pas</f>
        <v>-71.2514403735925</v>
      </c>
      <c r="I960" s="418" t="n">
        <f aca="false">SQRT(vit_x^2+vit_z^2)</f>
        <v>71.9855619079894</v>
      </c>
      <c r="J960" s="419" t="n">
        <f aca="false">J959+0.5*(vit_x+G959)*pas*(K959&gt;=0)</f>
        <v>211.791153319536</v>
      </c>
      <c r="K960" s="420" t="n">
        <f aca="false">K959+0.5*(vit_z+H959)*pas</f>
        <v>-8.77495991579738</v>
      </c>
      <c r="L960" s="418" t="n">
        <f aca="false">SQRT(pos_x^2+pos_z^2)</f>
        <v>211.972858040701</v>
      </c>
      <c r="M960" s="419" t="n">
        <f aca="false">IF(AND(L959&gt;L_rampe,G960&gt;0),ATAN2(G960,H960),$M$4)</f>
        <v>-1.42785886808253</v>
      </c>
      <c r="N960" s="418" t="n">
        <f aca="false">DEGREES(Beta)</f>
        <v>-81.8102868814557</v>
      </c>
      <c r="O960" s="402"/>
      <c r="P960" s="421" t="n">
        <f aca="false">MATCH(t-pas/2-T_ini,CdP_t)</f>
        <v>23</v>
      </c>
      <c r="Q960" s="418" t="n">
        <f aca="false">(INDEX(CdP,2,i_P+1)-INDEX(CdP,2,i_P+0))/(INDEX(CdP,1,i_P+1)-INDEX(CdP,1,i_P+0))*(t-pas/2-T_ini-INDEX(CdP,1,i_P+0))+INDEX(CdP,2,i_P+0)</f>
        <v>0</v>
      </c>
      <c r="R960" s="419" t="n">
        <f aca="false">Poussee/(g*ISP)</f>
        <v>0</v>
      </c>
      <c r="S960" s="420" t="n">
        <f aca="false">S959-Débit*pas</f>
        <v>1.4843</v>
      </c>
      <c r="T960" s="418" t="n">
        <f aca="false">m*g</f>
        <v>14.560983</v>
      </c>
      <c r="U960" s="422" t="n">
        <f aca="false">IF(pos_xz&lt;L_rampe,Poids*COS(Beta),0)</f>
        <v>0</v>
      </c>
      <c r="V960" s="419" t="n">
        <f aca="false">Rho_moyen*(20000-Alt_rampe-pos_z)/(20000+Alt_rampe+pos_z)</f>
        <v>1.22607540442122</v>
      </c>
      <c r="W960" s="418" t="n">
        <f aca="false">1/2*Rho*Sref*Cx*vit_xz^2</f>
        <v>5.6004989998951</v>
      </c>
      <c r="X960" s="402"/>
      <c r="Y960" s="423" t="str">
        <f aca="false">IF(AND(pos_z&lt;=0,K959&gt;0),"Impact balistique","") &amp; IF(AND(H961&lt;0,vit_z&gt;=0),"Apogée","") &amp; IF(AND(Poussee=0,Q959&gt;0),"Fin de propulsion","") &amp; IF(AND(L961&gt;L_rampe,pos_xz&lt;=L_rampe),"Sortie de rampe","")</f>
        <v/>
      </c>
      <c r="Z960" s="424" t="str">
        <f aca="false">IF(ABS(t-T_para)&lt;pas/2,"Para","")</f>
        <v/>
      </c>
      <c r="AA960" s="425" t="str">
        <f aca="false">IF(ABS(t-T_satellite)&lt;pas/2,"Satellite","")</f>
        <v/>
      </c>
      <c r="AB960" s="413"/>
      <c r="AC960" s="421" t="e">
        <f aca="false">IF(ABS(t-ROUND(t,0))&lt;0.001,t,NA())</f>
        <v>#N/A</v>
      </c>
      <c r="AD960" s="426" t="e">
        <f aca="false">IF(ABS(t-ROUND(t,0))&lt;0.001,pos_x,NA())</f>
        <v>#N/A</v>
      </c>
      <c r="AE960" s="427" t="e">
        <f aca="false">IF(t&lt;T_para, pos_z, NA())</f>
        <v>#N/A</v>
      </c>
      <c r="AF960" s="413"/>
      <c r="AG960" s="419" t="n">
        <f aca="false">IF(AND(L959&lt;L_rampe,Poussee&lt;Poids*SIN(M959)),0,(-W959+Poussee)/m-Poids*SIN(M959)/m)</f>
        <v>5.93685970000644</v>
      </c>
      <c r="AH960" s="418" t="n">
        <f aca="false">IF(AND(L959&lt;L_rampe,Poussee&lt;Poids*SIN(M959)), g*SIN(M959), (-W959+Poussee)/m)</f>
        <v>-3.77309346627887</v>
      </c>
    </row>
    <row r="961" customFormat="false" ht="12" hidden="false" customHeight="false" outlineLevel="0" collapsed="false">
      <c r="A961" s="417" t="n">
        <f aca="false">IF(B960+0.01&lt;=T_ini+ROUNDUP(Temps_fin_propu,0), 0.01, IF(K960&gt;0, 0.1, 0.0001))</f>
        <v>0.0001</v>
      </c>
      <c r="B961" s="418" t="n">
        <f aca="false">B960+pas</f>
        <v>16.5611999999998</v>
      </c>
      <c r="C961" s="402"/>
      <c r="D961" s="419" t="n">
        <f aca="false">IF(AND(L960&lt;L_rampe,Poussee&lt;Poids*SIN(M960)),0,(-W960+Poussee)/m*COS(M960)-U960/m*SIN(M960))</f>
        <v>-0.537491042595042</v>
      </c>
      <c r="E961" s="420" t="n">
        <f aca="false">IF(AND(L960&lt;L_rampe,Poussee&lt;Poids*SIN(M960)),0,(-W960+Poussee)/m*SIN(M960)+U960/m*COS(M960)-Poids/m)</f>
        <v>-6.07532094774075</v>
      </c>
      <c r="F961" s="418" t="n">
        <f aca="false">SQRT(acc_x^2+acc_z^2)</f>
        <v>6.09905084738006</v>
      </c>
      <c r="G961" s="419" t="n">
        <f aca="false">G960+acc_x*pas</f>
        <v>10.2543778732418</v>
      </c>
      <c r="H961" s="420" t="n">
        <f aca="false">H960+acc_z*pas</f>
        <v>-71.2520479056873</v>
      </c>
      <c r="I961" s="418" t="n">
        <f aca="false">SQRT(vit_x^2+vit_z^2)</f>
        <v>71.9861555878739</v>
      </c>
      <c r="J961" s="419" t="n">
        <f aca="false">J960+0.5*(vit_x+G960)*pas*(K960&gt;=0)</f>
        <v>211.791153319536</v>
      </c>
      <c r="K961" s="420" t="n">
        <f aca="false">K960+0.5*(vit_z+H960)*pas</f>
        <v>-8.78208509021134</v>
      </c>
      <c r="L961" s="418" t="n">
        <f aca="false">SQRT(pos_x^2+pos_z^2)</f>
        <v>211.973153118387</v>
      </c>
      <c r="M961" s="419" t="n">
        <f aca="false">IF(AND(L960&gt;L_rampe,G961&gt;0),ATAN2(G961,H961),$M$4)</f>
        <v>-1.42786080935377</v>
      </c>
      <c r="N961" s="418" t="n">
        <f aca="false">DEGREES(Beta)</f>
        <v>-81.8103981081048</v>
      </c>
      <c r="O961" s="402"/>
      <c r="P961" s="421" t="n">
        <f aca="false">MATCH(t-pas/2-T_ini,CdP_t)</f>
        <v>23</v>
      </c>
      <c r="Q961" s="418" t="n">
        <f aca="false">(INDEX(CdP,2,i_P+1)-INDEX(CdP,2,i_P+0))/(INDEX(CdP,1,i_P+1)-INDEX(CdP,1,i_P+0))*(t-pas/2-T_ini-INDEX(CdP,1,i_P+0))+INDEX(CdP,2,i_P+0)</f>
        <v>0</v>
      </c>
      <c r="R961" s="419" t="n">
        <f aca="false">Poussee/(g*ISP)</f>
        <v>0</v>
      </c>
      <c r="S961" s="420" t="n">
        <f aca="false">S960-Débit*pas</f>
        <v>1.4843</v>
      </c>
      <c r="T961" s="418" t="n">
        <f aca="false">m*g</f>
        <v>14.560983</v>
      </c>
      <c r="U961" s="422" t="n">
        <f aca="false">IF(pos_xz&lt;L_rampe,Poids*COS(Beta),0)</f>
        <v>0</v>
      </c>
      <c r="V961" s="419" t="n">
        <f aca="false">Rho_moyen*(20000-Alt_rampe-pos_z)/(20000+Alt_rampe+pos_z)</f>
        <v>1.22607627802181</v>
      </c>
      <c r="W961" s="418" t="n">
        <f aca="false">1/2*Rho*Sref*Cx*vit_xz^2</f>
        <v>5.60059536775483</v>
      </c>
      <c r="X961" s="402"/>
      <c r="Y961" s="423" t="str">
        <f aca="false">IF(AND(pos_z&lt;=0,K960&gt;0),"Impact balistique","") &amp; IF(AND(H962&lt;0,vit_z&gt;=0),"Apogée","") &amp; IF(AND(Poussee=0,Q960&gt;0),"Fin de propulsion","") &amp; IF(AND(L962&gt;L_rampe,pos_xz&lt;=L_rampe),"Sortie de rampe","")</f>
        <v/>
      </c>
      <c r="Z961" s="424" t="str">
        <f aca="false">IF(ABS(t-T_para)&lt;pas/2,"Para","")</f>
        <v/>
      </c>
      <c r="AA961" s="425" t="str">
        <f aca="false">IF(ABS(t-T_satellite)&lt;pas/2,"Satellite","")</f>
        <v/>
      </c>
      <c r="AB961" s="413"/>
      <c r="AC961" s="421" t="e">
        <f aca="false">IF(ABS(t-ROUND(t,0))&lt;0.001,t,NA())</f>
        <v>#N/A</v>
      </c>
      <c r="AD961" s="426" t="e">
        <f aca="false">IF(ABS(t-ROUND(t,0))&lt;0.001,pos_x,NA())</f>
        <v>#N/A</v>
      </c>
      <c r="AE961" s="427" t="e">
        <f aca="false">IF(t&lt;T_para, pos_z, NA())</f>
        <v>#N/A</v>
      </c>
      <c r="AF961" s="413"/>
      <c r="AG961" s="419" t="n">
        <f aca="false">IF(AND(L960&lt;L_rampe,Poussee&lt;Poids*SIN(M960)),0,(-W960+Poussee)/m-Poids*SIN(M960)/m)</f>
        <v>5.9367974880952</v>
      </c>
      <c r="AH961" s="418" t="n">
        <f aca="false">IF(AND(L960&lt;L_rampe,Poussee&lt;Poids*SIN(M960)), g*SIN(M960), (-W960+Poussee)/m)</f>
        <v>-3.77315839109015</v>
      </c>
    </row>
    <row r="962" customFormat="false" ht="12" hidden="false" customHeight="false" outlineLevel="0" collapsed="false">
      <c r="A962" s="417" t="n">
        <f aca="false">IF(B961+0.01&lt;=T_ini+ROUNDUP(Temps_fin_propu,0), 0.01, IF(K961&gt;0, 0.1, 0.0001))</f>
        <v>0.0001</v>
      </c>
      <c r="B962" s="418" t="n">
        <f aca="false">B961+pas</f>
        <v>16.5612999999998</v>
      </c>
      <c r="C962" s="402"/>
      <c r="D962" s="419" t="n">
        <f aca="false">IF(AND(L961&lt;L_rampe,Poussee&lt;Poids*SIN(M961)),0,(-W961+Poussee)/m*COS(M961)-U961/m*SIN(M961))</f>
        <v>-0.537493041059651</v>
      </c>
      <c r="E962" s="420" t="n">
        <f aca="false">IF(AND(L961&lt;L_rampe,Poussee&lt;Poids*SIN(M961)),0,(-W961+Poussee)/m*SIN(M961)+U961/m*COS(M961)-Poids/m)</f>
        <v>-6.0752556416425</v>
      </c>
      <c r="F962" s="418" t="n">
        <f aca="false">SQRT(acc_x^2+acc_z^2)</f>
        <v>6.09898597149531</v>
      </c>
      <c r="G962" s="419" t="n">
        <f aca="false">G961+acc_x*pas</f>
        <v>10.2543241239377</v>
      </c>
      <c r="H962" s="420" t="n">
        <f aca="false">H961+acc_z*pas</f>
        <v>-71.2526554312514</v>
      </c>
      <c r="I962" s="418" t="n">
        <f aca="false">SQRT(vit_x^2+vit_z^2)</f>
        <v>71.9867492615371</v>
      </c>
      <c r="J962" s="419" t="n">
        <f aca="false">J961+0.5*(vit_x+G961)*pas*(K961&gt;=0)</f>
        <v>211.791153319536</v>
      </c>
      <c r="K962" s="420" t="n">
        <f aca="false">K961+0.5*(vit_z+H961)*pas</f>
        <v>-8.78921032537819</v>
      </c>
      <c r="L962" s="418" t="n">
        <f aca="false">SQRT(pos_x^2+pos_z^2)</f>
        <v>211.973448437683</v>
      </c>
      <c r="M962" s="419" t="n">
        <f aca="false">IF(AND(L961&gt;L_rampe,G962&gt;0),ATAN2(G962,H962),$M$4)</f>
        <v>-1.42786275058282</v>
      </c>
      <c r="N962" s="418" t="n">
        <f aca="false">DEGREES(Beta)</f>
        <v>-81.8105093323363</v>
      </c>
      <c r="O962" s="402"/>
      <c r="P962" s="421" t="n">
        <f aca="false">MATCH(t-pas/2-T_ini,CdP_t)</f>
        <v>23</v>
      </c>
      <c r="Q962" s="418" t="n">
        <f aca="false">(INDEX(CdP,2,i_P+1)-INDEX(CdP,2,i_P+0))/(INDEX(CdP,1,i_P+1)-INDEX(CdP,1,i_P+0))*(t-pas/2-T_ini-INDEX(CdP,1,i_P+0))+INDEX(CdP,2,i_P+0)</f>
        <v>0</v>
      </c>
      <c r="R962" s="419" t="n">
        <f aca="false">Poussee/(g*ISP)</f>
        <v>0</v>
      </c>
      <c r="S962" s="420" t="n">
        <f aca="false">S961-Débit*pas</f>
        <v>1.4843</v>
      </c>
      <c r="T962" s="418" t="n">
        <f aca="false">m*g</f>
        <v>14.560983</v>
      </c>
      <c r="U962" s="422" t="n">
        <f aca="false">IF(pos_xz&lt;L_rampe,Poids*COS(Beta),0)</f>
        <v>0</v>
      </c>
      <c r="V962" s="419" t="n">
        <f aca="false">Rho_moyen*(20000-Alt_rampe-pos_z)/(20000+Alt_rampe+pos_z)</f>
        <v>1.22607715163047</v>
      </c>
      <c r="W962" s="418" t="n">
        <f aca="false">1/2*Rho*Sref*Cx*vit_xz^2</f>
        <v>5.60069173557688</v>
      </c>
      <c r="X962" s="402"/>
      <c r="Y962" s="423" t="str">
        <f aca="false">IF(AND(pos_z&lt;=0,K961&gt;0),"Impact balistique","") &amp; IF(AND(H963&lt;0,vit_z&gt;=0),"Apogée","") &amp; IF(AND(Poussee=0,Q961&gt;0),"Fin de propulsion","") &amp; IF(AND(L963&gt;L_rampe,pos_xz&lt;=L_rampe),"Sortie de rampe","")</f>
        <v/>
      </c>
      <c r="Z962" s="424" t="str">
        <f aca="false">IF(ABS(t-T_para)&lt;pas/2,"Para","")</f>
        <v/>
      </c>
      <c r="AA962" s="425" t="str">
        <f aca="false">IF(ABS(t-T_satellite)&lt;pas/2,"Satellite","")</f>
        <v/>
      </c>
      <c r="AB962" s="413"/>
      <c r="AC962" s="421" t="e">
        <f aca="false">IF(ABS(t-ROUND(t,0))&lt;0.001,t,NA())</f>
        <v>#N/A</v>
      </c>
      <c r="AD962" s="426" t="e">
        <f aca="false">IF(ABS(t-ROUND(t,0))&lt;0.001,pos_x,NA())</f>
        <v>#N/A</v>
      </c>
      <c r="AE962" s="427" t="e">
        <f aca="false">IF(t&lt;T_para, pos_z, NA())</f>
        <v>#N/A</v>
      </c>
      <c r="AF962" s="413"/>
      <c r="AG962" s="419" t="n">
        <f aca="false">IF(AND(L961&lt;L_rampe,Poussee&lt;Poids*SIN(M961)),0,(-W961+Poussee)/m-Poids*SIN(M961)/m)</f>
        <v>5.93673527611376</v>
      </c>
      <c r="AH962" s="418" t="n">
        <f aca="false">IF(AND(L961&lt;L_rampe,Poussee&lt;Poids*SIN(M961)), g*SIN(M961), (-W961+Poussee)/m)</f>
        <v>-3.77322331587606</v>
      </c>
    </row>
    <row r="963" customFormat="false" ht="12" hidden="false" customHeight="false" outlineLevel="0" collapsed="false">
      <c r="A963" s="417" t="n">
        <f aca="false">IF(B962+0.01&lt;=T_ini+ROUNDUP(Temps_fin_propu,0), 0.01, IF(K962&gt;0, 0.1, 0.0001))</f>
        <v>0.0001</v>
      </c>
      <c r="B963" s="418" t="n">
        <f aca="false">B962+pas</f>
        <v>16.5613999999998</v>
      </c>
      <c r="C963" s="402"/>
      <c r="D963" s="419" t="n">
        <f aca="false">IF(AND(L962&lt;L_rampe,Poussee&lt;Poids*SIN(M962)),0,(-W962+Poussee)/m*COS(M962)-U962/m*SIN(M962))</f>
        <v>-0.537495039426705</v>
      </c>
      <c r="E963" s="420" t="n">
        <f aca="false">IF(AND(L962&lt;L_rampe,Poussee&lt;Poids*SIN(M962)),0,(-W962+Poussee)/m*SIN(M962)+U962/m*COS(M962)-Poids/m)</f>
        <v>-6.07519033557023</v>
      </c>
      <c r="F963" s="418" t="n">
        <f aca="false">SQRT(acc_x^2+acc_z^2)</f>
        <v>6.09892109563767</v>
      </c>
      <c r="G963" s="419" t="n">
        <f aca="false">G962+acc_x*pas</f>
        <v>10.2542703744338</v>
      </c>
      <c r="H963" s="420" t="n">
        <f aca="false">H962+acc_z*pas</f>
        <v>-71.253262950285</v>
      </c>
      <c r="I963" s="418" t="n">
        <f aca="false">SQRT(vit_x^2+vit_z^2)</f>
        <v>71.9873429289791</v>
      </c>
      <c r="J963" s="419" t="n">
        <f aca="false">J962+0.5*(vit_x+G962)*pas*(K962&gt;=0)</f>
        <v>211.791153319536</v>
      </c>
      <c r="K963" s="420" t="n">
        <f aca="false">K962+0.5*(vit_z+H962)*pas</f>
        <v>-8.79633562129726</v>
      </c>
      <c r="L963" s="418" t="n">
        <f aca="false">SQRT(pos_x^2+pos_z^2)</f>
        <v>211.973743998595</v>
      </c>
      <c r="M963" s="419" t="n">
        <f aca="false">IF(AND(L962&gt;L_rampe,G963&gt;0),ATAN2(G963,H963),$M$4)</f>
        <v>-1.42786469176967</v>
      </c>
      <c r="N963" s="418" t="n">
        <f aca="false">DEGREES(Beta)</f>
        <v>-81.8106205541503</v>
      </c>
      <c r="O963" s="402"/>
      <c r="P963" s="421" t="n">
        <f aca="false">MATCH(t-pas/2-T_ini,CdP_t)</f>
        <v>23</v>
      </c>
      <c r="Q963" s="418" t="n">
        <f aca="false">(INDEX(CdP,2,i_P+1)-INDEX(CdP,2,i_P+0))/(INDEX(CdP,1,i_P+1)-INDEX(CdP,1,i_P+0))*(t-pas/2-T_ini-INDEX(CdP,1,i_P+0))+INDEX(CdP,2,i_P+0)</f>
        <v>0</v>
      </c>
      <c r="R963" s="419" t="n">
        <f aca="false">Poussee/(g*ISP)</f>
        <v>0</v>
      </c>
      <c r="S963" s="420" t="n">
        <f aca="false">S962-Débit*pas</f>
        <v>1.4843</v>
      </c>
      <c r="T963" s="418" t="n">
        <f aca="false">m*g</f>
        <v>14.560983</v>
      </c>
      <c r="U963" s="422" t="n">
        <f aca="false">IF(pos_xz&lt;L_rampe,Poids*COS(Beta),0)</f>
        <v>0</v>
      </c>
      <c r="V963" s="419" t="n">
        <f aca="false">Rho_moyen*(20000-Alt_rampe-pos_z)/(20000+Alt_rampe+pos_z)</f>
        <v>1.2260780252472</v>
      </c>
      <c r="W963" s="418" t="n">
        <f aca="false">1/2*Rho*Sref*Cx*vit_xz^2</f>
        <v>5.60078810336123</v>
      </c>
      <c r="X963" s="402"/>
      <c r="Y963" s="423" t="str">
        <f aca="false">IF(AND(pos_z&lt;=0,K962&gt;0),"Impact balistique","") &amp; IF(AND(H964&lt;0,vit_z&gt;=0),"Apogée","") &amp; IF(AND(Poussee=0,Q962&gt;0),"Fin de propulsion","") &amp; IF(AND(L964&gt;L_rampe,pos_xz&lt;=L_rampe),"Sortie de rampe","")</f>
        <v/>
      </c>
      <c r="Z963" s="424" t="str">
        <f aca="false">IF(ABS(t-T_para)&lt;pas/2,"Para","")</f>
        <v/>
      </c>
      <c r="AA963" s="425" t="str">
        <f aca="false">IF(ABS(t-T_satellite)&lt;pas/2,"Satellite","")</f>
        <v/>
      </c>
      <c r="AB963" s="413"/>
      <c r="AC963" s="421" t="e">
        <f aca="false">IF(ABS(t-ROUND(t,0))&lt;0.001,t,NA())</f>
        <v>#N/A</v>
      </c>
      <c r="AD963" s="426" t="e">
        <f aca="false">IF(ABS(t-ROUND(t,0))&lt;0.001,pos_x,NA())</f>
        <v>#N/A</v>
      </c>
      <c r="AE963" s="427" t="e">
        <f aca="false">IF(t&lt;T_para, pos_z, NA())</f>
        <v>#N/A</v>
      </c>
      <c r="AF963" s="413"/>
      <c r="AG963" s="419" t="n">
        <f aca="false">IF(AND(L962&lt;L_rampe,Poussee&lt;Poids*SIN(M962)),0,(-W962+Poussee)/m-Poids*SIN(M962)/m)</f>
        <v>5.93667306406216</v>
      </c>
      <c r="AH963" s="418" t="n">
        <f aca="false">IF(AND(L962&lt;L_rampe,Poussee&lt;Poids*SIN(M962)), g*SIN(M962), (-W962+Poussee)/m)</f>
        <v>-3.77328824063659</v>
      </c>
    </row>
    <row r="964" customFormat="false" ht="12" hidden="false" customHeight="false" outlineLevel="0" collapsed="false">
      <c r="A964" s="417" t="n">
        <f aca="false">IF(B963+0.01&lt;=T_ini+ROUNDUP(Temps_fin_propu,0), 0.01, IF(K963&gt;0, 0.1, 0.0001))</f>
        <v>0.0001</v>
      </c>
      <c r="B964" s="418" t="n">
        <f aca="false">B963+pas</f>
        <v>16.5614999999998</v>
      </c>
      <c r="C964" s="402"/>
      <c r="D964" s="419" t="n">
        <f aca="false">IF(AND(L963&lt;L_rampe,Poussee&lt;Poids*SIN(M963)),0,(-W963+Poussee)/m*COS(M963)-U963/m*SIN(M963))</f>
        <v>-0.537497037696203</v>
      </c>
      <c r="E964" s="420" t="n">
        <f aca="false">IF(AND(L963&lt;L_rampe,Poussee&lt;Poids*SIN(M963)),0,(-W963+Poussee)/m*SIN(M963)+U963/m*COS(M963)-Poids/m)</f>
        <v>-6.07512502952394</v>
      </c>
      <c r="F964" s="418" t="n">
        <f aca="false">SQRT(acc_x^2+acc_z^2)</f>
        <v>6.09885621980716</v>
      </c>
      <c r="G964" s="419" t="n">
        <f aca="false">G963+acc_x*pas</f>
        <v>10.25421662473</v>
      </c>
      <c r="H964" s="420" t="n">
        <f aca="false">H963+acc_z*pas</f>
        <v>-71.2538704627879</v>
      </c>
      <c r="I964" s="418" t="n">
        <f aca="false">SQRT(vit_x^2+vit_z^2)</f>
        <v>71.9879365902</v>
      </c>
      <c r="J964" s="419" t="n">
        <f aca="false">J963+0.5*(vit_x+G963)*pas*(K963&gt;=0)</f>
        <v>211.791153319536</v>
      </c>
      <c r="K964" s="420" t="n">
        <f aca="false">K963+0.5*(vit_z+H963)*pas</f>
        <v>-8.80346097796792</v>
      </c>
      <c r="L964" s="418" t="n">
        <f aca="false">SQRT(pos_x^2+pos_z^2)</f>
        <v>211.974039801127</v>
      </c>
      <c r="M964" s="419" t="n">
        <f aca="false">IF(AND(L963&gt;L_rampe,G964&gt;0),ATAN2(G964,H964),$M$4)</f>
        <v>-1.42786663291433</v>
      </c>
      <c r="N964" s="418" t="n">
        <f aca="false">DEGREES(Beta)</f>
        <v>-81.810731773547</v>
      </c>
      <c r="O964" s="402"/>
      <c r="P964" s="421" t="n">
        <f aca="false">MATCH(t-pas/2-T_ini,CdP_t)</f>
        <v>23</v>
      </c>
      <c r="Q964" s="418" t="n">
        <f aca="false">(INDEX(CdP,2,i_P+1)-INDEX(CdP,2,i_P+0))/(INDEX(CdP,1,i_P+1)-INDEX(CdP,1,i_P+0))*(t-pas/2-T_ini-INDEX(CdP,1,i_P+0))+INDEX(CdP,2,i_P+0)</f>
        <v>0</v>
      </c>
      <c r="R964" s="419" t="n">
        <f aca="false">Poussee/(g*ISP)</f>
        <v>0</v>
      </c>
      <c r="S964" s="420" t="n">
        <f aca="false">S963-Débit*pas</f>
        <v>1.4843</v>
      </c>
      <c r="T964" s="418" t="n">
        <f aca="false">m*g</f>
        <v>14.560983</v>
      </c>
      <c r="U964" s="422" t="n">
        <f aca="false">IF(pos_xz&lt;L_rampe,Poids*COS(Beta),0)</f>
        <v>0</v>
      </c>
      <c r="V964" s="419" t="n">
        <f aca="false">Rho_moyen*(20000-Alt_rampe-pos_z)/(20000+Alt_rampe+pos_z)</f>
        <v>1.22607889887201</v>
      </c>
      <c r="W964" s="418" t="n">
        <f aca="false">1/2*Rho*Sref*Cx*vit_xz^2</f>
        <v>5.60088447110786</v>
      </c>
      <c r="X964" s="402"/>
      <c r="Y964" s="423" t="str">
        <f aca="false">IF(AND(pos_z&lt;=0,K963&gt;0),"Impact balistique","") &amp; IF(AND(H965&lt;0,vit_z&gt;=0),"Apogée","") &amp; IF(AND(Poussee=0,Q963&gt;0),"Fin de propulsion","") &amp; IF(AND(L965&gt;L_rampe,pos_xz&lt;=L_rampe),"Sortie de rampe","")</f>
        <v/>
      </c>
      <c r="Z964" s="424" t="str">
        <f aca="false">IF(ABS(t-T_para)&lt;pas/2,"Para","")</f>
        <v/>
      </c>
      <c r="AA964" s="425" t="str">
        <f aca="false">IF(ABS(t-T_satellite)&lt;pas/2,"Satellite","")</f>
        <v/>
      </c>
      <c r="AB964" s="413"/>
      <c r="AC964" s="421" t="e">
        <f aca="false">IF(ABS(t-ROUND(t,0))&lt;0.001,t,NA())</f>
        <v>#N/A</v>
      </c>
      <c r="AD964" s="426" t="e">
        <f aca="false">IF(ABS(t-ROUND(t,0))&lt;0.001,pos_x,NA())</f>
        <v>#N/A</v>
      </c>
      <c r="AE964" s="427" t="e">
        <f aca="false">IF(t&lt;T_para, pos_z, NA())</f>
        <v>#N/A</v>
      </c>
      <c r="AF964" s="413"/>
      <c r="AG964" s="419" t="n">
        <f aca="false">IF(AND(L963&lt;L_rampe,Poussee&lt;Poids*SIN(M963)),0,(-W963+Poussee)/m-Poids*SIN(M963)/m)</f>
        <v>5.9366108519404</v>
      </c>
      <c r="AH964" s="418" t="n">
        <f aca="false">IF(AND(L963&lt;L_rampe,Poussee&lt;Poids*SIN(M963)), g*SIN(M963), (-W963+Poussee)/m)</f>
        <v>-3.77335316537172</v>
      </c>
    </row>
    <row r="965" customFormat="false" ht="12" hidden="false" customHeight="false" outlineLevel="0" collapsed="false">
      <c r="A965" s="417" t="n">
        <f aca="false">IF(B964+0.01&lt;=T_ini+ROUNDUP(Temps_fin_propu,0), 0.01, IF(K964&gt;0, 0.1, 0.0001))</f>
        <v>0.0001</v>
      </c>
      <c r="B965" s="418" t="n">
        <f aca="false">B964+pas</f>
        <v>16.5615999999998</v>
      </c>
      <c r="C965" s="402"/>
      <c r="D965" s="419" t="n">
        <f aca="false">IF(AND(L964&lt;L_rampe,Poussee&lt;Poids*SIN(M964)),0,(-W964+Poussee)/m*COS(M964)-U964/m*SIN(M964))</f>
        <v>-0.537499035868148</v>
      </c>
      <c r="E965" s="420" t="n">
        <f aca="false">IF(AND(L964&lt;L_rampe,Poussee&lt;Poids*SIN(M964)),0,(-W964+Poussee)/m*SIN(M964)+U964/m*COS(M964)-Poids/m)</f>
        <v>-6.07505972350366</v>
      </c>
      <c r="F965" s="418" t="n">
        <f aca="false">SQRT(acc_x^2+acc_z^2)</f>
        <v>6.09879134400379</v>
      </c>
      <c r="G965" s="419" t="n">
        <f aca="false">G964+acc_x*pas</f>
        <v>10.2541628748264</v>
      </c>
      <c r="H965" s="420" t="n">
        <f aca="false">H964+acc_z*pas</f>
        <v>-71.2544779687603</v>
      </c>
      <c r="I965" s="418" t="n">
        <f aca="false">SQRT(vit_x^2+vit_z^2)</f>
        <v>71.9885302451995</v>
      </c>
      <c r="J965" s="419" t="n">
        <f aca="false">J964+0.5*(vit_x+G964)*pas*(K964&gt;=0)</f>
        <v>211.791153319536</v>
      </c>
      <c r="K965" s="420" t="n">
        <f aca="false">K964+0.5*(vit_z+H964)*pas</f>
        <v>-8.81058639538949</v>
      </c>
      <c r="L965" s="418" t="n">
        <f aca="false">SQRT(pos_x^2+pos_z^2)</f>
        <v>211.974335845285</v>
      </c>
      <c r="M965" s="419" t="n">
        <f aca="false">IF(AND(L964&gt;L_rampe,G965&gt;0),ATAN2(G965,H965),$M$4)</f>
        <v>-1.42786857401681</v>
      </c>
      <c r="N965" s="418" t="n">
        <f aca="false">DEGREES(Beta)</f>
        <v>-81.8108429905263</v>
      </c>
      <c r="O965" s="402"/>
      <c r="P965" s="421" t="n">
        <f aca="false">MATCH(t-pas/2-T_ini,CdP_t)</f>
        <v>23</v>
      </c>
      <c r="Q965" s="418" t="n">
        <f aca="false">(INDEX(CdP,2,i_P+1)-INDEX(CdP,2,i_P+0))/(INDEX(CdP,1,i_P+1)-INDEX(CdP,1,i_P+0))*(t-pas/2-T_ini-INDEX(CdP,1,i_P+0))+INDEX(CdP,2,i_P+0)</f>
        <v>0</v>
      </c>
      <c r="R965" s="419" t="n">
        <f aca="false">Poussee/(g*ISP)</f>
        <v>0</v>
      </c>
      <c r="S965" s="420" t="n">
        <f aca="false">S964-Débit*pas</f>
        <v>1.4843</v>
      </c>
      <c r="T965" s="418" t="n">
        <f aca="false">m*g</f>
        <v>14.560983</v>
      </c>
      <c r="U965" s="422" t="n">
        <f aca="false">IF(pos_xz&lt;L_rampe,Poids*COS(Beta),0)</f>
        <v>0</v>
      </c>
      <c r="V965" s="419" t="n">
        <f aca="false">Rho_moyen*(20000-Alt_rampe-pos_z)/(20000+Alt_rampe+pos_z)</f>
        <v>1.22607977250488</v>
      </c>
      <c r="W965" s="418" t="n">
        <f aca="false">1/2*Rho*Sref*Cx*vit_xz^2</f>
        <v>5.60098083881674</v>
      </c>
      <c r="X965" s="402"/>
      <c r="Y965" s="423" t="str">
        <f aca="false">IF(AND(pos_z&lt;=0,K964&gt;0),"Impact balistique","") &amp; IF(AND(H966&lt;0,vit_z&gt;=0),"Apogée","") &amp; IF(AND(Poussee=0,Q964&gt;0),"Fin de propulsion","") &amp; IF(AND(L966&gt;L_rampe,pos_xz&lt;=L_rampe),"Sortie de rampe","")</f>
        <v/>
      </c>
      <c r="Z965" s="424" t="str">
        <f aca="false">IF(ABS(t-T_para)&lt;pas/2,"Para","")</f>
        <v/>
      </c>
      <c r="AA965" s="425" t="str">
        <f aca="false">IF(ABS(t-T_satellite)&lt;pas/2,"Satellite","")</f>
        <v/>
      </c>
      <c r="AB965" s="413"/>
      <c r="AC965" s="421" t="e">
        <f aca="false">IF(ABS(t-ROUND(t,0))&lt;0.001,t,NA())</f>
        <v>#N/A</v>
      </c>
      <c r="AD965" s="426" t="e">
        <f aca="false">IF(ABS(t-ROUND(t,0))&lt;0.001,pos_x,NA())</f>
        <v>#N/A</v>
      </c>
      <c r="AE965" s="427" t="e">
        <f aca="false">IF(t&lt;T_para, pos_z, NA())</f>
        <v>#N/A</v>
      </c>
      <c r="AF965" s="413"/>
      <c r="AG965" s="419" t="n">
        <f aca="false">IF(AND(L964&lt;L_rampe,Poussee&lt;Poids*SIN(M964)),0,(-W964+Poussee)/m-Poids*SIN(M964)/m)</f>
        <v>5.93654863974852</v>
      </c>
      <c r="AH965" s="418" t="n">
        <f aca="false">IF(AND(L964&lt;L_rampe,Poussee&lt;Poids*SIN(M964)), g*SIN(M964), (-W964+Poussee)/m)</f>
        <v>-3.77341809008143</v>
      </c>
    </row>
    <row r="966" customFormat="false" ht="12" hidden="false" customHeight="false" outlineLevel="0" collapsed="false">
      <c r="A966" s="417" t="n">
        <f aca="false">IF(B965+0.01&lt;=T_ini+ROUNDUP(Temps_fin_propu,0), 0.01, IF(K965&gt;0, 0.1, 0.0001))</f>
        <v>0.0001</v>
      </c>
      <c r="B966" s="418" t="n">
        <f aca="false">B965+pas</f>
        <v>16.5616999999998</v>
      </c>
      <c r="C966" s="402"/>
      <c r="D966" s="419" t="n">
        <f aca="false">IF(AND(L965&lt;L_rampe,Poussee&lt;Poids*SIN(M965)),0,(-W965+Poussee)/m*COS(M965)-U965/m*SIN(M965))</f>
        <v>-0.53750103394254</v>
      </c>
      <c r="E966" s="420" t="n">
        <f aca="false">IF(AND(L965&lt;L_rampe,Poussee&lt;Poids*SIN(M965)),0,(-W965+Poussee)/m*SIN(M965)+U965/m*COS(M965)-Poids/m)</f>
        <v>-6.07499441750939</v>
      </c>
      <c r="F966" s="418" t="n">
        <f aca="false">SQRT(acc_x^2+acc_z^2)</f>
        <v>6.09872646822757</v>
      </c>
      <c r="G966" s="419" t="n">
        <f aca="false">G965+acc_x*pas</f>
        <v>10.254109124723</v>
      </c>
      <c r="H966" s="420" t="n">
        <f aca="false">H965+acc_z*pas</f>
        <v>-71.255085468202</v>
      </c>
      <c r="I966" s="418" t="n">
        <f aca="false">SQRT(vit_x^2+vit_z^2)</f>
        <v>71.9891238939779</v>
      </c>
      <c r="J966" s="419" t="n">
        <f aca="false">J965+0.5*(vit_x+G965)*pas*(K965&gt;=0)</f>
        <v>211.791153319536</v>
      </c>
      <c r="K966" s="420" t="n">
        <f aca="false">K965+0.5*(vit_z+H965)*pas</f>
        <v>-8.81771187356134</v>
      </c>
      <c r="L966" s="418" t="n">
        <f aca="false">SQRT(pos_x^2+pos_z^2)</f>
        <v>211.974632131075</v>
      </c>
      <c r="M966" s="419" t="n">
        <f aca="false">IF(AND(L965&gt;L_rampe,G966&gt;0),ATAN2(G966,H966),$M$4)</f>
        <v>-1.42787051507709</v>
      </c>
      <c r="N966" s="418" t="n">
        <f aca="false">DEGREES(Beta)</f>
        <v>-81.8109542050884</v>
      </c>
      <c r="O966" s="402"/>
      <c r="P966" s="421" t="n">
        <f aca="false">MATCH(t-pas/2-T_ini,CdP_t)</f>
        <v>23</v>
      </c>
      <c r="Q966" s="418" t="n">
        <f aca="false">(INDEX(CdP,2,i_P+1)-INDEX(CdP,2,i_P+0))/(INDEX(CdP,1,i_P+1)-INDEX(CdP,1,i_P+0))*(t-pas/2-T_ini-INDEX(CdP,1,i_P+0))+INDEX(CdP,2,i_P+0)</f>
        <v>0</v>
      </c>
      <c r="R966" s="419" t="n">
        <f aca="false">Poussee/(g*ISP)</f>
        <v>0</v>
      </c>
      <c r="S966" s="420" t="n">
        <f aca="false">S965-Débit*pas</f>
        <v>1.4843</v>
      </c>
      <c r="T966" s="418" t="n">
        <f aca="false">m*g</f>
        <v>14.560983</v>
      </c>
      <c r="U966" s="422" t="n">
        <f aca="false">IF(pos_xz&lt;L_rampe,Poids*COS(Beta),0)</f>
        <v>0</v>
      </c>
      <c r="V966" s="419" t="n">
        <f aca="false">Rho_moyen*(20000-Alt_rampe-pos_z)/(20000+Alt_rampe+pos_z)</f>
        <v>1.22608064614583</v>
      </c>
      <c r="W966" s="418" t="n">
        <f aca="false">1/2*Rho*Sref*Cx*vit_xz^2</f>
        <v>5.60107720648785</v>
      </c>
      <c r="X966" s="402"/>
      <c r="Y966" s="423" t="str">
        <f aca="false">IF(AND(pos_z&lt;=0,K965&gt;0),"Impact balistique","") &amp; IF(AND(H967&lt;0,vit_z&gt;=0),"Apogée","") &amp; IF(AND(Poussee=0,Q965&gt;0),"Fin de propulsion","") &amp; IF(AND(L967&gt;L_rampe,pos_xz&lt;=L_rampe),"Sortie de rampe","")</f>
        <v/>
      </c>
      <c r="Z966" s="424" t="str">
        <f aca="false">IF(ABS(t-T_para)&lt;pas/2,"Para","")</f>
        <v/>
      </c>
      <c r="AA966" s="425" t="str">
        <f aca="false">IF(ABS(t-T_satellite)&lt;pas/2,"Satellite","")</f>
        <v/>
      </c>
      <c r="AB966" s="413"/>
      <c r="AC966" s="421" t="e">
        <f aca="false">IF(ABS(t-ROUND(t,0))&lt;0.001,t,NA())</f>
        <v>#N/A</v>
      </c>
      <c r="AD966" s="426" t="e">
        <f aca="false">IF(ABS(t-ROUND(t,0))&lt;0.001,pos_x,NA())</f>
        <v>#N/A</v>
      </c>
      <c r="AE966" s="427" t="e">
        <f aca="false">IF(t&lt;T_para, pos_z, NA())</f>
        <v>#N/A</v>
      </c>
      <c r="AF966" s="413"/>
      <c r="AG966" s="419" t="n">
        <f aca="false">IF(AND(L965&lt;L_rampe,Poussee&lt;Poids*SIN(M965)),0,(-W965+Poussee)/m-Poids*SIN(M965)/m)</f>
        <v>5.93648642748652</v>
      </c>
      <c r="AH966" s="418" t="n">
        <f aca="false">IF(AND(L965&lt;L_rampe,Poussee&lt;Poids*SIN(M965)), g*SIN(M965), (-W965+Poussee)/m)</f>
        <v>-3.77348301476571</v>
      </c>
    </row>
    <row r="967" customFormat="false" ht="12" hidden="false" customHeight="false" outlineLevel="0" collapsed="false">
      <c r="A967" s="417" t="n">
        <f aca="false">IF(B966+0.01&lt;=T_ini+ROUNDUP(Temps_fin_propu,0), 0.01, IF(K966&gt;0, 0.1, 0.0001))</f>
        <v>0.0001</v>
      </c>
      <c r="B967" s="418" t="n">
        <f aca="false">B966+pas</f>
        <v>16.5617999999998</v>
      </c>
      <c r="C967" s="402"/>
      <c r="D967" s="419" t="n">
        <f aca="false">IF(AND(L966&lt;L_rampe,Poussee&lt;Poids*SIN(M966)),0,(-W966+Poussee)/m*COS(M966)-U966/m*SIN(M966))</f>
        <v>-0.537503031919379</v>
      </c>
      <c r="E967" s="420" t="n">
        <f aca="false">IF(AND(L966&lt;L_rampe,Poussee&lt;Poids*SIN(M966)),0,(-W966+Poussee)/m*SIN(M966)+U966/m*COS(M966)-Poids/m)</f>
        <v>-6.07492911154116</v>
      </c>
      <c r="F967" s="418" t="n">
        <f aca="false">SQRT(acc_x^2+acc_z^2)</f>
        <v>6.09866159247853</v>
      </c>
      <c r="G967" s="419" t="n">
        <f aca="false">G966+acc_x*pas</f>
        <v>10.2540553744198</v>
      </c>
      <c r="H967" s="420" t="n">
        <f aca="false">H966+acc_z*pas</f>
        <v>-71.2556929611132</v>
      </c>
      <c r="I967" s="418" t="n">
        <f aca="false">SQRT(vit_x^2+vit_z^2)</f>
        <v>71.9897175365351</v>
      </c>
      <c r="J967" s="419" t="n">
        <f aca="false">J966+0.5*(vit_x+G966)*pas*(K966&gt;=0)</f>
        <v>211.791153319536</v>
      </c>
      <c r="K967" s="420" t="n">
        <f aca="false">K966+0.5*(vit_z+H966)*pas</f>
        <v>-8.82483741248281</v>
      </c>
      <c r="L967" s="418" t="n">
        <f aca="false">SQRT(pos_x^2+pos_z^2)</f>
        <v>211.9749286585</v>
      </c>
      <c r="M967" s="419" t="n">
        <f aca="false">IF(AND(L966&gt;L_rampe,G967&gt;0),ATAN2(G967,H967),$M$4)</f>
        <v>-1.42787245609519</v>
      </c>
      <c r="N967" s="418" t="n">
        <f aca="false">DEGREES(Beta)</f>
        <v>-81.8110654172333</v>
      </c>
      <c r="O967" s="402"/>
      <c r="P967" s="421" t="n">
        <f aca="false">MATCH(t-pas/2-T_ini,CdP_t)</f>
        <v>23</v>
      </c>
      <c r="Q967" s="418" t="n">
        <f aca="false">(INDEX(CdP,2,i_P+1)-INDEX(CdP,2,i_P+0))/(INDEX(CdP,1,i_P+1)-INDEX(CdP,1,i_P+0))*(t-pas/2-T_ini-INDEX(CdP,1,i_P+0))+INDEX(CdP,2,i_P+0)</f>
        <v>0</v>
      </c>
      <c r="R967" s="419" t="n">
        <f aca="false">Poussee/(g*ISP)</f>
        <v>0</v>
      </c>
      <c r="S967" s="420" t="n">
        <f aca="false">S966-Débit*pas</f>
        <v>1.4843</v>
      </c>
      <c r="T967" s="418" t="n">
        <f aca="false">m*g</f>
        <v>14.560983</v>
      </c>
      <c r="U967" s="422" t="n">
        <f aca="false">IF(pos_xz&lt;L_rampe,Poids*COS(Beta),0)</f>
        <v>0</v>
      </c>
      <c r="V967" s="419" t="n">
        <f aca="false">Rho_moyen*(20000-Alt_rampe-pos_z)/(20000+Alt_rampe+pos_z)</f>
        <v>1.22608151979485</v>
      </c>
      <c r="W967" s="418" t="n">
        <f aca="false">1/2*Rho*Sref*Cx*vit_xz^2</f>
        <v>5.60117357412116</v>
      </c>
      <c r="X967" s="402"/>
      <c r="Y967" s="423" t="str">
        <f aca="false">IF(AND(pos_z&lt;=0,K966&gt;0),"Impact balistique","") &amp; IF(AND(H968&lt;0,vit_z&gt;=0),"Apogée","") &amp; IF(AND(Poussee=0,Q966&gt;0),"Fin de propulsion","") &amp; IF(AND(L968&gt;L_rampe,pos_xz&lt;=L_rampe),"Sortie de rampe","")</f>
        <v/>
      </c>
      <c r="Z967" s="424" t="str">
        <f aca="false">IF(ABS(t-T_para)&lt;pas/2,"Para","")</f>
        <v/>
      </c>
      <c r="AA967" s="425" t="str">
        <f aca="false">IF(ABS(t-T_satellite)&lt;pas/2,"Satellite","")</f>
        <v/>
      </c>
      <c r="AB967" s="413"/>
      <c r="AC967" s="421" t="e">
        <f aca="false">IF(ABS(t-ROUND(t,0))&lt;0.001,t,NA())</f>
        <v>#N/A</v>
      </c>
      <c r="AD967" s="426" t="e">
        <f aca="false">IF(ABS(t-ROUND(t,0))&lt;0.001,pos_x,NA())</f>
        <v>#N/A</v>
      </c>
      <c r="AE967" s="427" t="e">
        <f aca="false">IF(t&lt;T_para, pos_z, NA())</f>
        <v>#N/A</v>
      </c>
      <c r="AF967" s="413"/>
      <c r="AG967" s="419" t="n">
        <f aca="false">IF(AND(L966&lt;L_rampe,Poussee&lt;Poids*SIN(M966)),0,(-W966+Poussee)/m-Poids*SIN(M966)/m)</f>
        <v>5.93642421515443</v>
      </c>
      <c r="AH967" s="418" t="n">
        <f aca="false">IF(AND(L966&lt;L_rampe,Poussee&lt;Poids*SIN(M966)), g*SIN(M966), (-W966+Poussee)/m)</f>
        <v>-3.77354793942455</v>
      </c>
    </row>
    <row r="968" customFormat="false" ht="12" hidden="false" customHeight="false" outlineLevel="0" collapsed="false">
      <c r="A968" s="417" t="n">
        <f aca="false">IF(B967+0.01&lt;=T_ini+ROUNDUP(Temps_fin_propu,0), 0.01, IF(K967&gt;0, 0.1, 0.0001))</f>
        <v>0.0001</v>
      </c>
      <c r="B968" s="418" t="n">
        <f aca="false">B967+pas</f>
        <v>16.5618999999998</v>
      </c>
      <c r="C968" s="402"/>
      <c r="D968" s="419" t="n">
        <f aca="false">IF(AND(L967&lt;L_rampe,Poussee&lt;Poids*SIN(M967)),0,(-W967+Poussee)/m*COS(M967)-U967/m*SIN(M967))</f>
        <v>-0.537505029798666</v>
      </c>
      <c r="E968" s="420" t="n">
        <f aca="false">IF(AND(L967&lt;L_rampe,Poussee&lt;Poids*SIN(M967)),0,(-W967+Poussee)/m*SIN(M967)+U967/m*COS(M967)-Poids/m)</f>
        <v>-6.07486380559898</v>
      </c>
      <c r="F968" s="418" t="n">
        <f aca="false">SQRT(acc_x^2+acc_z^2)</f>
        <v>6.09859671675668</v>
      </c>
      <c r="G968" s="419" t="n">
        <f aca="false">G967+acc_x*pas</f>
        <v>10.2540016239168</v>
      </c>
      <c r="H968" s="420" t="n">
        <f aca="false">H967+acc_z*pas</f>
        <v>-71.2563004474937</v>
      </c>
      <c r="I968" s="418" t="n">
        <f aca="false">SQRT(vit_x^2+vit_z^2)</f>
        <v>71.9903111728709</v>
      </c>
      <c r="J968" s="419" t="n">
        <f aca="false">J967+0.5*(vit_x+G967)*pas*(K967&gt;=0)</f>
        <v>211.791153319536</v>
      </c>
      <c r="K968" s="420" t="n">
        <f aca="false">K967+0.5*(vit_z+H967)*pas</f>
        <v>-8.83196301215324</v>
      </c>
      <c r="L968" s="418" t="n">
        <f aca="false">SQRT(pos_x^2+pos_z^2)</f>
        <v>211.975225427566</v>
      </c>
      <c r="M968" s="419" t="n">
        <f aca="false">IF(AND(L967&gt;L_rampe,G968&gt;0),ATAN2(G968,H968),$M$4)</f>
        <v>-1.4278743970711</v>
      </c>
      <c r="N968" s="418" t="n">
        <f aca="false">DEGREES(Beta)</f>
        <v>-81.8111766269611</v>
      </c>
      <c r="O968" s="402"/>
      <c r="P968" s="421" t="n">
        <f aca="false">MATCH(t-pas/2-T_ini,CdP_t)</f>
        <v>23</v>
      </c>
      <c r="Q968" s="418" t="n">
        <f aca="false">(INDEX(CdP,2,i_P+1)-INDEX(CdP,2,i_P+0))/(INDEX(CdP,1,i_P+1)-INDEX(CdP,1,i_P+0))*(t-pas/2-T_ini-INDEX(CdP,1,i_P+0))+INDEX(CdP,2,i_P+0)</f>
        <v>0</v>
      </c>
      <c r="R968" s="419" t="n">
        <f aca="false">Poussee/(g*ISP)</f>
        <v>0</v>
      </c>
      <c r="S968" s="420" t="n">
        <f aca="false">S967-Débit*pas</f>
        <v>1.4843</v>
      </c>
      <c r="T968" s="418" t="n">
        <f aca="false">m*g</f>
        <v>14.560983</v>
      </c>
      <c r="U968" s="422" t="n">
        <f aca="false">IF(pos_xz&lt;L_rampe,Poids*COS(Beta),0)</f>
        <v>0</v>
      </c>
      <c r="V968" s="419" t="n">
        <f aca="false">Rho_moyen*(20000-Alt_rampe-pos_z)/(20000+Alt_rampe+pos_z)</f>
        <v>1.22608239345194</v>
      </c>
      <c r="W968" s="418" t="n">
        <f aca="false">1/2*Rho*Sref*Cx*vit_xz^2</f>
        <v>5.60126994171666</v>
      </c>
      <c r="X968" s="402"/>
      <c r="Y968" s="423" t="str">
        <f aca="false">IF(AND(pos_z&lt;=0,K967&gt;0),"Impact balistique","") &amp; IF(AND(H969&lt;0,vit_z&gt;=0),"Apogée","") &amp; IF(AND(Poussee=0,Q967&gt;0),"Fin de propulsion","") &amp; IF(AND(L969&gt;L_rampe,pos_xz&lt;=L_rampe),"Sortie de rampe","")</f>
        <v/>
      </c>
      <c r="Z968" s="424" t="str">
        <f aca="false">IF(ABS(t-T_para)&lt;pas/2,"Para","")</f>
        <v/>
      </c>
      <c r="AA968" s="425" t="str">
        <f aca="false">IF(ABS(t-T_satellite)&lt;pas/2,"Satellite","")</f>
        <v/>
      </c>
      <c r="AB968" s="413"/>
      <c r="AC968" s="421" t="e">
        <f aca="false">IF(ABS(t-ROUND(t,0))&lt;0.001,t,NA())</f>
        <v>#N/A</v>
      </c>
      <c r="AD968" s="426" t="e">
        <f aca="false">IF(ABS(t-ROUND(t,0))&lt;0.001,pos_x,NA())</f>
        <v>#N/A</v>
      </c>
      <c r="AE968" s="427" t="e">
        <f aca="false">IF(t&lt;T_para, pos_z, NA())</f>
        <v>#N/A</v>
      </c>
      <c r="AF968" s="413"/>
      <c r="AG968" s="419" t="n">
        <f aca="false">IF(AND(L967&lt;L_rampe,Poussee&lt;Poids*SIN(M967)),0,(-W967+Poussee)/m-Poids*SIN(M967)/m)</f>
        <v>5.93636200275227</v>
      </c>
      <c r="AH968" s="418" t="n">
        <f aca="false">IF(AND(L967&lt;L_rampe,Poussee&lt;Poids*SIN(M967)), g*SIN(M967), (-W967+Poussee)/m)</f>
        <v>-3.77361286405792</v>
      </c>
    </row>
    <row r="969" customFormat="false" ht="12" hidden="false" customHeight="false" outlineLevel="0" collapsed="false">
      <c r="A969" s="417" t="n">
        <f aca="false">IF(B968+0.01&lt;=T_ini+ROUNDUP(Temps_fin_propu,0), 0.01, IF(K968&gt;0, 0.1, 0.0001))</f>
        <v>0.0001</v>
      </c>
      <c r="B969" s="418" t="n">
        <f aca="false">B968+pas</f>
        <v>16.5619999999998</v>
      </c>
      <c r="C969" s="402"/>
      <c r="D969" s="419" t="n">
        <f aca="false">IF(AND(L968&lt;L_rampe,Poussee&lt;Poids*SIN(M968)),0,(-W968+Poussee)/m*COS(M968)-U968/m*SIN(M968))</f>
        <v>-0.537507027580403</v>
      </c>
      <c r="E969" s="420" t="n">
        <f aca="false">IF(AND(L968&lt;L_rampe,Poussee&lt;Poids*SIN(M968)),0,(-W968+Poussee)/m*SIN(M968)+U968/m*COS(M968)-Poids/m)</f>
        <v>-6.07479849968287</v>
      </c>
      <c r="F969" s="418" t="n">
        <f aca="false">SQRT(acc_x^2+acc_z^2)</f>
        <v>6.09853184106204</v>
      </c>
      <c r="G969" s="419" t="n">
        <f aca="false">G968+acc_x*pas</f>
        <v>10.2539478732141</v>
      </c>
      <c r="H969" s="420" t="n">
        <f aca="false">H968+acc_z*pas</f>
        <v>-71.2569079273437</v>
      </c>
      <c r="I969" s="418" t="n">
        <f aca="false">SQRT(vit_x^2+vit_z^2)</f>
        <v>71.9909048029856</v>
      </c>
      <c r="J969" s="419" t="n">
        <f aca="false">J968+0.5*(vit_x+G968)*pas*(K968&gt;=0)</f>
        <v>211.791153319536</v>
      </c>
      <c r="K969" s="420" t="n">
        <f aca="false">K968+0.5*(vit_z+H968)*pas</f>
        <v>-8.83908867257198</v>
      </c>
      <c r="L969" s="418" t="n">
        <f aca="false">SQRT(pos_x^2+pos_z^2)</f>
        <v>211.975522438278</v>
      </c>
      <c r="M969" s="419" t="n">
        <f aca="false">IF(AND(L968&gt;L_rampe,G969&gt;0),ATAN2(G969,H969),$M$4)</f>
        <v>-1.42787633800483</v>
      </c>
      <c r="N969" s="418" t="n">
        <f aca="false">DEGREES(Beta)</f>
        <v>-81.8112878342719</v>
      </c>
      <c r="O969" s="402"/>
      <c r="P969" s="421" t="n">
        <f aca="false">MATCH(t-pas/2-T_ini,CdP_t)</f>
        <v>23</v>
      </c>
      <c r="Q969" s="418" t="n">
        <f aca="false">(INDEX(CdP,2,i_P+1)-INDEX(CdP,2,i_P+0))/(INDEX(CdP,1,i_P+1)-INDEX(CdP,1,i_P+0))*(t-pas/2-T_ini-INDEX(CdP,1,i_P+0))+INDEX(CdP,2,i_P+0)</f>
        <v>0</v>
      </c>
      <c r="R969" s="419" t="n">
        <f aca="false">Poussee/(g*ISP)</f>
        <v>0</v>
      </c>
      <c r="S969" s="420" t="n">
        <f aca="false">S968-Débit*pas</f>
        <v>1.4843</v>
      </c>
      <c r="T969" s="418" t="n">
        <f aca="false">m*g</f>
        <v>14.560983</v>
      </c>
      <c r="U969" s="422" t="n">
        <f aca="false">IF(pos_xz&lt;L_rampe,Poids*COS(Beta),0)</f>
        <v>0</v>
      </c>
      <c r="V969" s="419" t="n">
        <f aca="false">Rho_moyen*(20000-Alt_rampe-pos_z)/(20000+Alt_rampe+pos_z)</f>
        <v>1.2260832671171</v>
      </c>
      <c r="W969" s="418" t="n">
        <f aca="false">1/2*Rho*Sref*Cx*vit_xz^2</f>
        <v>5.60136630927431</v>
      </c>
      <c r="X969" s="402"/>
      <c r="Y969" s="423" t="str">
        <f aca="false">IF(AND(pos_z&lt;=0,K968&gt;0),"Impact balistique","") &amp; IF(AND(H970&lt;0,vit_z&gt;=0),"Apogée","") &amp; IF(AND(Poussee=0,Q968&gt;0),"Fin de propulsion","") &amp; IF(AND(L970&gt;L_rampe,pos_xz&lt;=L_rampe),"Sortie de rampe","")</f>
        <v/>
      </c>
      <c r="Z969" s="424" t="str">
        <f aca="false">IF(ABS(t-T_para)&lt;pas/2,"Para","")</f>
        <v/>
      </c>
      <c r="AA969" s="425" t="str">
        <f aca="false">IF(ABS(t-T_satellite)&lt;pas/2,"Satellite","")</f>
        <v/>
      </c>
      <c r="AB969" s="413"/>
      <c r="AC969" s="421" t="e">
        <f aca="false">IF(ABS(t-ROUND(t,0))&lt;0.001,t,NA())</f>
        <v>#N/A</v>
      </c>
      <c r="AD969" s="426" t="e">
        <f aca="false">IF(ABS(t-ROUND(t,0))&lt;0.001,pos_x,NA())</f>
        <v>#N/A</v>
      </c>
      <c r="AE969" s="427" t="e">
        <f aca="false">IF(t&lt;T_para, pos_z, NA())</f>
        <v>#N/A</v>
      </c>
      <c r="AF969" s="413"/>
      <c r="AG969" s="419" t="n">
        <f aca="false">IF(AND(L968&lt;L_rampe,Poussee&lt;Poids*SIN(M968)),0,(-W968+Poussee)/m-Poids*SIN(M968)/m)</f>
        <v>5.93629979028006</v>
      </c>
      <c r="AH969" s="418" t="n">
        <f aca="false">IF(AND(L968&lt;L_rampe,Poussee&lt;Poids*SIN(M968)), g*SIN(M968), (-W968+Poussee)/m)</f>
        <v>-3.77367778866581</v>
      </c>
    </row>
    <row r="970" customFormat="false" ht="12" hidden="false" customHeight="false" outlineLevel="0" collapsed="false">
      <c r="A970" s="417" t="n">
        <f aca="false">IF(B969+0.01&lt;=T_ini+ROUNDUP(Temps_fin_propu,0), 0.01, IF(K969&gt;0, 0.1, 0.0001))</f>
        <v>0.0001</v>
      </c>
      <c r="B970" s="418" t="n">
        <f aca="false">B969+pas</f>
        <v>16.5620999999998</v>
      </c>
      <c r="C970" s="402"/>
      <c r="D970" s="419" t="n">
        <f aca="false">IF(AND(L969&lt;L_rampe,Poussee&lt;Poids*SIN(M969)),0,(-W969+Poussee)/m*COS(M969)-U969/m*SIN(M969))</f>
        <v>-0.537509025264589</v>
      </c>
      <c r="E970" s="420" t="n">
        <f aca="false">IF(AND(L969&lt;L_rampe,Poussee&lt;Poids*SIN(M969)),0,(-W969+Poussee)/m*SIN(M969)+U969/m*COS(M969)-Poids/m)</f>
        <v>-6.07473319379284</v>
      </c>
      <c r="F970" s="418" t="n">
        <f aca="false">SQRT(acc_x^2+acc_z^2)</f>
        <v>6.09846696539461</v>
      </c>
      <c r="G970" s="419" t="n">
        <f aca="false">G969+acc_x*pas</f>
        <v>10.2538941223115</v>
      </c>
      <c r="H970" s="420" t="n">
        <f aca="false">H969+acc_z*pas</f>
        <v>-71.2575154006631</v>
      </c>
      <c r="I970" s="418" t="n">
        <f aca="false">SQRT(vit_x^2+vit_z^2)</f>
        <v>71.991498426879</v>
      </c>
      <c r="J970" s="419" t="n">
        <f aca="false">J969+0.5*(vit_x+G969)*pas*(K969&gt;=0)</f>
        <v>211.791153319536</v>
      </c>
      <c r="K970" s="420" t="n">
        <f aca="false">K969+0.5*(vit_z+H969)*pas</f>
        <v>-8.84621439373838</v>
      </c>
      <c r="L970" s="418" t="n">
        <f aca="false">SQRT(pos_x^2+pos_z^2)</f>
        <v>211.975819690641</v>
      </c>
      <c r="M970" s="419" t="n">
        <f aca="false">IF(AND(L969&gt;L_rampe,G970&gt;0),ATAN2(G970,H970),$M$4)</f>
        <v>-1.42787827889637</v>
      </c>
      <c r="N970" s="418" t="n">
        <f aca="false">DEGREES(Beta)</f>
        <v>-81.8113990391659</v>
      </c>
      <c r="O970" s="402"/>
      <c r="P970" s="421" t="n">
        <f aca="false">MATCH(t-pas/2-T_ini,CdP_t)</f>
        <v>23</v>
      </c>
      <c r="Q970" s="418" t="n">
        <f aca="false">(INDEX(CdP,2,i_P+1)-INDEX(CdP,2,i_P+0))/(INDEX(CdP,1,i_P+1)-INDEX(CdP,1,i_P+0))*(t-pas/2-T_ini-INDEX(CdP,1,i_P+0))+INDEX(CdP,2,i_P+0)</f>
        <v>0</v>
      </c>
      <c r="R970" s="419" t="n">
        <f aca="false">Poussee/(g*ISP)</f>
        <v>0</v>
      </c>
      <c r="S970" s="420" t="n">
        <f aca="false">S969-Débit*pas</f>
        <v>1.4843</v>
      </c>
      <c r="T970" s="418" t="n">
        <f aca="false">m*g</f>
        <v>14.560983</v>
      </c>
      <c r="U970" s="422" t="n">
        <f aca="false">IF(pos_xz&lt;L_rampe,Poids*COS(Beta),0)</f>
        <v>0</v>
      </c>
      <c r="V970" s="419" t="n">
        <f aca="false">Rho_moyen*(20000-Alt_rampe-pos_z)/(20000+Alt_rampe+pos_z)</f>
        <v>1.22608414079033</v>
      </c>
      <c r="W970" s="418" t="n">
        <f aca="false">1/2*Rho*Sref*Cx*vit_xz^2</f>
        <v>5.60146267679409</v>
      </c>
      <c r="X970" s="402"/>
      <c r="Y970" s="423" t="str">
        <f aca="false">IF(AND(pos_z&lt;=0,K969&gt;0),"Impact balistique","") &amp; IF(AND(H971&lt;0,vit_z&gt;=0),"Apogée","") &amp; IF(AND(Poussee=0,Q969&gt;0),"Fin de propulsion","") &amp; IF(AND(L971&gt;L_rampe,pos_xz&lt;=L_rampe),"Sortie de rampe","")</f>
        <v/>
      </c>
      <c r="Z970" s="424" t="str">
        <f aca="false">IF(ABS(t-T_para)&lt;pas/2,"Para","")</f>
        <v/>
      </c>
      <c r="AA970" s="425" t="str">
        <f aca="false">IF(ABS(t-T_satellite)&lt;pas/2,"Satellite","")</f>
        <v/>
      </c>
      <c r="AB970" s="413"/>
      <c r="AC970" s="421" t="e">
        <f aca="false">IF(ABS(t-ROUND(t,0))&lt;0.001,t,NA())</f>
        <v>#N/A</v>
      </c>
      <c r="AD970" s="426" t="e">
        <f aca="false">IF(ABS(t-ROUND(t,0))&lt;0.001,pos_x,NA())</f>
        <v>#N/A</v>
      </c>
      <c r="AE970" s="427" t="e">
        <f aca="false">IF(t&lt;T_para, pos_z, NA())</f>
        <v>#N/A</v>
      </c>
      <c r="AF970" s="413"/>
      <c r="AG970" s="419" t="n">
        <f aca="false">IF(AND(L969&lt;L_rampe,Poussee&lt;Poids*SIN(M969)),0,(-W969+Poussee)/m-Poids*SIN(M969)/m)</f>
        <v>5.93623757773783</v>
      </c>
      <c r="AH970" s="418" t="n">
        <f aca="false">IF(AND(L969&lt;L_rampe,Poussee&lt;Poids*SIN(M969)), g*SIN(M969), (-W969+Poussee)/m)</f>
        <v>-3.77374271324821</v>
      </c>
    </row>
    <row r="971" customFormat="false" ht="12" hidden="false" customHeight="false" outlineLevel="0" collapsed="false">
      <c r="A971" s="417" t="n">
        <f aca="false">IF(B970+0.01&lt;=T_ini+ROUNDUP(Temps_fin_propu,0), 0.01, IF(K970&gt;0, 0.1, 0.0001))</f>
        <v>0.0001</v>
      </c>
      <c r="B971" s="418" t="n">
        <f aca="false">B970+pas</f>
        <v>16.5621999999998</v>
      </c>
      <c r="C971" s="402"/>
      <c r="D971" s="419" t="n">
        <f aca="false">IF(AND(L970&lt;L_rampe,Poussee&lt;Poids*SIN(M970)),0,(-W970+Poussee)/m*COS(M970)-U970/m*SIN(M970))</f>
        <v>-0.537511022851225</v>
      </c>
      <c r="E971" s="420" t="n">
        <f aca="false">IF(AND(L970&lt;L_rampe,Poussee&lt;Poids*SIN(M970)),0,(-W970+Poussee)/m*SIN(M970)+U970/m*COS(M970)-Poids/m)</f>
        <v>-6.07466788792891</v>
      </c>
      <c r="F971" s="418" t="n">
        <f aca="false">SQRT(acc_x^2+acc_z^2)</f>
        <v>6.09840208975443</v>
      </c>
      <c r="G971" s="419" t="n">
        <f aca="false">G970+acc_x*pas</f>
        <v>10.2538403712093</v>
      </c>
      <c r="H971" s="420" t="n">
        <f aca="false">H970+acc_z*pas</f>
        <v>-71.2581228674519</v>
      </c>
      <c r="I971" s="418" t="n">
        <f aca="false">SQRT(vit_x^2+vit_z^2)</f>
        <v>71.992092044551</v>
      </c>
      <c r="J971" s="419" t="n">
        <f aca="false">J970+0.5*(vit_x+G970)*pas*(K970&gt;=0)</f>
        <v>211.791153319536</v>
      </c>
      <c r="K971" s="420" t="n">
        <f aca="false">K970+0.5*(vit_z+H970)*pas</f>
        <v>-8.85334017565179</v>
      </c>
      <c r="L971" s="418" t="n">
        <f aca="false">SQRT(pos_x^2+pos_z^2)</f>
        <v>211.976117184661</v>
      </c>
      <c r="M971" s="419" t="n">
        <f aca="false">IF(AND(L970&gt;L_rampe,G971&gt;0),ATAN2(G971,H971),$M$4)</f>
        <v>-1.42788021974573</v>
      </c>
      <c r="N971" s="418" t="n">
        <f aca="false">DEGREES(Beta)</f>
        <v>-81.8115102416429</v>
      </c>
      <c r="O971" s="402"/>
      <c r="P971" s="421" t="n">
        <f aca="false">MATCH(t-pas/2-T_ini,CdP_t)</f>
        <v>23</v>
      </c>
      <c r="Q971" s="418" t="n">
        <f aca="false">(INDEX(CdP,2,i_P+1)-INDEX(CdP,2,i_P+0))/(INDEX(CdP,1,i_P+1)-INDEX(CdP,1,i_P+0))*(t-pas/2-T_ini-INDEX(CdP,1,i_P+0))+INDEX(CdP,2,i_P+0)</f>
        <v>0</v>
      </c>
      <c r="R971" s="419" t="n">
        <f aca="false">Poussee/(g*ISP)</f>
        <v>0</v>
      </c>
      <c r="S971" s="420" t="n">
        <f aca="false">S970-Débit*pas</f>
        <v>1.4843</v>
      </c>
      <c r="T971" s="418" t="n">
        <f aca="false">m*g</f>
        <v>14.560983</v>
      </c>
      <c r="U971" s="422" t="n">
        <f aca="false">IF(pos_xz&lt;L_rampe,Poids*COS(Beta),0)</f>
        <v>0</v>
      </c>
      <c r="V971" s="419" t="n">
        <f aca="false">Rho_moyen*(20000-Alt_rampe-pos_z)/(20000+Alt_rampe+pos_z)</f>
        <v>1.22608501447163</v>
      </c>
      <c r="W971" s="418" t="n">
        <f aca="false">1/2*Rho*Sref*Cx*vit_xz^2</f>
        <v>5.60155904427598</v>
      </c>
      <c r="X971" s="402"/>
      <c r="Y971" s="423" t="str">
        <f aca="false">IF(AND(pos_z&lt;=0,K970&gt;0),"Impact balistique","") &amp; IF(AND(H972&lt;0,vit_z&gt;=0),"Apogée","") &amp; IF(AND(Poussee=0,Q970&gt;0),"Fin de propulsion","") &amp; IF(AND(L972&gt;L_rampe,pos_xz&lt;=L_rampe),"Sortie de rampe","")</f>
        <v/>
      </c>
      <c r="Z971" s="424" t="str">
        <f aca="false">IF(ABS(t-T_para)&lt;pas/2,"Para","")</f>
        <v/>
      </c>
      <c r="AA971" s="425" t="str">
        <f aca="false">IF(ABS(t-T_satellite)&lt;pas/2,"Satellite","")</f>
        <v/>
      </c>
      <c r="AB971" s="413"/>
      <c r="AC971" s="421" t="e">
        <f aca="false">IF(ABS(t-ROUND(t,0))&lt;0.001,t,NA())</f>
        <v>#N/A</v>
      </c>
      <c r="AD971" s="426" t="e">
        <f aca="false">IF(ABS(t-ROUND(t,0))&lt;0.001,pos_x,NA())</f>
        <v>#N/A</v>
      </c>
      <c r="AE971" s="427" t="e">
        <f aca="false">IF(t&lt;T_para, pos_z, NA())</f>
        <v>#N/A</v>
      </c>
      <c r="AF971" s="413"/>
      <c r="AG971" s="419" t="n">
        <f aca="false">IF(AND(L970&lt;L_rampe,Poussee&lt;Poids*SIN(M970)),0,(-W970+Poussee)/m-Poids*SIN(M970)/m)</f>
        <v>5.93617536512558</v>
      </c>
      <c r="AH971" s="418" t="n">
        <f aca="false">IF(AND(L970&lt;L_rampe,Poussee&lt;Poids*SIN(M970)), g*SIN(M970), (-W970+Poussee)/m)</f>
        <v>-3.77380763780509</v>
      </c>
    </row>
    <row r="972" customFormat="false" ht="12" hidden="false" customHeight="false" outlineLevel="0" collapsed="false">
      <c r="A972" s="417" t="n">
        <f aca="false">IF(B971+0.01&lt;=T_ini+ROUNDUP(Temps_fin_propu,0), 0.01, IF(K971&gt;0, 0.1, 0.0001))</f>
        <v>0.0001</v>
      </c>
      <c r="B972" s="418" t="n">
        <f aca="false">B971+pas</f>
        <v>16.5622999999998</v>
      </c>
      <c r="C972" s="402"/>
      <c r="D972" s="419" t="n">
        <f aca="false">IF(AND(L971&lt;L_rampe,Poussee&lt;Poids*SIN(M971)),0,(-W971+Poussee)/m*COS(M971)-U971/m*SIN(M971))</f>
        <v>-0.537513020340312</v>
      </c>
      <c r="E972" s="420" t="n">
        <f aca="false">IF(AND(L971&lt;L_rampe,Poussee&lt;Poids*SIN(M971)),0,(-W971+Poussee)/m*SIN(M971)+U971/m*COS(M971)-Poids/m)</f>
        <v>-6.0746025820911</v>
      </c>
      <c r="F972" s="418" t="n">
        <f aca="false">SQRT(acc_x^2+acc_z^2)</f>
        <v>6.09833721414151</v>
      </c>
      <c r="G972" s="419" t="n">
        <f aca="false">G971+acc_x*pas</f>
        <v>10.2537866199072</v>
      </c>
      <c r="H972" s="420" t="n">
        <f aca="false">H971+acc_z*pas</f>
        <v>-71.2587303277101</v>
      </c>
      <c r="I972" s="418" t="n">
        <f aca="false">SQRT(vit_x^2+vit_z^2)</f>
        <v>71.9926856560019</v>
      </c>
      <c r="J972" s="419" t="n">
        <f aca="false">J971+0.5*(vit_x+G971)*pas*(K971&gt;=0)</f>
        <v>211.791153319536</v>
      </c>
      <c r="K972" s="420" t="n">
        <f aca="false">K971+0.5*(vit_z+H971)*pas</f>
        <v>-8.86046601831154</v>
      </c>
      <c r="L972" s="418" t="n">
        <f aca="false">SQRT(pos_x^2+pos_z^2)</f>
        <v>211.976414920342</v>
      </c>
      <c r="M972" s="419" t="n">
        <f aca="false">IF(AND(L971&gt;L_rampe,G972&gt;0),ATAN2(G972,H972),$M$4)</f>
        <v>-1.42788216055291</v>
      </c>
      <c r="N972" s="418" t="n">
        <f aca="false">DEGREES(Beta)</f>
        <v>-81.8116214417033</v>
      </c>
      <c r="O972" s="402"/>
      <c r="P972" s="421" t="n">
        <f aca="false">MATCH(t-pas/2-T_ini,CdP_t)</f>
        <v>23</v>
      </c>
      <c r="Q972" s="418" t="n">
        <f aca="false">(INDEX(CdP,2,i_P+1)-INDEX(CdP,2,i_P+0))/(INDEX(CdP,1,i_P+1)-INDEX(CdP,1,i_P+0))*(t-pas/2-T_ini-INDEX(CdP,1,i_P+0))+INDEX(CdP,2,i_P+0)</f>
        <v>0</v>
      </c>
      <c r="R972" s="419" t="n">
        <f aca="false">Poussee/(g*ISP)</f>
        <v>0</v>
      </c>
      <c r="S972" s="420" t="n">
        <f aca="false">S971-Débit*pas</f>
        <v>1.4843</v>
      </c>
      <c r="T972" s="418" t="n">
        <f aca="false">m*g</f>
        <v>14.560983</v>
      </c>
      <c r="U972" s="422" t="n">
        <f aca="false">IF(pos_xz&lt;L_rampe,Poids*COS(Beta),0)</f>
        <v>0</v>
      </c>
      <c r="V972" s="419" t="n">
        <f aca="false">Rho_moyen*(20000-Alt_rampe-pos_z)/(20000+Alt_rampe+pos_z)</f>
        <v>1.226085888161</v>
      </c>
      <c r="W972" s="418" t="n">
        <f aca="false">1/2*Rho*Sref*Cx*vit_xz^2</f>
        <v>5.60165541171996</v>
      </c>
      <c r="X972" s="402"/>
      <c r="Y972" s="423" t="str">
        <f aca="false">IF(AND(pos_z&lt;=0,K971&gt;0),"Impact balistique","") &amp; IF(AND(H973&lt;0,vit_z&gt;=0),"Apogée","") &amp; IF(AND(Poussee=0,Q971&gt;0),"Fin de propulsion","") &amp; IF(AND(L973&gt;L_rampe,pos_xz&lt;=L_rampe),"Sortie de rampe","")</f>
        <v/>
      </c>
      <c r="Z972" s="424" t="str">
        <f aca="false">IF(ABS(t-T_para)&lt;pas/2,"Para","")</f>
        <v/>
      </c>
      <c r="AA972" s="425" t="str">
        <f aca="false">IF(ABS(t-T_satellite)&lt;pas/2,"Satellite","")</f>
        <v/>
      </c>
      <c r="AB972" s="413"/>
      <c r="AC972" s="421" t="e">
        <f aca="false">IF(ABS(t-ROUND(t,0))&lt;0.001,t,NA())</f>
        <v>#N/A</v>
      </c>
      <c r="AD972" s="426" t="e">
        <f aca="false">IF(ABS(t-ROUND(t,0))&lt;0.001,pos_x,NA())</f>
        <v>#N/A</v>
      </c>
      <c r="AE972" s="427" t="e">
        <f aca="false">IF(t&lt;T_para, pos_z, NA())</f>
        <v>#N/A</v>
      </c>
      <c r="AF972" s="413"/>
      <c r="AG972" s="419" t="n">
        <f aca="false">IF(AND(L971&lt;L_rampe,Poussee&lt;Poids*SIN(M971)),0,(-W971+Poussee)/m-Poids*SIN(M971)/m)</f>
        <v>5.93611315244335</v>
      </c>
      <c r="AH972" s="418" t="n">
        <f aca="false">IF(AND(L971&lt;L_rampe,Poussee&lt;Poids*SIN(M971)), g*SIN(M971), (-W971+Poussee)/m)</f>
        <v>-3.77387256233645</v>
      </c>
    </row>
    <row r="973" customFormat="false" ht="12" hidden="false" customHeight="false" outlineLevel="0" collapsed="false">
      <c r="A973" s="417" t="n">
        <f aca="false">IF(B972+0.01&lt;=T_ini+ROUNDUP(Temps_fin_propu,0), 0.01, IF(K972&gt;0, 0.1, 0.0001))</f>
        <v>0.0001</v>
      </c>
      <c r="B973" s="418" t="n">
        <f aca="false">B972+pas</f>
        <v>16.5623999999998</v>
      </c>
      <c r="C973" s="402"/>
      <c r="D973" s="419" t="n">
        <f aca="false">IF(AND(L972&lt;L_rampe,Poussee&lt;Poids*SIN(M972)),0,(-W972+Poussee)/m*COS(M972)-U972/m*SIN(M972))</f>
        <v>-0.537515017731851</v>
      </c>
      <c r="E973" s="420" t="n">
        <f aca="false">IF(AND(L972&lt;L_rampe,Poussee&lt;Poids*SIN(M972)),0,(-W972+Poussee)/m*SIN(M972)+U972/m*COS(M972)-Poids/m)</f>
        <v>-6.07453727627942</v>
      </c>
      <c r="F973" s="418" t="n">
        <f aca="false">SQRT(acc_x^2+acc_z^2)</f>
        <v>6.09827233855585</v>
      </c>
      <c r="G973" s="419" t="n">
        <f aca="false">G972+acc_x*pas</f>
        <v>10.2537328684054</v>
      </c>
      <c r="H973" s="420" t="n">
        <f aca="false">H972+acc_z*pas</f>
        <v>-71.2593377814377</v>
      </c>
      <c r="I973" s="418" t="n">
        <f aca="false">SQRT(vit_x^2+vit_z^2)</f>
        <v>71.9932792612314</v>
      </c>
      <c r="J973" s="419" t="n">
        <f aca="false">J972+0.5*(vit_x+G972)*pas*(K972&gt;=0)</f>
        <v>211.791153319536</v>
      </c>
      <c r="K973" s="420" t="n">
        <f aca="false">K972+0.5*(vit_z+H972)*pas</f>
        <v>-8.867591921717</v>
      </c>
      <c r="L973" s="418" t="n">
        <f aca="false">SQRT(pos_x^2+pos_z^2)</f>
        <v>211.976712897689</v>
      </c>
      <c r="M973" s="419" t="n">
        <f aca="false">IF(AND(L972&gt;L_rampe,G973&gt;0),ATAN2(G973,H973),$M$4)</f>
        <v>-1.42788410131791</v>
      </c>
      <c r="N973" s="418" t="n">
        <f aca="false">DEGREES(Beta)</f>
        <v>-81.8117326393469</v>
      </c>
      <c r="O973" s="402"/>
      <c r="P973" s="421" t="n">
        <f aca="false">MATCH(t-pas/2-T_ini,CdP_t)</f>
        <v>23</v>
      </c>
      <c r="Q973" s="418" t="n">
        <f aca="false">(INDEX(CdP,2,i_P+1)-INDEX(CdP,2,i_P+0))/(INDEX(CdP,1,i_P+1)-INDEX(CdP,1,i_P+0))*(t-pas/2-T_ini-INDEX(CdP,1,i_P+0))+INDEX(CdP,2,i_P+0)</f>
        <v>0</v>
      </c>
      <c r="R973" s="419" t="n">
        <f aca="false">Poussee/(g*ISP)</f>
        <v>0</v>
      </c>
      <c r="S973" s="420" t="n">
        <f aca="false">S972-Débit*pas</f>
        <v>1.4843</v>
      </c>
      <c r="T973" s="418" t="n">
        <f aca="false">m*g</f>
        <v>14.560983</v>
      </c>
      <c r="U973" s="422" t="n">
        <f aca="false">IF(pos_xz&lt;L_rampe,Poids*COS(Beta),0)</f>
        <v>0</v>
      </c>
      <c r="V973" s="419" t="n">
        <f aca="false">Rho_moyen*(20000-Alt_rampe-pos_z)/(20000+Alt_rampe+pos_z)</f>
        <v>1.22608676185844</v>
      </c>
      <c r="W973" s="418" t="n">
        <f aca="false">1/2*Rho*Sref*Cx*vit_xz^2</f>
        <v>5.601751779126</v>
      </c>
      <c r="X973" s="402"/>
      <c r="Y973" s="423" t="str">
        <f aca="false">IF(AND(pos_z&lt;=0,K972&gt;0),"Impact balistique","") &amp; IF(AND(H974&lt;0,vit_z&gt;=0),"Apogée","") &amp; IF(AND(Poussee=0,Q972&gt;0),"Fin de propulsion","") &amp; IF(AND(L974&gt;L_rampe,pos_xz&lt;=L_rampe),"Sortie de rampe","")</f>
        <v/>
      </c>
      <c r="Z973" s="424" t="str">
        <f aca="false">IF(ABS(t-T_para)&lt;pas/2,"Para","")</f>
        <v/>
      </c>
      <c r="AA973" s="425" t="str">
        <f aca="false">IF(ABS(t-T_satellite)&lt;pas/2,"Satellite","")</f>
        <v/>
      </c>
      <c r="AB973" s="413"/>
      <c r="AC973" s="421" t="e">
        <f aca="false">IF(ABS(t-ROUND(t,0))&lt;0.001,t,NA())</f>
        <v>#N/A</v>
      </c>
      <c r="AD973" s="426" t="e">
        <f aca="false">IF(ABS(t-ROUND(t,0))&lt;0.001,pos_x,NA())</f>
        <v>#N/A</v>
      </c>
      <c r="AE973" s="427" t="e">
        <f aca="false">IF(t&lt;T_para, pos_z, NA())</f>
        <v>#N/A</v>
      </c>
      <c r="AF973" s="413"/>
      <c r="AG973" s="419" t="n">
        <f aca="false">IF(AND(L972&lt;L_rampe,Poussee&lt;Poids*SIN(M972)),0,(-W972+Poussee)/m-Poids*SIN(M972)/m)</f>
        <v>5.93605093969115</v>
      </c>
      <c r="AH973" s="418" t="n">
        <f aca="false">IF(AND(L972&lt;L_rampe,Poussee&lt;Poids*SIN(M972)), g*SIN(M972), (-W972+Poussee)/m)</f>
        <v>-3.77393748684226</v>
      </c>
    </row>
    <row r="974" customFormat="false" ht="12" hidden="false" customHeight="false" outlineLevel="0" collapsed="false">
      <c r="A974" s="417" t="n">
        <f aca="false">IF(B973+0.01&lt;=T_ini+ROUNDUP(Temps_fin_propu,0), 0.01, IF(K973&gt;0, 0.1, 0.0001))</f>
        <v>0.0001</v>
      </c>
      <c r="B974" s="418" t="n">
        <f aca="false">B973+pas</f>
        <v>16.5624999999998</v>
      </c>
      <c r="C974" s="402"/>
      <c r="D974" s="419" t="n">
        <f aca="false">IF(AND(L973&lt;L_rampe,Poussee&lt;Poids*SIN(M973)),0,(-W973+Poussee)/m*COS(M973)-U973/m*SIN(M973))</f>
        <v>-0.537517015025843</v>
      </c>
      <c r="E974" s="420" t="n">
        <f aca="false">IF(AND(L973&lt;L_rampe,Poussee&lt;Poids*SIN(M973)),0,(-W973+Poussee)/m*SIN(M973)+U973/m*COS(M973)-Poids/m)</f>
        <v>-6.07447197049389</v>
      </c>
      <c r="F974" s="418" t="n">
        <f aca="false">SQRT(acc_x^2+acc_z^2)</f>
        <v>6.09820746299748</v>
      </c>
      <c r="G974" s="419" t="n">
        <f aca="false">G973+acc_x*pas</f>
        <v>10.2536791167039</v>
      </c>
      <c r="H974" s="420" t="n">
        <f aca="false">H973+acc_z*pas</f>
        <v>-71.2599452286348</v>
      </c>
      <c r="I974" s="418" t="n">
        <f aca="false">SQRT(vit_x^2+vit_z^2)</f>
        <v>71.9938728602397</v>
      </c>
      <c r="J974" s="419" t="n">
        <f aca="false">J973+0.5*(vit_x+G973)*pas*(K973&gt;=0)</f>
        <v>211.791153319536</v>
      </c>
      <c r="K974" s="420" t="n">
        <f aca="false">K973+0.5*(vit_z+H973)*pas</f>
        <v>-8.8747178858675</v>
      </c>
      <c r="L974" s="418" t="n">
        <f aca="false">SQRT(pos_x^2+pos_z^2)</f>
        <v>211.977011116708</v>
      </c>
      <c r="M974" s="419" t="n">
        <f aca="false">IF(AND(L973&gt;L_rampe,G974&gt;0),ATAN2(G974,H974),$M$4)</f>
        <v>-1.42788604204074</v>
      </c>
      <c r="N974" s="418" t="n">
        <f aca="false">DEGREES(Beta)</f>
        <v>-81.811843834574</v>
      </c>
      <c r="O974" s="402"/>
      <c r="P974" s="421" t="n">
        <f aca="false">MATCH(t-pas/2-T_ini,CdP_t)</f>
        <v>23</v>
      </c>
      <c r="Q974" s="418" t="n">
        <f aca="false">(INDEX(CdP,2,i_P+1)-INDEX(CdP,2,i_P+0))/(INDEX(CdP,1,i_P+1)-INDEX(CdP,1,i_P+0))*(t-pas/2-T_ini-INDEX(CdP,1,i_P+0))+INDEX(CdP,2,i_P+0)</f>
        <v>0</v>
      </c>
      <c r="R974" s="419" t="n">
        <f aca="false">Poussee/(g*ISP)</f>
        <v>0</v>
      </c>
      <c r="S974" s="420" t="n">
        <f aca="false">S973-Débit*pas</f>
        <v>1.4843</v>
      </c>
      <c r="T974" s="418" t="n">
        <f aca="false">m*g</f>
        <v>14.560983</v>
      </c>
      <c r="U974" s="422" t="n">
        <f aca="false">IF(pos_xz&lt;L_rampe,Poids*COS(Beta),0)</f>
        <v>0</v>
      </c>
      <c r="V974" s="419" t="n">
        <f aca="false">Rho_moyen*(20000-Alt_rampe-pos_z)/(20000+Alt_rampe+pos_z)</f>
        <v>1.22608763556396</v>
      </c>
      <c r="W974" s="418" t="n">
        <f aca="false">1/2*Rho*Sref*Cx*vit_xz^2</f>
        <v>5.60184814649407</v>
      </c>
      <c r="X974" s="402"/>
      <c r="Y974" s="423" t="str">
        <f aca="false">IF(AND(pos_z&lt;=0,K973&gt;0),"Impact balistique","") &amp; IF(AND(H975&lt;0,vit_z&gt;=0),"Apogée","") &amp; IF(AND(Poussee=0,Q973&gt;0),"Fin de propulsion","") &amp; IF(AND(L975&gt;L_rampe,pos_xz&lt;=L_rampe),"Sortie de rampe","")</f>
        <v/>
      </c>
      <c r="Z974" s="424" t="str">
        <f aca="false">IF(ABS(t-T_para)&lt;pas/2,"Para","")</f>
        <v/>
      </c>
      <c r="AA974" s="425" t="str">
        <f aca="false">IF(ABS(t-T_satellite)&lt;pas/2,"Satellite","")</f>
        <v/>
      </c>
      <c r="AB974" s="413"/>
      <c r="AC974" s="421" t="e">
        <f aca="false">IF(ABS(t-ROUND(t,0))&lt;0.001,t,NA())</f>
        <v>#N/A</v>
      </c>
      <c r="AD974" s="426" t="e">
        <f aca="false">IF(ABS(t-ROUND(t,0))&lt;0.001,pos_x,NA())</f>
        <v>#N/A</v>
      </c>
      <c r="AE974" s="427" t="e">
        <f aca="false">IF(t&lt;T_para, pos_z, NA())</f>
        <v>#N/A</v>
      </c>
      <c r="AF974" s="413"/>
      <c r="AG974" s="419" t="n">
        <f aca="false">IF(AND(L973&lt;L_rampe,Poussee&lt;Poids*SIN(M973)),0,(-W973+Poussee)/m-Poids*SIN(M973)/m)</f>
        <v>5.935988726869</v>
      </c>
      <c r="AH974" s="418" t="n">
        <f aca="false">IF(AND(L973&lt;L_rampe,Poussee&lt;Poids*SIN(M973)), g*SIN(M973), (-W973+Poussee)/m)</f>
        <v>-3.77400241132251</v>
      </c>
    </row>
    <row r="975" customFormat="false" ht="12" hidden="false" customHeight="false" outlineLevel="0" collapsed="false">
      <c r="A975" s="417" t="n">
        <f aca="false">IF(B974+0.01&lt;=T_ini+ROUNDUP(Temps_fin_propu,0), 0.01, IF(K974&gt;0, 0.1, 0.0001))</f>
        <v>0.0001</v>
      </c>
      <c r="B975" s="418" t="n">
        <f aca="false">B974+pas</f>
        <v>16.5625999999998</v>
      </c>
      <c r="C975" s="402"/>
      <c r="D975" s="419" t="n">
        <f aca="false">IF(AND(L974&lt;L_rampe,Poussee&lt;Poids*SIN(M974)),0,(-W974+Poussee)/m*COS(M974)-U974/m*SIN(M974))</f>
        <v>-0.537519012222288</v>
      </c>
      <c r="E975" s="420" t="n">
        <f aca="false">IF(AND(L974&lt;L_rampe,Poussee&lt;Poids*SIN(M974)),0,(-W974+Poussee)/m*SIN(M974)+U974/m*COS(M974)-Poids/m)</f>
        <v>-6.07440666473452</v>
      </c>
      <c r="F975" s="418" t="n">
        <f aca="false">SQRT(acc_x^2+acc_z^2)</f>
        <v>6.09814258746641</v>
      </c>
      <c r="G975" s="419" t="n">
        <f aca="false">G974+acc_x*pas</f>
        <v>10.2536253648027</v>
      </c>
      <c r="H975" s="420" t="n">
        <f aca="false">H974+acc_z*pas</f>
        <v>-71.2605526693013</v>
      </c>
      <c r="I975" s="418" t="n">
        <f aca="false">SQRT(vit_x^2+vit_z^2)</f>
        <v>71.9944664530267</v>
      </c>
      <c r="J975" s="419" t="n">
        <f aca="false">J974+0.5*(vit_x+G974)*pas*(K974&gt;=0)</f>
        <v>211.791153319536</v>
      </c>
      <c r="K975" s="420" t="n">
        <f aca="false">K974+0.5*(vit_z+H974)*pas</f>
        <v>-8.8818439107624</v>
      </c>
      <c r="L975" s="418" t="n">
        <f aca="false">SQRT(pos_x^2+pos_z^2)</f>
        <v>211.977309577404</v>
      </c>
      <c r="M975" s="419" t="n">
        <f aca="false">IF(AND(L974&gt;L_rampe,G975&gt;0),ATAN2(G975,H975),$M$4)</f>
        <v>-1.42788798272139</v>
      </c>
      <c r="N975" s="418" t="n">
        <f aca="false">DEGREES(Beta)</f>
        <v>-81.8119550273846</v>
      </c>
      <c r="O975" s="402"/>
      <c r="P975" s="421" t="n">
        <f aca="false">MATCH(t-pas/2-T_ini,CdP_t)</f>
        <v>23</v>
      </c>
      <c r="Q975" s="418" t="n">
        <f aca="false">(INDEX(CdP,2,i_P+1)-INDEX(CdP,2,i_P+0))/(INDEX(CdP,1,i_P+1)-INDEX(CdP,1,i_P+0))*(t-pas/2-T_ini-INDEX(CdP,1,i_P+0))+INDEX(CdP,2,i_P+0)</f>
        <v>0</v>
      </c>
      <c r="R975" s="419" t="n">
        <f aca="false">Poussee/(g*ISP)</f>
        <v>0</v>
      </c>
      <c r="S975" s="420" t="n">
        <f aca="false">S974-Débit*pas</f>
        <v>1.4843</v>
      </c>
      <c r="T975" s="418" t="n">
        <f aca="false">m*g</f>
        <v>14.560983</v>
      </c>
      <c r="U975" s="422" t="n">
        <f aca="false">IF(pos_xz&lt;L_rampe,Poids*COS(Beta),0)</f>
        <v>0</v>
      </c>
      <c r="V975" s="419" t="n">
        <f aca="false">Rho_moyen*(20000-Alt_rampe-pos_z)/(20000+Alt_rampe+pos_z)</f>
        <v>1.22608850927754</v>
      </c>
      <c r="W975" s="418" t="n">
        <f aca="false">1/2*Rho*Sref*Cx*vit_xz^2</f>
        <v>5.60194451382416</v>
      </c>
      <c r="X975" s="402"/>
      <c r="Y975" s="423" t="str">
        <f aca="false">IF(AND(pos_z&lt;=0,K974&gt;0),"Impact balistique","") &amp; IF(AND(H976&lt;0,vit_z&gt;=0),"Apogée","") &amp; IF(AND(Poussee=0,Q974&gt;0),"Fin de propulsion","") &amp; IF(AND(L976&gt;L_rampe,pos_xz&lt;=L_rampe),"Sortie de rampe","")</f>
        <v/>
      </c>
      <c r="Z975" s="424" t="str">
        <f aca="false">IF(ABS(t-T_para)&lt;pas/2,"Para","")</f>
        <v/>
      </c>
      <c r="AA975" s="425" t="str">
        <f aca="false">IF(ABS(t-T_satellite)&lt;pas/2,"Satellite","")</f>
        <v/>
      </c>
      <c r="AB975" s="413"/>
      <c r="AC975" s="421" t="e">
        <f aca="false">IF(ABS(t-ROUND(t,0))&lt;0.001,t,NA())</f>
        <v>#N/A</v>
      </c>
      <c r="AD975" s="426" t="e">
        <f aca="false">IF(ABS(t-ROUND(t,0))&lt;0.001,pos_x,NA())</f>
        <v>#N/A</v>
      </c>
      <c r="AE975" s="427" t="e">
        <f aca="false">IF(t&lt;T_para, pos_z, NA())</f>
        <v>#N/A</v>
      </c>
      <c r="AF975" s="413"/>
      <c r="AG975" s="419" t="n">
        <f aca="false">IF(AND(L974&lt;L_rampe,Poussee&lt;Poids*SIN(M974)),0,(-W974+Poussee)/m-Poids*SIN(M974)/m)</f>
        <v>5.93592651397693</v>
      </c>
      <c r="AH975" s="418" t="n">
        <f aca="false">IF(AND(L974&lt;L_rampe,Poussee&lt;Poids*SIN(M974)), g*SIN(M974), (-W974+Poussee)/m)</f>
        <v>-3.77406733577719</v>
      </c>
    </row>
    <row r="976" customFormat="false" ht="12" hidden="false" customHeight="false" outlineLevel="0" collapsed="false">
      <c r="A976" s="417" t="n">
        <f aca="false">IF(B975+0.01&lt;=T_ini+ROUNDUP(Temps_fin_propu,0), 0.01, IF(K975&gt;0, 0.1, 0.0001))</f>
        <v>0.0001</v>
      </c>
      <c r="B976" s="418" t="n">
        <f aca="false">B975+pas</f>
        <v>16.5626999999998</v>
      </c>
      <c r="C976" s="402"/>
      <c r="D976" s="419" t="n">
        <f aca="false">IF(AND(L975&lt;L_rampe,Poussee&lt;Poids*SIN(M975)),0,(-W975+Poussee)/m*COS(M975)-U975/m*SIN(M975))</f>
        <v>-0.537521009321187</v>
      </c>
      <c r="E976" s="420" t="n">
        <f aca="false">IF(AND(L975&lt;L_rampe,Poussee&lt;Poids*SIN(M975)),0,(-W975+Poussee)/m*SIN(M975)+U975/m*COS(M975)-Poids/m)</f>
        <v>-6.07434135900133</v>
      </c>
      <c r="F976" s="418" t="n">
        <f aca="false">SQRT(acc_x^2+acc_z^2)</f>
        <v>6.09807771196267</v>
      </c>
      <c r="G976" s="419" t="n">
        <f aca="false">G975+acc_x*pas</f>
        <v>10.2535716127018</v>
      </c>
      <c r="H976" s="420" t="n">
        <f aca="false">H975+acc_z*pas</f>
        <v>-71.2611601034372</v>
      </c>
      <c r="I976" s="418" t="n">
        <f aca="false">SQRT(vit_x^2+vit_z^2)</f>
        <v>71.9950600395924</v>
      </c>
      <c r="J976" s="419" t="n">
        <f aca="false">J975+0.5*(vit_x+G975)*pas*(K975&gt;=0)</f>
        <v>211.791153319536</v>
      </c>
      <c r="K976" s="420" t="n">
        <f aca="false">K975+0.5*(vit_z+H975)*pas</f>
        <v>-8.88896999640104</v>
      </c>
      <c r="L976" s="418" t="n">
        <f aca="false">SQRT(pos_x^2+pos_z^2)</f>
        <v>211.977608279781</v>
      </c>
      <c r="M976" s="419" t="n">
        <f aca="false">IF(AND(L975&gt;L_rampe,G976&gt;0),ATAN2(G976,H976),$M$4)</f>
        <v>-1.42788992335986</v>
      </c>
      <c r="N976" s="418" t="n">
        <f aca="false">DEGREES(Beta)</f>
        <v>-81.8120662177787</v>
      </c>
      <c r="O976" s="402"/>
      <c r="P976" s="421" t="n">
        <f aca="false">MATCH(t-pas/2-T_ini,CdP_t)</f>
        <v>23</v>
      </c>
      <c r="Q976" s="418" t="n">
        <f aca="false">(INDEX(CdP,2,i_P+1)-INDEX(CdP,2,i_P+0))/(INDEX(CdP,1,i_P+1)-INDEX(CdP,1,i_P+0))*(t-pas/2-T_ini-INDEX(CdP,1,i_P+0))+INDEX(CdP,2,i_P+0)</f>
        <v>0</v>
      </c>
      <c r="R976" s="419" t="n">
        <f aca="false">Poussee/(g*ISP)</f>
        <v>0</v>
      </c>
      <c r="S976" s="420" t="n">
        <f aca="false">S975-Débit*pas</f>
        <v>1.4843</v>
      </c>
      <c r="T976" s="418" t="n">
        <f aca="false">m*g</f>
        <v>14.560983</v>
      </c>
      <c r="U976" s="422" t="n">
        <f aca="false">IF(pos_xz&lt;L_rampe,Poids*COS(Beta),0)</f>
        <v>0</v>
      </c>
      <c r="V976" s="419" t="n">
        <f aca="false">Rho_moyen*(20000-Alt_rampe-pos_z)/(20000+Alt_rampe+pos_z)</f>
        <v>1.2260893829992</v>
      </c>
      <c r="W976" s="418" t="n">
        <f aca="false">1/2*Rho*Sref*Cx*vit_xz^2</f>
        <v>5.60204088111623</v>
      </c>
      <c r="X976" s="402"/>
      <c r="Y976" s="423" t="str">
        <f aca="false">IF(AND(pos_z&lt;=0,K975&gt;0),"Impact balistique","") &amp; IF(AND(H977&lt;0,vit_z&gt;=0),"Apogée","") &amp; IF(AND(Poussee=0,Q975&gt;0),"Fin de propulsion","") &amp; IF(AND(L977&gt;L_rampe,pos_xz&lt;=L_rampe),"Sortie de rampe","")</f>
        <v/>
      </c>
      <c r="Z976" s="424" t="str">
        <f aca="false">IF(ABS(t-T_para)&lt;pas/2,"Para","")</f>
        <v/>
      </c>
      <c r="AA976" s="425" t="str">
        <f aca="false">IF(ABS(t-T_satellite)&lt;pas/2,"Satellite","")</f>
        <v/>
      </c>
      <c r="AB976" s="413"/>
      <c r="AC976" s="421" t="e">
        <f aca="false">IF(ABS(t-ROUND(t,0))&lt;0.001,t,NA())</f>
        <v>#N/A</v>
      </c>
      <c r="AD976" s="426" t="e">
        <f aca="false">IF(ABS(t-ROUND(t,0))&lt;0.001,pos_x,NA())</f>
        <v>#N/A</v>
      </c>
      <c r="AE976" s="427" t="e">
        <f aca="false">IF(t&lt;T_para, pos_z, NA())</f>
        <v>#N/A</v>
      </c>
      <c r="AF976" s="413"/>
      <c r="AG976" s="419" t="n">
        <f aca="false">IF(AND(L975&lt;L_rampe,Poussee&lt;Poids*SIN(M975)),0,(-W975+Poussee)/m-Poids*SIN(M975)/m)</f>
        <v>5.93586430101495</v>
      </c>
      <c r="AH976" s="418" t="n">
        <f aca="false">IF(AND(L975&lt;L_rampe,Poussee&lt;Poids*SIN(M975)), g*SIN(M975), (-W975+Poussee)/m)</f>
        <v>-3.77413226020627</v>
      </c>
    </row>
    <row r="977" customFormat="false" ht="12" hidden="false" customHeight="false" outlineLevel="0" collapsed="false">
      <c r="A977" s="417" t="n">
        <f aca="false">IF(B976+0.01&lt;=T_ini+ROUNDUP(Temps_fin_propu,0), 0.01, IF(K976&gt;0, 0.1, 0.0001))</f>
        <v>0.0001</v>
      </c>
      <c r="B977" s="418" t="n">
        <f aca="false">B976+pas</f>
        <v>16.5627999999998</v>
      </c>
      <c r="C977" s="402"/>
      <c r="D977" s="419" t="n">
        <f aca="false">IF(AND(L976&lt;L_rampe,Poussee&lt;Poids*SIN(M976)),0,(-W976+Poussee)/m*COS(M976)-U976/m*SIN(M976))</f>
        <v>-0.537523006322541</v>
      </c>
      <c r="E977" s="420" t="n">
        <f aca="false">IF(AND(L976&lt;L_rampe,Poussee&lt;Poids*SIN(M976)),0,(-W976+Poussee)/m*SIN(M976)+U976/m*COS(M976)-Poids/m)</f>
        <v>-6.07427605329435</v>
      </c>
      <c r="F977" s="418" t="n">
        <f aca="false">SQRT(acc_x^2+acc_z^2)</f>
        <v>6.09801283648626</v>
      </c>
      <c r="G977" s="419" t="n">
        <f aca="false">G976+acc_x*pas</f>
        <v>10.2535178604012</v>
      </c>
      <c r="H977" s="420" t="n">
        <f aca="false">H976+acc_z*pas</f>
        <v>-71.2617675310425</v>
      </c>
      <c r="I977" s="418" t="n">
        <f aca="false">SQRT(vit_x^2+vit_z^2)</f>
        <v>71.9956536199367</v>
      </c>
      <c r="J977" s="419" t="n">
        <f aca="false">J976+0.5*(vit_x+G976)*pas*(K976&gt;=0)</f>
        <v>211.791153319536</v>
      </c>
      <c r="K977" s="420" t="n">
        <f aca="false">K976+0.5*(vit_z+H976)*pas</f>
        <v>-8.89609614278276</v>
      </c>
      <c r="L977" s="418" t="n">
        <f aca="false">SQRT(pos_x^2+pos_z^2)</f>
        <v>211.977907223845</v>
      </c>
      <c r="M977" s="419" t="n">
        <f aca="false">IF(AND(L976&gt;L_rampe,G977&gt;0),ATAN2(G977,H977),$M$4)</f>
        <v>-1.42789186395616</v>
      </c>
      <c r="N977" s="418" t="n">
        <f aca="false">DEGREES(Beta)</f>
        <v>-81.8121774057565</v>
      </c>
      <c r="O977" s="402"/>
      <c r="P977" s="421" t="n">
        <f aca="false">MATCH(t-pas/2-T_ini,CdP_t)</f>
        <v>23</v>
      </c>
      <c r="Q977" s="418" t="n">
        <f aca="false">(INDEX(CdP,2,i_P+1)-INDEX(CdP,2,i_P+0))/(INDEX(CdP,1,i_P+1)-INDEX(CdP,1,i_P+0))*(t-pas/2-T_ini-INDEX(CdP,1,i_P+0))+INDEX(CdP,2,i_P+0)</f>
        <v>0</v>
      </c>
      <c r="R977" s="419" t="n">
        <f aca="false">Poussee/(g*ISP)</f>
        <v>0</v>
      </c>
      <c r="S977" s="420" t="n">
        <f aca="false">S976-Débit*pas</f>
        <v>1.4843</v>
      </c>
      <c r="T977" s="418" t="n">
        <f aca="false">m*g</f>
        <v>14.560983</v>
      </c>
      <c r="U977" s="422" t="n">
        <f aca="false">IF(pos_xz&lt;L_rampe,Poids*COS(Beta),0)</f>
        <v>0</v>
      </c>
      <c r="V977" s="419" t="n">
        <f aca="false">Rho_moyen*(20000-Alt_rampe-pos_z)/(20000+Alt_rampe+pos_z)</f>
        <v>1.22609025672893</v>
      </c>
      <c r="W977" s="418" t="n">
        <f aca="false">1/2*Rho*Sref*Cx*vit_xz^2</f>
        <v>5.60213724837027</v>
      </c>
      <c r="X977" s="402"/>
      <c r="Y977" s="423" t="str">
        <f aca="false">IF(AND(pos_z&lt;=0,K976&gt;0),"Impact balistique","") &amp; IF(AND(H978&lt;0,vit_z&gt;=0),"Apogée","") &amp; IF(AND(Poussee=0,Q976&gt;0),"Fin de propulsion","") &amp; IF(AND(L978&gt;L_rampe,pos_xz&lt;=L_rampe),"Sortie de rampe","")</f>
        <v/>
      </c>
      <c r="Z977" s="424" t="str">
        <f aca="false">IF(ABS(t-T_para)&lt;pas/2,"Para","")</f>
        <v/>
      </c>
      <c r="AA977" s="425" t="str">
        <f aca="false">IF(ABS(t-T_satellite)&lt;pas/2,"Satellite","")</f>
        <v/>
      </c>
      <c r="AB977" s="413"/>
      <c r="AC977" s="421" t="e">
        <f aca="false">IF(ABS(t-ROUND(t,0))&lt;0.001,t,NA())</f>
        <v>#N/A</v>
      </c>
      <c r="AD977" s="426" t="e">
        <f aca="false">IF(ABS(t-ROUND(t,0))&lt;0.001,pos_x,NA())</f>
        <v>#N/A</v>
      </c>
      <c r="AE977" s="427" t="e">
        <f aca="false">IF(t&lt;T_para, pos_z, NA())</f>
        <v>#N/A</v>
      </c>
      <c r="AF977" s="413"/>
      <c r="AG977" s="419" t="n">
        <f aca="false">IF(AND(L976&lt;L_rampe,Poussee&lt;Poids*SIN(M976)),0,(-W976+Poussee)/m-Poids*SIN(M976)/m)</f>
        <v>5.93580208798308</v>
      </c>
      <c r="AH977" s="418" t="n">
        <f aca="false">IF(AND(L976&lt;L_rampe,Poussee&lt;Poids*SIN(M976)), g*SIN(M976), (-W976+Poussee)/m)</f>
        <v>-3.77419718460974</v>
      </c>
    </row>
    <row r="978" customFormat="false" ht="12" hidden="false" customHeight="false" outlineLevel="0" collapsed="false">
      <c r="A978" s="417" t="n">
        <f aca="false">IF(B977+0.01&lt;=T_ini+ROUNDUP(Temps_fin_propu,0), 0.01, IF(K977&gt;0, 0.1, 0.0001))</f>
        <v>0.0001</v>
      </c>
      <c r="B978" s="418" t="n">
        <f aca="false">B977+pas</f>
        <v>16.5628999999998</v>
      </c>
      <c r="C978" s="402"/>
      <c r="D978" s="419" t="n">
        <f aca="false">IF(AND(L977&lt;L_rampe,Poussee&lt;Poids*SIN(M977)),0,(-W977+Poussee)/m*COS(M977)-U977/m*SIN(M977))</f>
        <v>-0.537525003226349</v>
      </c>
      <c r="E978" s="420" t="n">
        <f aca="false">IF(AND(L977&lt;L_rampe,Poussee&lt;Poids*SIN(M977)),0,(-W977+Poussee)/m*SIN(M977)+U977/m*COS(M977)-Poids/m)</f>
        <v>-6.07421074761357</v>
      </c>
      <c r="F978" s="418" t="n">
        <f aca="false">SQRT(acc_x^2+acc_z^2)</f>
        <v>6.09794796103719</v>
      </c>
      <c r="G978" s="419" t="n">
        <f aca="false">G977+acc_x*pas</f>
        <v>10.2534641079008</v>
      </c>
      <c r="H978" s="420" t="n">
        <f aca="false">H977+acc_z*pas</f>
        <v>-71.2623749521172</v>
      </c>
      <c r="I978" s="418" t="n">
        <f aca="false">SQRT(vit_x^2+vit_z^2)</f>
        <v>71.9962471940598</v>
      </c>
      <c r="J978" s="419" t="n">
        <f aca="false">J977+0.5*(vit_x+G977)*pas*(K977&gt;=0)</f>
        <v>211.791153319536</v>
      </c>
      <c r="K978" s="420" t="n">
        <f aca="false">K977+0.5*(vit_z+H977)*pas</f>
        <v>-8.90322234990692</v>
      </c>
      <c r="L978" s="418" t="n">
        <f aca="false">SQRT(pos_x^2+pos_z^2)</f>
        <v>211.9782064096</v>
      </c>
      <c r="M978" s="419" t="n">
        <f aca="false">IF(AND(L977&gt;L_rampe,G978&gt;0),ATAN2(G978,H978),$M$4)</f>
        <v>-1.42789380451029</v>
      </c>
      <c r="N978" s="418" t="n">
        <f aca="false">DEGREES(Beta)</f>
        <v>-81.812288591318</v>
      </c>
      <c r="O978" s="402"/>
      <c r="P978" s="421" t="n">
        <f aca="false">MATCH(t-pas/2-T_ini,CdP_t)</f>
        <v>23</v>
      </c>
      <c r="Q978" s="418" t="n">
        <f aca="false">(INDEX(CdP,2,i_P+1)-INDEX(CdP,2,i_P+0))/(INDEX(CdP,1,i_P+1)-INDEX(CdP,1,i_P+0))*(t-pas/2-T_ini-INDEX(CdP,1,i_P+0))+INDEX(CdP,2,i_P+0)</f>
        <v>0</v>
      </c>
      <c r="R978" s="419" t="n">
        <f aca="false">Poussee/(g*ISP)</f>
        <v>0</v>
      </c>
      <c r="S978" s="420" t="n">
        <f aca="false">S977-Débit*pas</f>
        <v>1.4843</v>
      </c>
      <c r="T978" s="418" t="n">
        <f aca="false">m*g</f>
        <v>14.560983</v>
      </c>
      <c r="U978" s="422" t="n">
        <f aca="false">IF(pos_xz&lt;L_rampe,Poids*COS(Beta),0)</f>
        <v>0</v>
      </c>
      <c r="V978" s="419" t="n">
        <f aca="false">Rho_moyen*(20000-Alt_rampe-pos_z)/(20000+Alt_rampe+pos_z)</f>
        <v>1.22609113046672</v>
      </c>
      <c r="W978" s="418" t="n">
        <f aca="false">1/2*Rho*Sref*Cx*vit_xz^2</f>
        <v>5.60223361558625</v>
      </c>
      <c r="X978" s="402"/>
      <c r="Y978" s="423" t="str">
        <f aca="false">IF(AND(pos_z&lt;=0,K977&gt;0),"Impact balistique","") &amp; IF(AND(H979&lt;0,vit_z&gt;=0),"Apogée","") &amp; IF(AND(Poussee=0,Q977&gt;0),"Fin de propulsion","") &amp; IF(AND(L979&gt;L_rampe,pos_xz&lt;=L_rampe),"Sortie de rampe","")</f>
        <v/>
      </c>
      <c r="Z978" s="424" t="str">
        <f aca="false">IF(ABS(t-T_para)&lt;pas/2,"Para","")</f>
        <v/>
      </c>
      <c r="AA978" s="425" t="str">
        <f aca="false">IF(ABS(t-T_satellite)&lt;pas/2,"Satellite","")</f>
        <v/>
      </c>
      <c r="AB978" s="413"/>
      <c r="AC978" s="421" t="e">
        <f aca="false">IF(ABS(t-ROUND(t,0))&lt;0.001,t,NA())</f>
        <v>#N/A</v>
      </c>
      <c r="AD978" s="426" t="e">
        <f aca="false">IF(ABS(t-ROUND(t,0))&lt;0.001,pos_x,NA())</f>
        <v>#N/A</v>
      </c>
      <c r="AE978" s="427" t="e">
        <f aca="false">IF(t&lt;T_para, pos_z, NA())</f>
        <v>#N/A</v>
      </c>
      <c r="AF978" s="413"/>
      <c r="AG978" s="419" t="n">
        <f aca="false">IF(AND(L977&lt;L_rampe,Poussee&lt;Poids*SIN(M977)),0,(-W977+Poussee)/m-Poids*SIN(M977)/m)</f>
        <v>5.93573987488135</v>
      </c>
      <c r="AH978" s="418" t="n">
        <f aca="false">IF(AND(L977&lt;L_rampe,Poussee&lt;Poids*SIN(M977)), g*SIN(M977), (-W977+Poussee)/m)</f>
        <v>-3.77426210898759</v>
      </c>
    </row>
    <row r="979" customFormat="false" ht="12" hidden="false" customHeight="false" outlineLevel="0" collapsed="false">
      <c r="A979" s="417" t="n">
        <f aca="false">IF(B978+0.01&lt;=T_ini+ROUNDUP(Temps_fin_propu,0), 0.01, IF(K978&gt;0, 0.1, 0.0001))</f>
        <v>0.0001</v>
      </c>
      <c r="B979" s="418" t="n">
        <f aca="false">B978+pas</f>
        <v>16.5629999999998</v>
      </c>
      <c r="C979" s="402"/>
      <c r="D979" s="419" t="n">
        <f aca="false">IF(AND(L978&lt;L_rampe,Poussee&lt;Poids*SIN(M978)),0,(-W978+Poussee)/m*COS(M978)-U978/m*SIN(M978))</f>
        <v>-0.537527000032614</v>
      </c>
      <c r="E979" s="420" t="n">
        <f aca="false">IF(AND(L978&lt;L_rampe,Poussee&lt;Poids*SIN(M978)),0,(-W978+Poussee)/m*SIN(M978)+U978/m*COS(M978)-Poids/m)</f>
        <v>-6.07414544195903</v>
      </c>
      <c r="F979" s="418" t="n">
        <f aca="false">SQRT(acc_x^2+acc_z^2)</f>
        <v>6.09788308561551</v>
      </c>
      <c r="G979" s="419" t="n">
        <f aca="false">G978+acc_x*pas</f>
        <v>10.2534103552008</v>
      </c>
      <c r="H979" s="420" t="n">
        <f aca="false">H978+acc_z*pas</f>
        <v>-71.2629823666614</v>
      </c>
      <c r="I979" s="418" t="n">
        <f aca="false">SQRT(vit_x^2+vit_z^2)</f>
        <v>71.9968407619615</v>
      </c>
      <c r="J979" s="419" t="n">
        <f aca="false">J978+0.5*(vit_x+G978)*pas*(K978&gt;=0)</f>
        <v>211.791153319536</v>
      </c>
      <c r="K979" s="420" t="n">
        <f aca="false">K978+0.5*(vit_z+H978)*pas</f>
        <v>-8.91034861777286</v>
      </c>
      <c r="L979" s="418" t="n">
        <f aca="false">SQRT(pos_x^2+pos_z^2)</f>
        <v>211.978505837053</v>
      </c>
      <c r="M979" s="419" t="n">
        <f aca="false">IF(AND(L978&gt;L_rampe,G979&gt;0),ATAN2(G979,H979),$M$4)</f>
        <v>-1.42789574502225</v>
      </c>
      <c r="N979" s="418" t="n">
        <f aca="false">DEGREES(Beta)</f>
        <v>-81.8123997744634</v>
      </c>
      <c r="O979" s="402"/>
      <c r="P979" s="421" t="n">
        <f aca="false">MATCH(t-pas/2-T_ini,CdP_t)</f>
        <v>23</v>
      </c>
      <c r="Q979" s="418" t="n">
        <f aca="false">(INDEX(CdP,2,i_P+1)-INDEX(CdP,2,i_P+0))/(INDEX(CdP,1,i_P+1)-INDEX(CdP,1,i_P+0))*(t-pas/2-T_ini-INDEX(CdP,1,i_P+0))+INDEX(CdP,2,i_P+0)</f>
        <v>0</v>
      </c>
      <c r="R979" s="419" t="n">
        <f aca="false">Poussee/(g*ISP)</f>
        <v>0</v>
      </c>
      <c r="S979" s="420" t="n">
        <f aca="false">S978-Débit*pas</f>
        <v>1.4843</v>
      </c>
      <c r="T979" s="418" t="n">
        <f aca="false">m*g</f>
        <v>14.560983</v>
      </c>
      <c r="U979" s="422" t="n">
        <f aca="false">IF(pos_xz&lt;L_rampe,Poids*COS(Beta),0)</f>
        <v>0</v>
      </c>
      <c r="V979" s="419" t="n">
        <f aca="false">Rho_moyen*(20000-Alt_rampe-pos_z)/(20000+Alt_rampe+pos_z)</f>
        <v>1.22609200421259</v>
      </c>
      <c r="W979" s="418" t="n">
        <f aca="false">1/2*Rho*Sref*Cx*vit_xz^2</f>
        <v>5.60232998276415</v>
      </c>
      <c r="X979" s="402"/>
      <c r="Y979" s="423" t="str">
        <f aca="false">IF(AND(pos_z&lt;=0,K978&gt;0),"Impact balistique","") &amp; IF(AND(H980&lt;0,vit_z&gt;=0),"Apogée","") &amp; IF(AND(Poussee=0,Q978&gt;0),"Fin de propulsion","") &amp; IF(AND(L980&gt;L_rampe,pos_xz&lt;=L_rampe),"Sortie de rampe","")</f>
        <v/>
      </c>
      <c r="Z979" s="424" t="str">
        <f aca="false">IF(ABS(t-T_para)&lt;pas/2,"Para","")</f>
        <v/>
      </c>
      <c r="AA979" s="425" t="str">
        <f aca="false">IF(ABS(t-T_satellite)&lt;pas/2,"Satellite","")</f>
        <v/>
      </c>
      <c r="AB979" s="413"/>
      <c r="AC979" s="421" t="e">
        <f aca="false">IF(ABS(t-ROUND(t,0))&lt;0.001,t,NA())</f>
        <v>#N/A</v>
      </c>
      <c r="AD979" s="426" t="e">
        <f aca="false">IF(ABS(t-ROUND(t,0))&lt;0.001,pos_x,NA())</f>
        <v>#N/A</v>
      </c>
      <c r="AE979" s="427" t="e">
        <f aca="false">IF(t&lt;T_para, pos_z, NA())</f>
        <v>#N/A</v>
      </c>
      <c r="AF979" s="413"/>
      <c r="AG979" s="419" t="n">
        <f aca="false">IF(AND(L978&lt;L_rampe,Poussee&lt;Poids*SIN(M978)),0,(-W978+Poussee)/m-Poids*SIN(M978)/m)</f>
        <v>5.93567766170978</v>
      </c>
      <c r="AH979" s="418" t="n">
        <f aca="false">IF(AND(L978&lt;L_rampe,Poussee&lt;Poids*SIN(M978)), g*SIN(M978), (-W978+Poussee)/m)</f>
        <v>-3.7743270333398</v>
      </c>
    </row>
    <row r="980" customFormat="false" ht="12" hidden="false" customHeight="false" outlineLevel="0" collapsed="false">
      <c r="A980" s="417" t="n">
        <f aca="false">IF(B979+0.01&lt;=T_ini+ROUNDUP(Temps_fin_propu,0), 0.01, IF(K979&gt;0, 0.1, 0.0001))</f>
        <v>0.0001</v>
      </c>
      <c r="B980" s="418" t="n">
        <f aca="false">B979+pas</f>
        <v>16.5630999999998</v>
      </c>
      <c r="C980" s="402"/>
      <c r="D980" s="419" t="n">
        <f aca="false">IF(AND(L979&lt;L_rampe,Poussee&lt;Poids*SIN(M979)),0,(-W979+Poussee)/m*COS(M979)-U979/m*SIN(M979))</f>
        <v>-0.537528996741336</v>
      </c>
      <c r="E980" s="420" t="n">
        <f aca="false">IF(AND(L979&lt;L_rampe,Poussee&lt;Poids*SIN(M979)),0,(-W979+Poussee)/m*SIN(M979)+U979/m*COS(M979)-Poids/m)</f>
        <v>-6.07408013633073</v>
      </c>
      <c r="F980" s="418" t="n">
        <f aca="false">SQRT(acc_x^2+acc_z^2)</f>
        <v>6.0978182102212</v>
      </c>
      <c r="G980" s="419" t="n">
        <f aca="false">G979+acc_x*pas</f>
        <v>10.2533566023012</v>
      </c>
      <c r="H980" s="420" t="n">
        <f aca="false">H979+acc_z*pas</f>
        <v>-71.2635897746751</v>
      </c>
      <c r="I980" s="418" t="n">
        <f aca="false">SQRT(vit_x^2+vit_z^2)</f>
        <v>71.9974343236419</v>
      </c>
      <c r="J980" s="419" t="n">
        <f aca="false">J979+0.5*(vit_x+G979)*pas*(K979&gt;=0)</f>
        <v>211.791153319536</v>
      </c>
      <c r="K980" s="420" t="n">
        <f aca="false">K979+0.5*(vit_z+H979)*pas</f>
        <v>-8.91747494637992</v>
      </c>
      <c r="L980" s="418" t="n">
        <f aca="false">SQRT(pos_x^2+pos_z^2)</f>
        <v>211.978805506208</v>
      </c>
      <c r="M980" s="419" t="n">
        <f aca="false">IF(AND(L979&gt;L_rampe,G980&gt;0),ATAN2(G980,H980),$M$4)</f>
        <v>-1.42789768549204</v>
      </c>
      <c r="N980" s="418" t="n">
        <f aca="false">DEGREES(Beta)</f>
        <v>-81.8125109551926</v>
      </c>
      <c r="O980" s="402"/>
      <c r="P980" s="421" t="n">
        <f aca="false">MATCH(t-pas/2-T_ini,CdP_t)</f>
        <v>23</v>
      </c>
      <c r="Q980" s="418" t="n">
        <f aca="false">(INDEX(CdP,2,i_P+1)-INDEX(CdP,2,i_P+0))/(INDEX(CdP,1,i_P+1)-INDEX(CdP,1,i_P+0))*(t-pas/2-T_ini-INDEX(CdP,1,i_P+0))+INDEX(CdP,2,i_P+0)</f>
        <v>0</v>
      </c>
      <c r="R980" s="419" t="n">
        <f aca="false">Poussee/(g*ISP)</f>
        <v>0</v>
      </c>
      <c r="S980" s="420" t="n">
        <f aca="false">S979-Débit*pas</f>
        <v>1.4843</v>
      </c>
      <c r="T980" s="418" t="n">
        <f aca="false">m*g</f>
        <v>14.560983</v>
      </c>
      <c r="U980" s="422" t="n">
        <f aca="false">IF(pos_xz&lt;L_rampe,Poids*COS(Beta),0)</f>
        <v>0</v>
      </c>
      <c r="V980" s="419" t="n">
        <f aca="false">Rho_moyen*(20000-Alt_rampe-pos_z)/(20000+Alt_rampe+pos_z)</f>
        <v>1.22609287796653</v>
      </c>
      <c r="W980" s="418" t="n">
        <f aca="false">1/2*Rho*Sref*Cx*vit_xz^2</f>
        <v>5.60242634990394</v>
      </c>
      <c r="X980" s="402"/>
      <c r="Y980" s="423" t="str">
        <f aca="false">IF(AND(pos_z&lt;=0,K979&gt;0),"Impact balistique","") &amp; IF(AND(H981&lt;0,vit_z&gt;=0),"Apogée","") &amp; IF(AND(Poussee=0,Q979&gt;0),"Fin de propulsion","") &amp; IF(AND(L981&gt;L_rampe,pos_xz&lt;=L_rampe),"Sortie de rampe","")</f>
        <v/>
      </c>
      <c r="Z980" s="424" t="str">
        <f aca="false">IF(ABS(t-T_para)&lt;pas/2,"Para","")</f>
        <v/>
      </c>
      <c r="AA980" s="425" t="str">
        <f aca="false">IF(ABS(t-T_satellite)&lt;pas/2,"Satellite","")</f>
        <v/>
      </c>
      <c r="AB980" s="413"/>
      <c r="AC980" s="421" t="e">
        <f aca="false">IF(ABS(t-ROUND(t,0))&lt;0.001,t,NA())</f>
        <v>#N/A</v>
      </c>
      <c r="AD980" s="426" t="e">
        <f aca="false">IF(ABS(t-ROUND(t,0))&lt;0.001,pos_x,NA())</f>
        <v>#N/A</v>
      </c>
      <c r="AE980" s="427" t="e">
        <f aca="false">IF(t&lt;T_para, pos_z, NA())</f>
        <v>#N/A</v>
      </c>
      <c r="AF980" s="413"/>
      <c r="AG980" s="419" t="n">
        <f aca="false">IF(AND(L979&lt;L_rampe,Poussee&lt;Poids*SIN(M979)),0,(-W979+Poussee)/m-Poids*SIN(M979)/m)</f>
        <v>5.93561544846838</v>
      </c>
      <c r="AH980" s="418" t="n">
        <f aca="false">IF(AND(L979&lt;L_rampe,Poussee&lt;Poids*SIN(M979)), g*SIN(M979), (-W979+Poussee)/m)</f>
        <v>-3.77439195766635</v>
      </c>
    </row>
    <row r="981" customFormat="false" ht="12" hidden="false" customHeight="false" outlineLevel="0" collapsed="false">
      <c r="A981" s="417" t="n">
        <f aca="false">IF(B980+0.01&lt;=T_ini+ROUNDUP(Temps_fin_propu,0), 0.01, IF(K980&gt;0, 0.1, 0.0001))</f>
        <v>0.0001</v>
      </c>
      <c r="B981" s="418" t="n">
        <f aca="false">B980+pas</f>
        <v>16.5631999999998</v>
      </c>
      <c r="C981" s="402"/>
      <c r="D981" s="419" t="n">
        <f aca="false">IF(AND(L980&lt;L_rampe,Poussee&lt;Poids*SIN(M980)),0,(-W980+Poussee)/m*COS(M980)-U980/m*SIN(M980))</f>
        <v>-0.537530993352515</v>
      </c>
      <c r="E981" s="420" t="n">
        <f aca="false">IF(AND(L980&lt;L_rampe,Poussee&lt;Poids*SIN(M980)),0,(-W980+Poussee)/m*SIN(M980)+U980/m*COS(M980)-Poids/m)</f>
        <v>-6.07401483072869</v>
      </c>
      <c r="F981" s="418" t="n">
        <f aca="false">SQRT(acc_x^2+acc_z^2)</f>
        <v>6.09775333485429</v>
      </c>
      <c r="G981" s="419" t="n">
        <f aca="false">G980+acc_x*pas</f>
        <v>10.2533028492018</v>
      </c>
      <c r="H981" s="420" t="n">
        <f aca="false">H980+acc_z*pas</f>
        <v>-71.2641971761581</v>
      </c>
      <c r="I981" s="418" t="n">
        <f aca="false">SQRT(vit_x^2+vit_z^2)</f>
        <v>71.9980278791009</v>
      </c>
      <c r="J981" s="419" t="n">
        <f aca="false">J980+0.5*(vit_x+G980)*pas*(K980&gt;=0)</f>
        <v>211.791153319536</v>
      </c>
      <c r="K981" s="420" t="n">
        <f aca="false">K980+0.5*(vit_z+H980)*pas</f>
        <v>-8.92460133572747</v>
      </c>
      <c r="L981" s="418" t="n">
        <f aca="false">SQRT(pos_x^2+pos_z^2)</f>
        <v>211.979105417069</v>
      </c>
      <c r="M981" s="419" t="n">
        <f aca="false">IF(AND(L980&gt;L_rampe,G981&gt;0),ATAN2(G981,H981),$M$4)</f>
        <v>-1.42789962591967</v>
      </c>
      <c r="N981" s="418" t="n">
        <f aca="false">DEGREES(Beta)</f>
        <v>-81.8126221335059</v>
      </c>
      <c r="O981" s="402"/>
      <c r="P981" s="421" t="n">
        <f aca="false">MATCH(t-pas/2-T_ini,CdP_t)</f>
        <v>23</v>
      </c>
      <c r="Q981" s="418" t="n">
        <f aca="false">(INDEX(CdP,2,i_P+1)-INDEX(CdP,2,i_P+0))/(INDEX(CdP,1,i_P+1)-INDEX(CdP,1,i_P+0))*(t-pas/2-T_ini-INDEX(CdP,1,i_P+0))+INDEX(CdP,2,i_P+0)</f>
        <v>0</v>
      </c>
      <c r="R981" s="419" t="n">
        <f aca="false">Poussee/(g*ISP)</f>
        <v>0</v>
      </c>
      <c r="S981" s="420" t="n">
        <f aca="false">S980-Débit*pas</f>
        <v>1.4843</v>
      </c>
      <c r="T981" s="418" t="n">
        <f aca="false">m*g</f>
        <v>14.560983</v>
      </c>
      <c r="U981" s="422" t="n">
        <f aca="false">IF(pos_xz&lt;L_rampe,Poids*COS(Beta),0)</f>
        <v>0</v>
      </c>
      <c r="V981" s="419" t="n">
        <f aca="false">Rho_moyen*(20000-Alt_rampe-pos_z)/(20000+Alt_rampe+pos_z)</f>
        <v>1.22609375172853</v>
      </c>
      <c r="W981" s="418" t="n">
        <f aca="false">1/2*Rho*Sref*Cx*vit_xz^2</f>
        <v>5.6025227170056</v>
      </c>
      <c r="X981" s="402"/>
      <c r="Y981" s="423" t="str">
        <f aca="false">IF(AND(pos_z&lt;=0,K980&gt;0),"Impact balistique","") &amp; IF(AND(H982&lt;0,vit_z&gt;=0),"Apogée","") &amp; IF(AND(Poussee=0,Q980&gt;0),"Fin de propulsion","") &amp; IF(AND(L982&gt;L_rampe,pos_xz&lt;=L_rampe),"Sortie de rampe","")</f>
        <v/>
      </c>
      <c r="Z981" s="424" t="str">
        <f aca="false">IF(ABS(t-T_para)&lt;pas/2,"Para","")</f>
        <v/>
      </c>
      <c r="AA981" s="425" t="str">
        <f aca="false">IF(ABS(t-T_satellite)&lt;pas/2,"Satellite","")</f>
        <v/>
      </c>
      <c r="AB981" s="413"/>
      <c r="AC981" s="421" t="e">
        <f aca="false">IF(ABS(t-ROUND(t,0))&lt;0.001,t,NA())</f>
        <v>#N/A</v>
      </c>
      <c r="AD981" s="426" t="e">
        <f aca="false">IF(ABS(t-ROUND(t,0))&lt;0.001,pos_x,NA())</f>
        <v>#N/A</v>
      </c>
      <c r="AE981" s="427" t="e">
        <f aca="false">IF(t&lt;T_para, pos_z, NA())</f>
        <v>#N/A</v>
      </c>
      <c r="AF981" s="413"/>
      <c r="AG981" s="419" t="n">
        <f aca="false">IF(AND(L980&lt;L_rampe,Poussee&lt;Poids*SIN(M980)),0,(-W980+Poussee)/m-Poids*SIN(M980)/m)</f>
        <v>5.93555323515718</v>
      </c>
      <c r="AH981" s="418" t="n">
        <f aca="false">IF(AND(L980&lt;L_rampe,Poussee&lt;Poids*SIN(M980)), g*SIN(M980), (-W980+Poussee)/m)</f>
        <v>-3.77445688196722</v>
      </c>
    </row>
    <row r="982" customFormat="false" ht="12" hidden="false" customHeight="false" outlineLevel="0" collapsed="false">
      <c r="A982" s="417" t="n">
        <f aca="false">IF(B981+0.01&lt;=T_ini+ROUNDUP(Temps_fin_propu,0), 0.01, IF(K981&gt;0, 0.1, 0.0001))</f>
        <v>0.0001</v>
      </c>
      <c r="B982" s="418" t="n">
        <f aca="false">B981+pas</f>
        <v>16.5632999999998</v>
      </c>
      <c r="C982" s="402"/>
      <c r="D982" s="419" t="n">
        <f aca="false">IF(AND(L981&lt;L_rampe,Poussee&lt;Poids*SIN(M981)),0,(-W981+Poussee)/m*COS(M981)-U981/m*SIN(M981))</f>
        <v>-0.537532989866152</v>
      </c>
      <c r="E982" s="420" t="n">
        <f aca="false">IF(AND(L981&lt;L_rampe,Poussee&lt;Poids*SIN(M981)),0,(-W981+Poussee)/m*SIN(M981)+U981/m*COS(M981)-Poids/m)</f>
        <v>-6.07394952515293</v>
      </c>
      <c r="F982" s="418" t="n">
        <f aca="false">SQRT(acc_x^2+acc_z^2)</f>
        <v>6.0976884595148</v>
      </c>
      <c r="G982" s="419" t="n">
        <f aca="false">G981+acc_x*pas</f>
        <v>10.2532490959028</v>
      </c>
      <c r="H982" s="420" t="n">
        <f aca="false">H981+acc_z*pas</f>
        <v>-71.2648045711106</v>
      </c>
      <c r="I982" s="418" t="n">
        <f aca="false">SQRT(vit_x^2+vit_z^2)</f>
        <v>71.9986214283387</v>
      </c>
      <c r="J982" s="419" t="n">
        <f aca="false">J981+0.5*(vit_x+G981)*pas*(K981&gt;=0)</f>
        <v>211.791153319536</v>
      </c>
      <c r="K982" s="420" t="n">
        <f aca="false">K981+0.5*(vit_z+H981)*pas</f>
        <v>-8.93172778581483</v>
      </c>
      <c r="L982" s="418" t="n">
        <f aca="false">SQRT(pos_x^2+pos_z^2)</f>
        <v>211.979405569643</v>
      </c>
      <c r="M982" s="419" t="n">
        <f aca="false">IF(AND(L981&gt;L_rampe,G982&gt;0),ATAN2(G982,H982),$M$4)</f>
        <v>-1.42790156630512</v>
      </c>
      <c r="N982" s="418" t="n">
        <f aca="false">DEGREES(Beta)</f>
        <v>-81.8127333094032</v>
      </c>
      <c r="O982" s="402"/>
      <c r="P982" s="421" t="n">
        <f aca="false">MATCH(t-pas/2-T_ini,CdP_t)</f>
        <v>23</v>
      </c>
      <c r="Q982" s="418" t="n">
        <f aca="false">(INDEX(CdP,2,i_P+1)-INDEX(CdP,2,i_P+0))/(INDEX(CdP,1,i_P+1)-INDEX(CdP,1,i_P+0))*(t-pas/2-T_ini-INDEX(CdP,1,i_P+0))+INDEX(CdP,2,i_P+0)</f>
        <v>0</v>
      </c>
      <c r="R982" s="419" t="n">
        <f aca="false">Poussee/(g*ISP)</f>
        <v>0</v>
      </c>
      <c r="S982" s="420" t="n">
        <f aca="false">S981-Débit*pas</f>
        <v>1.4843</v>
      </c>
      <c r="T982" s="418" t="n">
        <f aca="false">m*g</f>
        <v>14.560983</v>
      </c>
      <c r="U982" s="422" t="n">
        <f aca="false">IF(pos_xz&lt;L_rampe,Poids*COS(Beta),0)</f>
        <v>0</v>
      </c>
      <c r="V982" s="419" t="n">
        <f aca="false">Rho_moyen*(20000-Alt_rampe-pos_z)/(20000+Alt_rampe+pos_z)</f>
        <v>1.22609462549861</v>
      </c>
      <c r="W982" s="418" t="n">
        <f aca="false">1/2*Rho*Sref*Cx*vit_xz^2</f>
        <v>5.60261908406911</v>
      </c>
      <c r="X982" s="402"/>
      <c r="Y982" s="423" t="str">
        <f aca="false">IF(AND(pos_z&lt;=0,K981&gt;0),"Impact balistique","") &amp; IF(AND(H983&lt;0,vit_z&gt;=0),"Apogée","") &amp; IF(AND(Poussee=0,Q981&gt;0),"Fin de propulsion","") &amp; IF(AND(L983&gt;L_rampe,pos_xz&lt;=L_rampe),"Sortie de rampe","")</f>
        <v/>
      </c>
      <c r="Z982" s="424" t="str">
        <f aca="false">IF(ABS(t-T_para)&lt;pas/2,"Para","")</f>
        <v/>
      </c>
      <c r="AA982" s="425" t="str">
        <f aca="false">IF(ABS(t-T_satellite)&lt;pas/2,"Satellite","")</f>
        <v/>
      </c>
      <c r="AB982" s="413"/>
      <c r="AC982" s="421" t="e">
        <f aca="false">IF(ABS(t-ROUND(t,0))&lt;0.001,t,NA())</f>
        <v>#N/A</v>
      </c>
      <c r="AD982" s="426" t="e">
        <f aca="false">IF(ABS(t-ROUND(t,0))&lt;0.001,pos_x,NA())</f>
        <v>#N/A</v>
      </c>
      <c r="AE982" s="427" t="e">
        <f aca="false">IF(t&lt;T_para, pos_z, NA())</f>
        <v>#N/A</v>
      </c>
      <c r="AF982" s="413"/>
      <c r="AG982" s="419" t="n">
        <f aca="false">IF(AND(L981&lt;L_rampe,Poussee&lt;Poids*SIN(M981)),0,(-W981+Poussee)/m-Poids*SIN(M981)/m)</f>
        <v>5.9354910217762</v>
      </c>
      <c r="AH982" s="418" t="n">
        <f aca="false">IF(AND(L981&lt;L_rampe,Poussee&lt;Poids*SIN(M981)), g*SIN(M981), (-W981+Poussee)/m)</f>
        <v>-3.77452180624241</v>
      </c>
    </row>
    <row r="983" customFormat="false" ht="12" hidden="false" customHeight="false" outlineLevel="0" collapsed="false">
      <c r="A983" s="417" t="n">
        <f aca="false">IF(B982+0.01&lt;=T_ini+ROUNDUP(Temps_fin_propu,0), 0.01, IF(K982&gt;0, 0.1, 0.0001))</f>
        <v>0.0001</v>
      </c>
      <c r="B983" s="418" t="n">
        <f aca="false">B982+pas</f>
        <v>16.5633999999998</v>
      </c>
      <c r="C983" s="402"/>
      <c r="D983" s="419" t="n">
        <f aca="false">IF(AND(L982&lt;L_rampe,Poussee&lt;Poids*SIN(M982)),0,(-W982+Poussee)/m*COS(M982)-U982/m*SIN(M982))</f>
        <v>-0.537534986282249</v>
      </c>
      <c r="E983" s="420" t="n">
        <f aca="false">IF(AND(L982&lt;L_rampe,Poussee&lt;Poids*SIN(M982)),0,(-W982+Poussee)/m*SIN(M982)+U982/m*COS(M982)-Poids/m)</f>
        <v>-6.07388421960347</v>
      </c>
      <c r="F983" s="418" t="n">
        <f aca="false">SQRT(acc_x^2+acc_z^2)</f>
        <v>6.09762358420274</v>
      </c>
      <c r="G983" s="419" t="n">
        <f aca="false">G982+acc_x*pas</f>
        <v>10.2531953424042</v>
      </c>
      <c r="H983" s="420" t="n">
        <f aca="false">H982+acc_z*pas</f>
        <v>-71.2654119595326</v>
      </c>
      <c r="I983" s="418" t="n">
        <f aca="false">SQRT(vit_x^2+vit_z^2)</f>
        <v>71.999214971355</v>
      </c>
      <c r="J983" s="419" t="n">
        <f aca="false">J982+0.5*(vit_x+G982)*pas*(K982&gt;=0)</f>
        <v>211.791153319536</v>
      </c>
      <c r="K983" s="420" t="n">
        <f aca="false">K982+0.5*(vit_z+H982)*pas</f>
        <v>-8.93885429664136</v>
      </c>
      <c r="L983" s="418" t="n">
        <f aca="false">SQRT(pos_x^2+pos_z^2)</f>
        <v>211.979705963934</v>
      </c>
      <c r="M983" s="419" t="n">
        <f aca="false">IF(AND(L982&gt;L_rampe,G983&gt;0),ATAN2(G983,H983),$M$4)</f>
        <v>-1.42790350664841</v>
      </c>
      <c r="N983" s="418" t="n">
        <f aca="false">DEGREES(Beta)</f>
        <v>-81.8128444828846</v>
      </c>
      <c r="O983" s="402"/>
      <c r="P983" s="421" t="n">
        <f aca="false">MATCH(t-pas/2-T_ini,CdP_t)</f>
        <v>23</v>
      </c>
      <c r="Q983" s="418" t="n">
        <f aca="false">(INDEX(CdP,2,i_P+1)-INDEX(CdP,2,i_P+0))/(INDEX(CdP,1,i_P+1)-INDEX(CdP,1,i_P+0))*(t-pas/2-T_ini-INDEX(CdP,1,i_P+0))+INDEX(CdP,2,i_P+0)</f>
        <v>0</v>
      </c>
      <c r="R983" s="419" t="n">
        <f aca="false">Poussee/(g*ISP)</f>
        <v>0</v>
      </c>
      <c r="S983" s="420" t="n">
        <f aca="false">S982-Débit*pas</f>
        <v>1.4843</v>
      </c>
      <c r="T983" s="418" t="n">
        <f aca="false">m*g</f>
        <v>14.560983</v>
      </c>
      <c r="U983" s="422" t="n">
        <f aca="false">IF(pos_xz&lt;L_rampe,Poids*COS(Beta),0)</f>
        <v>0</v>
      </c>
      <c r="V983" s="419" t="n">
        <f aca="false">Rho_moyen*(20000-Alt_rampe-pos_z)/(20000+Alt_rampe+pos_z)</f>
        <v>1.22609549927676</v>
      </c>
      <c r="W983" s="418" t="n">
        <f aca="false">1/2*Rho*Sref*Cx*vit_xz^2</f>
        <v>5.60271545109443</v>
      </c>
      <c r="X983" s="402"/>
      <c r="Y983" s="423" t="str">
        <f aca="false">IF(AND(pos_z&lt;=0,K982&gt;0),"Impact balistique","") &amp; IF(AND(H984&lt;0,vit_z&gt;=0),"Apogée","") &amp; IF(AND(Poussee=0,Q982&gt;0),"Fin de propulsion","") &amp; IF(AND(L984&gt;L_rampe,pos_xz&lt;=L_rampe),"Sortie de rampe","")</f>
        <v/>
      </c>
      <c r="Z983" s="424" t="str">
        <f aca="false">IF(ABS(t-T_para)&lt;pas/2,"Para","")</f>
        <v/>
      </c>
      <c r="AA983" s="425" t="str">
        <f aca="false">IF(ABS(t-T_satellite)&lt;pas/2,"Satellite","")</f>
        <v/>
      </c>
      <c r="AB983" s="413"/>
      <c r="AC983" s="421" t="e">
        <f aca="false">IF(ABS(t-ROUND(t,0))&lt;0.001,t,NA())</f>
        <v>#N/A</v>
      </c>
      <c r="AD983" s="426" t="e">
        <f aca="false">IF(ABS(t-ROUND(t,0))&lt;0.001,pos_x,NA())</f>
        <v>#N/A</v>
      </c>
      <c r="AE983" s="427" t="e">
        <f aca="false">IF(t&lt;T_para, pos_z, NA())</f>
        <v>#N/A</v>
      </c>
      <c r="AF983" s="413"/>
      <c r="AG983" s="419" t="n">
        <f aca="false">IF(AND(L982&lt;L_rampe,Poussee&lt;Poids*SIN(M982)),0,(-W982+Poussee)/m-Poids*SIN(M982)/m)</f>
        <v>5.93542880832545</v>
      </c>
      <c r="AH983" s="418" t="n">
        <f aca="false">IF(AND(L982&lt;L_rampe,Poussee&lt;Poids*SIN(M982)), g*SIN(M982), (-W982+Poussee)/m)</f>
        <v>-3.77458673049189</v>
      </c>
    </row>
    <row r="984" customFormat="false" ht="12" hidden="false" customHeight="false" outlineLevel="0" collapsed="false">
      <c r="A984" s="417" t="n">
        <f aca="false">IF(B983+0.01&lt;=T_ini+ROUNDUP(Temps_fin_propu,0), 0.01, IF(K983&gt;0, 0.1, 0.0001))</f>
        <v>0.0001</v>
      </c>
      <c r="B984" s="418" t="n">
        <f aca="false">B983+pas</f>
        <v>16.5634999999998</v>
      </c>
      <c r="C984" s="402"/>
      <c r="D984" s="419" t="n">
        <f aca="false">IF(AND(L983&lt;L_rampe,Poussee&lt;Poids*SIN(M983)),0,(-W983+Poussee)/m*COS(M983)-U983/m*SIN(M983))</f>
        <v>-0.537536982600804</v>
      </c>
      <c r="E984" s="420" t="n">
        <f aca="false">IF(AND(L983&lt;L_rampe,Poussee&lt;Poids*SIN(M983)),0,(-W983+Poussee)/m*SIN(M983)+U983/m*COS(M983)-Poids/m)</f>
        <v>-6.07381891408031</v>
      </c>
      <c r="F984" s="418" t="n">
        <f aca="false">SQRT(acc_x^2+acc_z^2)</f>
        <v>6.09755870891813</v>
      </c>
      <c r="G984" s="419" t="n">
        <f aca="false">G983+acc_x*pas</f>
        <v>10.253141588706</v>
      </c>
      <c r="H984" s="420" t="n">
        <f aca="false">H983+acc_z*pas</f>
        <v>-71.266019341424</v>
      </c>
      <c r="I984" s="418" t="n">
        <f aca="false">SQRT(vit_x^2+vit_z^2)</f>
        <v>71.99980850815</v>
      </c>
      <c r="J984" s="419" t="n">
        <f aca="false">J983+0.5*(vit_x+G983)*pas*(K983&gt;=0)</f>
        <v>211.791153319536</v>
      </c>
      <c r="K984" s="420" t="n">
        <f aca="false">K983+0.5*(vit_z+H983)*pas</f>
        <v>-8.94598086820641</v>
      </c>
      <c r="L984" s="418" t="n">
        <f aca="false">SQRT(pos_x^2+pos_z^2)</f>
        <v>211.980006599947</v>
      </c>
      <c r="M984" s="419" t="n">
        <f aca="false">IF(AND(L983&gt;L_rampe,G984&gt;0),ATAN2(G984,H984),$M$4)</f>
        <v>-1.42790544694954</v>
      </c>
      <c r="N984" s="418" t="n">
        <f aca="false">DEGREES(Beta)</f>
        <v>-81.8129556539503</v>
      </c>
      <c r="O984" s="402"/>
      <c r="P984" s="421" t="n">
        <f aca="false">MATCH(t-pas/2-T_ini,CdP_t)</f>
        <v>23</v>
      </c>
      <c r="Q984" s="418" t="n">
        <f aca="false">(INDEX(CdP,2,i_P+1)-INDEX(CdP,2,i_P+0))/(INDEX(CdP,1,i_P+1)-INDEX(CdP,1,i_P+0))*(t-pas/2-T_ini-INDEX(CdP,1,i_P+0))+INDEX(CdP,2,i_P+0)</f>
        <v>0</v>
      </c>
      <c r="R984" s="419" t="n">
        <f aca="false">Poussee/(g*ISP)</f>
        <v>0</v>
      </c>
      <c r="S984" s="420" t="n">
        <f aca="false">S983-Débit*pas</f>
        <v>1.4843</v>
      </c>
      <c r="T984" s="418" t="n">
        <f aca="false">m*g</f>
        <v>14.560983</v>
      </c>
      <c r="U984" s="422" t="n">
        <f aca="false">IF(pos_xz&lt;L_rampe,Poids*COS(Beta),0)</f>
        <v>0</v>
      </c>
      <c r="V984" s="419" t="n">
        <f aca="false">Rho_moyen*(20000-Alt_rampe-pos_z)/(20000+Alt_rampe+pos_z)</f>
        <v>1.22609637306298</v>
      </c>
      <c r="W984" s="418" t="n">
        <f aca="false">1/2*Rho*Sref*Cx*vit_xz^2</f>
        <v>5.60281181808156</v>
      </c>
      <c r="X984" s="402"/>
      <c r="Y984" s="423" t="str">
        <f aca="false">IF(AND(pos_z&lt;=0,K983&gt;0),"Impact balistique","") &amp; IF(AND(H985&lt;0,vit_z&gt;=0),"Apogée","") &amp; IF(AND(Poussee=0,Q983&gt;0),"Fin de propulsion","") &amp; IF(AND(L985&gt;L_rampe,pos_xz&lt;=L_rampe),"Sortie de rampe","")</f>
        <v/>
      </c>
      <c r="Z984" s="424" t="str">
        <f aca="false">IF(ABS(t-T_para)&lt;pas/2,"Para","")</f>
        <v/>
      </c>
      <c r="AA984" s="425" t="str">
        <f aca="false">IF(ABS(t-T_satellite)&lt;pas/2,"Satellite","")</f>
        <v/>
      </c>
      <c r="AB984" s="413"/>
      <c r="AC984" s="421" t="e">
        <f aca="false">IF(ABS(t-ROUND(t,0))&lt;0.001,t,NA())</f>
        <v>#N/A</v>
      </c>
      <c r="AD984" s="426" t="e">
        <f aca="false">IF(ABS(t-ROUND(t,0))&lt;0.001,pos_x,NA())</f>
        <v>#N/A</v>
      </c>
      <c r="AE984" s="427" t="e">
        <f aca="false">IF(t&lt;T_para, pos_z, NA())</f>
        <v>#N/A</v>
      </c>
      <c r="AF984" s="413"/>
      <c r="AG984" s="419" t="n">
        <f aca="false">IF(AND(L983&lt;L_rampe,Poussee&lt;Poids*SIN(M983)),0,(-W983+Poussee)/m-Poids*SIN(M983)/m)</f>
        <v>5.93536659480496</v>
      </c>
      <c r="AH984" s="418" t="n">
        <f aca="false">IF(AND(L983&lt;L_rampe,Poussee&lt;Poids*SIN(M983)), g*SIN(M983), (-W983+Poussee)/m)</f>
        <v>-3.77465165471565</v>
      </c>
    </row>
    <row r="985" customFormat="false" ht="12" hidden="false" customHeight="false" outlineLevel="0" collapsed="false">
      <c r="A985" s="417" t="n">
        <f aca="false">IF(B984+0.01&lt;=T_ini+ROUNDUP(Temps_fin_propu,0), 0.01, IF(K984&gt;0, 0.1, 0.0001))</f>
        <v>0.0001</v>
      </c>
      <c r="B985" s="418" t="n">
        <f aca="false">B984+pas</f>
        <v>16.5635999999998</v>
      </c>
      <c r="C985" s="402"/>
      <c r="D985" s="419" t="n">
        <f aca="false">IF(AND(L984&lt;L_rampe,Poussee&lt;Poids*SIN(M984)),0,(-W984+Poussee)/m*COS(M984)-U984/m*SIN(M984))</f>
        <v>-0.537538978821821</v>
      </c>
      <c r="E985" s="420" t="n">
        <f aca="false">IF(AND(L984&lt;L_rampe,Poussee&lt;Poids*SIN(M984)),0,(-W984+Poussee)/m*SIN(M984)+U984/m*COS(M984)-Poids/m)</f>
        <v>-6.07375360858348</v>
      </c>
      <c r="F985" s="418" t="n">
        <f aca="false">SQRT(acc_x^2+acc_z^2)</f>
        <v>6.09749383366098</v>
      </c>
      <c r="G985" s="419" t="n">
        <f aca="false">G984+acc_x*pas</f>
        <v>10.2530878348081</v>
      </c>
      <c r="H985" s="420" t="n">
        <f aca="false">H984+acc_z*pas</f>
        <v>-71.2666267167849</v>
      </c>
      <c r="I985" s="418" t="n">
        <f aca="false">SQRT(vit_x^2+vit_z^2)</f>
        <v>72.0004020387237</v>
      </c>
      <c r="J985" s="419" t="n">
        <f aca="false">J984+0.5*(vit_x+G984)*pas*(K984&gt;=0)</f>
        <v>211.791153319536</v>
      </c>
      <c r="K985" s="420" t="n">
        <f aca="false">K984+0.5*(vit_z+H984)*pas</f>
        <v>-8.95310750050932</v>
      </c>
      <c r="L985" s="418" t="n">
        <f aca="false">SQRT(pos_x^2+pos_z^2)</f>
        <v>211.980307477688</v>
      </c>
      <c r="M985" s="419" t="n">
        <f aca="false">IF(AND(L984&gt;L_rampe,G985&gt;0),ATAN2(G985,H985),$M$4)</f>
        <v>-1.42790738720851</v>
      </c>
      <c r="N985" s="418" t="n">
        <f aca="false">DEGREES(Beta)</f>
        <v>-81.8130668226003</v>
      </c>
      <c r="O985" s="402"/>
      <c r="P985" s="421" t="n">
        <f aca="false">MATCH(t-pas/2-T_ini,CdP_t)</f>
        <v>23</v>
      </c>
      <c r="Q985" s="418" t="n">
        <f aca="false">(INDEX(CdP,2,i_P+1)-INDEX(CdP,2,i_P+0))/(INDEX(CdP,1,i_P+1)-INDEX(CdP,1,i_P+0))*(t-pas/2-T_ini-INDEX(CdP,1,i_P+0))+INDEX(CdP,2,i_P+0)</f>
        <v>0</v>
      </c>
      <c r="R985" s="419" t="n">
        <f aca="false">Poussee/(g*ISP)</f>
        <v>0</v>
      </c>
      <c r="S985" s="420" t="n">
        <f aca="false">S984-Débit*pas</f>
        <v>1.4843</v>
      </c>
      <c r="T985" s="418" t="n">
        <f aca="false">m*g</f>
        <v>14.560983</v>
      </c>
      <c r="U985" s="422" t="n">
        <f aca="false">IF(pos_xz&lt;L_rampe,Poids*COS(Beta),0)</f>
        <v>0</v>
      </c>
      <c r="V985" s="419" t="n">
        <f aca="false">Rho_moyen*(20000-Alt_rampe-pos_z)/(20000+Alt_rampe+pos_z)</f>
        <v>1.22609724685727</v>
      </c>
      <c r="W985" s="418" t="n">
        <f aca="false">1/2*Rho*Sref*Cx*vit_xz^2</f>
        <v>5.60290818503046</v>
      </c>
      <c r="X985" s="402"/>
      <c r="Y985" s="423" t="str">
        <f aca="false">IF(AND(pos_z&lt;=0,K984&gt;0),"Impact balistique","") &amp; IF(AND(H986&lt;0,vit_z&gt;=0),"Apogée","") &amp; IF(AND(Poussee=0,Q984&gt;0),"Fin de propulsion","") &amp; IF(AND(L986&gt;L_rampe,pos_xz&lt;=L_rampe),"Sortie de rampe","")</f>
        <v/>
      </c>
      <c r="Z985" s="424" t="str">
        <f aca="false">IF(ABS(t-T_para)&lt;pas/2,"Para","")</f>
        <v/>
      </c>
      <c r="AA985" s="425" t="str">
        <f aca="false">IF(ABS(t-T_satellite)&lt;pas/2,"Satellite","")</f>
        <v/>
      </c>
      <c r="AB985" s="413"/>
      <c r="AC985" s="421" t="e">
        <f aca="false">IF(ABS(t-ROUND(t,0))&lt;0.001,t,NA())</f>
        <v>#N/A</v>
      </c>
      <c r="AD985" s="426" t="e">
        <f aca="false">IF(ABS(t-ROUND(t,0))&lt;0.001,pos_x,NA())</f>
        <v>#N/A</v>
      </c>
      <c r="AE985" s="427" t="e">
        <f aca="false">IF(t&lt;T_para, pos_z, NA())</f>
        <v>#N/A</v>
      </c>
      <c r="AF985" s="413"/>
      <c r="AG985" s="419" t="n">
        <f aca="false">IF(AND(L984&lt;L_rampe,Poussee&lt;Poids*SIN(M984)),0,(-W984+Poussee)/m-Poids*SIN(M984)/m)</f>
        <v>5.93530438121475</v>
      </c>
      <c r="AH985" s="418" t="n">
        <f aca="false">IF(AND(L984&lt;L_rampe,Poussee&lt;Poids*SIN(M984)), g*SIN(M984), (-W984+Poussee)/m)</f>
        <v>-3.77471657891367</v>
      </c>
    </row>
    <row r="986" customFormat="false" ht="12" hidden="false" customHeight="false" outlineLevel="0" collapsed="false">
      <c r="A986" s="417" t="n">
        <f aca="false">IF(B985+0.01&lt;=T_ini+ROUNDUP(Temps_fin_propu,0), 0.01, IF(K985&gt;0, 0.1, 0.0001))</f>
        <v>0.0001</v>
      </c>
      <c r="B986" s="418" t="n">
        <f aca="false">B985+pas</f>
        <v>16.5636999999998</v>
      </c>
      <c r="C986" s="402"/>
      <c r="D986" s="419" t="n">
        <f aca="false">IF(AND(L985&lt;L_rampe,Poussee&lt;Poids*SIN(M985)),0,(-W985+Poussee)/m*COS(M985)-U985/m*SIN(M985))</f>
        <v>-0.537540974945299</v>
      </c>
      <c r="E986" s="420" t="n">
        <f aca="false">IF(AND(L985&lt;L_rampe,Poussee&lt;Poids*SIN(M985)),0,(-W985+Poussee)/m*SIN(M985)+U985/m*COS(M985)-Poids/m)</f>
        <v>-6.073688303113</v>
      </c>
      <c r="F986" s="418" t="n">
        <f aca="false">SQRT(acc_x^2+acc_z^2)</f>
        <v>6.09742895843132</v>
      </c>
      <c r="G986" s="419" t="n">
        <f aca="false">G985+acc_x*pas</f>
        <v>10.2530340807106</v>
      </c>
      <c r="H986" s="420" t="n">
        <f aca="false">H985+acc_z*pas</f>
        <v>-71.2672340856152</v>
      </c>
      <c r="I986" s="418" t="n">
        <f aca="false">SQRT(vit_x^2+vit_z^2)</f>
        <v>72.000995563076</v>
      </c>
      <c r="J986" s="419" t="n">
        <f aca="false">J985+0.5*(vit_x+G985)*pas*(K985&gt;=0)</f>
        <v>211.791153319536</v>
      </c>
      <c r="K986" s="420" t="n">
        <f aca="false">K985+0.5*(vit_z+H985)*pas</f>
        <v>-8.96023419354944</v>
      </c>
      <c r="L986" s="418" t="n">
        <f aca="false">SQRT(pos_x^2+pos_z^2)</f>
        <v>211.98060859716</v>
      </c>
      <c r="M986" s="419" t="n">
        <f aca="false">IF(AND(L985&gt;L_rampe,G986&gt;0),ATAN2(G986,H986),$M$4)</f>
        <v>-1.42790932742532</v>
      </c>
      <c r="N986" s="418" t="n">
        <f aca="false">DEGREES(Beta)</f>
        <v>-81.8131779888346</v>
      </c>
      <c r="O986" s="402"/>
      <c r="P986" s="421" t="n">
        <f aca="false">MATCH(t-pas/2-T_ini,CdP_t)</f>
        <v>23</v>
      </c>
      <c r="Q986" s="418" t="n">
        <f aca="false">(INDEX(CdP,2,i_P+1)-INDEX(CdP,2,i_P+0))/(INDEX(CdP,1,i_P+1)-INDEX(CdP,1,i_P+0))*(t-pas/2-T_ini-INDEX(CdP,1,i_P+0))+INDEX(CdP,2,i_P+0)</f>
        <v>0</v>
      </c>
      <c r="R986" s="419" t="n">
        <f aca="false">Poussee/(g*ISP)</f>
        <v>0</v>
      </c>
      <c r="S986" s="420" t="n">
        <f aca="false">S985-Débit*pas</f>
        <v>1.4843</v>
      </c>
      <c r="T986" s="418" t="n">
        <f aca="false">m*g</f>
        <v>14.560983</v>
      </c>
      <c r="U986" s="422" t="n">
        <f aca="false">IF(pos_xz&lt;L_rampe,Poids*COS(Beta),0)</f>
        <v>0</v>
      </c>
      <c r="V986" s="419" t="n">
        <f aca="false">Rho_moyen*(20000-Alt_rampe-pos_z)/(20000+Alt_rampe+pos_z)</f>
        <v>1.22609812065962</v>
      </c>
      <c r="W986" s="418" t="n">
        <f aca="false">1/2*Rho*Sref*Cx*vit_xz^2</f>
        <v>5.6030045519411</v>
      </c>
      <c r="X986" s="402"/>
      <c r="Y986" s="423" t="str">
        <f aca="false">IF(AND(pos_z&lt;=0,K985&gt;0),"Impact balistique","") &amp; IF(AND(H987&lt;0,vit_z&gt;=0),"Apogée","") &amp; IF(AND(Poussee=0,Q985&gt;0),"Fin de propulsion","") &amp; IF(AND(L987&gt;L_rampe,pos_xz&lt;=L_rampe),"Sortie de rampe","")</f>
        <v/>
      </c>
      <c r="Z986" s="424" t="str">
        <f aca="false">IF(ABS(t-T_para)&lt;pas/2,"Para","")</f>
        <v/>
      </c>
      <c r="AA986" s="425" t="str">
        <f aca="false">IF(ABS(t-T_satellite)&lt;pas/2,"Satellite","")</f>
        <v/>
      </c>
      <c r="AB986" s="413"/>
      <c r="AC986" s="421" t="e">
        <f aca="false">IF(ABS(t-ROUND(t,0))&lt;0.001,t,NA())</f>
        <v>#N/A</v>
      </c>
      <c r="AD986" s="426" t="e">
        <f aca="false">IF(ABS(t-ROUND(t,0))&lt;0.001,pos_x,NA())</f>
        <v>#N/A</v>
      </c>
      <c r="AE986" s="427" t="e">
        <f aca="false">IF(t&lt;T_para, pos_z, NA())</f>
        <v>#N/A</v>
      </c>
      <c r="AF986" s="413"/>
      <c r="AG986" s="419" t="n">
        <f aca="false">IF(AND(L985&lt;L_rampe,Poussee&lt;Poids*SIN(M985)),0,(-W985+Poussee)/m-Poids*SIN(M985)/m)</f>
        <v>5.93524216755484</v>
      </c>
      <c r="AH986" s="418" t="n">
        <f aca="false">IF(AND(L985&lt;L_rampe,Poussee&lt;Poids*SIN(M985)), g*SIN(M985), (-W985+Poussee)/m)</f>
        <v>-3.77478150308594</v>
      </c>
    </row>
    <row r="987" customFormat="false" ht="12" hidden="false" customHeight="false" outlineLevel="0" collapsed="false">
      <c r="A987" s="417" t="n">
        <f aca="false">IF(B986+0.01&lt;=T_ini+ROUNDUP(Temps_fin_propu,0), 0.01, IF(K986&gt;0, 0.1, 0.0001))</f>
        <v>0.0001</v>
      </c>
      <c r="B987" s="418" t="n">
        <f aca="false">B986+pas</f>
        <v>16.5637999999998</v>
      </c>
      <c r="C987" s="402"/>
      <c r="D987" s="419" t="n">
        <f aca="false">IF(AND(L986&lt;L_rampe,Poussee&lt;Poids*SIN(M986)),0,(-W986+Poussee)/m*COS(M986)-U986/m*SIN(M986))</f>
        <v>-0.537542970971238</v>
      </c>
      <c r="E987" s="420" t="n">
        <f aca="false">IF(AND(L986&lt;L_rampe,Poussee&lt;Poids*SIN(M986)),0,(-W986+Poussee)/m*SIN(M986)+U986/m*COS(M986)-Poids/m)</f>
        <v>-6.07362299766887</v>
      </c>
      <c r="F987" s="418" t="n">
        <f aca="false">SQRT(acc_x^2+acc_z^2)</f>
        <v>6.09736408322915</v>
      </c>
      <c r="G987" s="419" t="n">
        <f aca="false">G986+acc_x*pas</f>
        <v>10.2529803264135</v>
      </c>
      <c r="H987" s="420" t="n">
        <f aca="false">H986+acc_z*pas</f>
        <v>-71.267841447915</v>
      </c>
      <c r="I987" s="418" t="n">
        <f aca="false">SQRT(vit_x^2+vit_z^2)</f>
        <v>72.0015890812068</v>
      </c>
      <c r="J987" s="419" t="n">
        <f aca="false">J986+0.5*(vit_x+G986)*pas*(K986&gt;=0)</f>
        <v>211.791153319536</v>
      </c>
      <c r="K987" s="420" t="n">
        <f aca="false">K986+0.5*(vit_z+H986)*pas</f>
        <v>-8.96736094732612</v>
      </c>
      <c r="L987" s="418" t="n">
        <f aca="false">SQRT(pos_x^2+pos_z^2)</f>
        <v>211.980909958371</v>
      </c>
      <c r="M987" s="419" t="n">
        <f aca="false">IF(AND(L986&gt;L_rampe,G987&gt;0),ATAN2(G987,H987),$M$4)</f>
        <v>-1.42791126759996</v>
      </c>
      <c r="N987" s="418" t="n">
        <f aca="false">DEGREES(Beta)</f>
        <v>-81.8132891526535</v>
      </c>
      <c r="O987" s="402"/>
      <c r="P987" s="421" t="n">
        <f aca="false">MATCH(t-pas/2-T_ini,CdP_t)</f>
        <v>23</v>
      </c>
      <c r="Q987" s="418" t="n">
        <f aca="false">(INDEX(CdP,2,i_P+1)-INDEX(CdP,2,i_P+0))/(INDEX(CdP,1,i_P+1)-INDEX(CdP,1,i_P+0))*(t-pas/2-T_ini-INDEX(CdP,1,i_P+0))+INDEX(CdP,2,i_P+0)</f>
        <v>0</v>
      </c>
      <c r="R987" s="419" t="n">
        <f aca="false">Poussee/(g*ISP)</f>
        <v>0</v>
      </c>
      <c r="S987" s="420" t="n">
        <f aca="false">S986-Débit*pas</f>
        <v>1.4843</v>
      </c>
      <c r="T987" s="418" t="n">
        <f aca="false">m*g</f>
        <v>14.560983</v>
      </c>
      <c r="U987" s="422" t="n">
        <f aca="false">IF(pos_xz&lt;L_rampe,Poids*COS(Beta),0)</f>
        <v>0</v>
      </c>
      <c r="V987" s="419" t="n">
        <f aca="false">Rho_moyen*(20000-Alt_rampe-pos_z)/(20000+Alt_rampe+pos_z)</f>
        <v>1.22609899447005</v>
      </c>
      <c r="W987" s="418" t="n">
        <f aca="false">1/2*Rho*Sref*Cx*vit_xz^2</f>
        <v>5.60310091881347</v>
      </c>
      <c r="X987" s="402"/>
      <c r="Y987" s="423" t="str">
        <f aca="false">IF(AND(pos_z&lt;=0,K986&gt;0),"Impact balistique","") &amp; IF(AND(H988&lt;0,vit_z&gt;=0),"Apogée","") &amp; IF(AND(Poussee=0,Q986&gt;0),"Fin de propulsion","") &amp; IF(AND(L988&gt;L_rampe,pos_xz&lt;=L_rampe),"Sortie de rampe","")</f>
        <v/>
      </c>
      <c r="Z987" s="424" t="str">
        <f aca="false">IF(ABS(t-T_para)&lt;pas/2,"Para","")</f>
        <v/>
      </c>
      <c r="AA987" s="425" t="str">
        <f aca="false">IF(ABS(t-T_satellite)&lt;pas/2,"Satellite","")</f>
        <v/>
      </c>
      <c r="AB987" s="413"/>
      <c r="AC987" s="421" t="e">
        <f aca="false">IF(ABS(t-ROUND(t,0))&lt;0.001,t,NA())</f>
        <v>#N/A</v>
      </c>
      <c r="AD987" s="426" t="e">
        <f aca="false">IF(ABS(t-ROUND(t,0))&lt;0.001,pos_x,NA())</f>
        <v>#N/A</v>
      </c>
      <c r="AE987" s="427" t="e">
        <f aca="false">IF(t&lt;T_para, pos_z, NA())</f>
        <v>#N/A</v>
      </c>
      <c r="AF987" s="413"/>
      <c r="AG987" s="419" t="n">
        <f aca="false">IF(AND(L986&lt;L_rampe,Poussee&lt;Poids*SIN(M986)),0,(-W986+Poussee)/m-Poids*SIN(M986)/m)</f>
        <v>5.93517995382525</v>
      </c>
      <c r="AH987" s="418" t="n">
        <f aca="false">IF(AND(L986&lt;L_rampe,Poussee&lt;Poids*SIN(M986)), g*SIN(M986), (-W986+Poussee)/m)</f>
        <v>-3.77484642723244</v>
      </c>
    </row>
    <row r="988" customFormat="false" ht="12" hidden="false" customHeight="false" outlineLevel="0" collapsed="false">
      <c r="A988" s="417" t="n">
        <f aca="false">IF(B987+0.01&lt;=T_ini+ROUNDUP(Temps_fin_propu,0), 0.01, IF(K987&gt;0, 0.1, 0.0001))</f>
        <v>0.0001</v>
      </c>
      <c r="B988" s="418" t="n">
        <f aca="false">B987+pas</f>
        <v>16.5638999999998</v>
      </c>
      <c r="C988" s="402"/>
      <c r="D988" s="419" t="n">
        <f aca="false">IF(AND(L987&lt;L_rampe,Poussee&lt;Poids*SIN(M987)),0,(-W987+Poussee)/m*COS(M987)-U987/m*SIN(M987))</f>
        <v>-0.537544966899639</v>
      </c>
      <c r="E988" s="420" t="n">
        <f aca="false">IF(AND(L987&lt;L_rampe,Poussee&lt;Poids*SIN(M987)),0,(-W987+Poussee)/m*SIN(M987)+U987/m*COS(M987)-Poids/m)</f>
        <v>-6.07355769225113</v>
      </c>
      <c r="F988" s="418" t="n">
        <f aca="false">SQRT(acc_x^2+acc_z^2)</f>
        <v>6.0972992080545</v>
      </c>
      <c r="G988" s="419" t="n">
        <f aca="false">G987+acc_x*pas</f>
        <v>10.2529265719168</v>
      </c>
      <c r="H988" s="420" t="n">
        <f aca="false">H987+acc_z*pas</f>
        <v>-71.2684488036842</v>
      </c>
      <c r="I988" s="418" t="n">
        <f aca="false">SQRT(vit_x^2+vit_z^2)</f>
        <v>72.0021825931164</v>
      </c>
      <c r="J988" s="419" t="n">
        <f aca="false">J987+0.5*(vit_x+G987)*pas*(K987&gt;=0)</f>
        <v>211.791153319536</v>
      </c>
      <c r="K988" s="420" t="n">
        <f aca="false">K987+0.5*(vit_z+H987)*pas</f>
        <v>-8.9744877618387</v>
      </c>
      <c r="L988" s="418" t="n">
        <f aca="false">SQRT(pos_x^2+pos_z^2)</f>
        <v>211.981211561324</v>
      </c>
      <c r="M988" s="419" t="n">
        <f aca="false">IF(AND(L987&gt;L_rampe,G988&gt;0),ATAN2(G988,H988),$M$4)</f>
        <v>-1.42791320773246</v>
      </c>
      <c r="N988" s="418" t="n">
        <f aca="false">DEGREES(Beta)</f>
        <v>-81.8134003140569</v>
      </c>
      <c r="O988" s="402"/>
      <c r="P988" s="421" t="n">
        <f aca="false">MATCH(t-pas/2-T_ini,CdP_t)</f>
        <v>23</v>
      </c>
      <c r="Q988" s="418" t="n">
        <f aca="false">(INDEX(CdP,2,i_P+1)-INDEX(CdP,2,i_P+0))/(INDEX(CdP,1,i_P+1)-INDEX(CdP,1,i_P+0))*(t-pas/2-T_ini-INDEX(CdP,1,i_P+0))+INDEX(CdP,2,i_P+0)</f>
        <v>0</v>
      </c>
      <c r="R988" s="419" t="n">
        <f aca="false">Poussee/(g*ISP)</f>
        <v>0</v>
      </c>
      <c r="S988" s="420" t="n">
        <f aca="false">S987-Débit*pas</f>
        <v>1.4843</v>
      </c>
      <c r="T988" s="418" t="n">
        <f aca="false">m*g</f>
        <v>14.560983</v>
      </c>
      <c r="U988" s="422" t="n">
        <f aca="false">IF(pos_xz&lt;L_rampe,Poids*COS(Beta),0)</f>
        <v>0</v>
      </c>
      <c r="V988" s="419" t="n">
        <f aca="false">Rho_moyen*(20000-Alt_rampe-pos_z)/(20000+Alt_rampe+pos_z)</f>
        <v>1.22609986828855</v>
      </c>
      <c r="W988" s="418" t="n">
        <f aca="false">1/2*Rho*Sref*Cx*vit_xz^2</f>
        <v>5.60319728564755</v>
      </c>
      <c r="X988" s="402"/>
      <c r="Y988" s="423" t="str">
        <f aca="false">IF(AND(pos_z&lt;=0,K987&gt;0),"Impact balistique","") &amp; IF(AND(H989&lt;0,vit_z&gt;=0),"Apogée","") &amp; IF(AND(Poussee=0,Q987&gt;0),"Fin de propulsion","") &amp; IF(AND(L989&gt;L_rampe,pos_xz&lt;=L_rampe),"Sortie de rampe","")</f>
        <v/>
      </c>
      <c r="Z988" s="424" t="str">
        <f aca="false">IF(ABS(t-T_para)&lt;pas/2,"Para","")</f>
        <v/>
      </c>
      <c r="AA988" s="425" t="str">
        <f aca="false">IF(ABS(t-T_satellite)&lt;pas/2,"Satellite","")</f>
        <v/>
      </c>
      <c r="AB988" s="413"/>
      <c r="AC988" s="421" t="e">
        <f aca="false">IF(ABS(t-ROUND(t,0))&lt;0.001,t,NA())</f>
        <v>#N/A</v>
      </c>
      <c r="AD988" s="426" t="e">
        <f aca="false">IF(ABS(t-ROUND(t,0))&lt;0.001,pos_x,NA())</f>
        <v>#N/A</v>
      </c>
      <c r="AE988" s="427" t="e">
        <f aca="false">IF(t&lt;T_para, pos_z, NA())</f>
        <v>#N/A</v>
      </c>
      <c r="AF988" s="413"/>
      <c r="AG988" s="419" t="n">
        <f aca="false">IF(AND(L987&lt;L_rampe,Poussee&lt;Poids*SIN(M987)),0,(-W987+Poussee)/m-Poids*SIN(M987)/m)</f>
        <v>5.935117740026</v>
      </c>
      <c r="AH988" s="418" t="n">
        <f aca="false">IF(AND(L987&lt;L_rampe,Poussee&lt;Poids*SIN(M987)), g*SIN(M987), (-W987+Poussee)/m)</f>
        <v>-3.77491135135315</v>
      </c>
    </row>
    <row r="989" customFormat="false" ht="12" hidden="false" customHeight="false" outlineLevel="0" collapsed="false">
      <c r="A989" s="417" t="n">
        <f aca="false">IF(B988+0.01&lt;=T_ini+ROUNDUP(Temps_fin_propu,0), 0.01, IF(K988&gt;0, 0.1, 0.0001))</f>
        <v>0.0001</v>
      </c>
      <c r="B989" s="418" t="n">
        <f aca="false">B988+pas</f>
        <v>16.5639999999998</v>
      </c>
      <c r="C989" s="402"/>
      <c r="D989" s="419" t="n">
        <f aca="false">IF(AND(L988&lt;L_rampe,Poussee&lt;Poids*SIN(M988)),0,(-W988+Poussee)/m*COS(M988)-U988/m*SIN(M988))</f>
        <v>-0.537546962730504</v>
      </c>
      <c r="E989" s="420" t="n">
        <f aca="false">IF(AND(L988&lt;L_rampe,Poussee&lt;Poids*SIN(M988)),0,(-W988+Poussee)/m*SIN(M988)+U988/m*COS(M988)-Poids/m)</f>
        <v>-6.07349238685977</v>
      </c>
      <c r="F989" s="418" t="n">
        <f aca="false">SQRT(acc_x^2+acc_z^2)</f>
        <v>6.09723433290737</v>
      </c>
      <c r="G989" s="419" t="n">
        <f aca="false">G988+acc_x*pas</f>
        <v>10.2528728172205</v>
      </c>
      <c r="H989" s="420" t="n">
        <f aca="false">H988+acc_z*pas</f>
        <v>-71.2690561529229</v>
      </c>
      <c r="I989" s="418" t="n">
        <f aca="false">SQRT(vit_x^2+vit_z^2)</f>
        <v>72.0027760988045</v>
      </c>
      <c r="J989" s="419" t="n">
        <f aca="false">J988+0.5*(vit_x+G988)*pas*(K988&gt;=0)</f>
        <v>211.791153319536</v>
      </c>
      <c r="K989" s="420" t="n">
        <f aca="false">K988+0.5*(vit_z+H988)*pas</f>
        <v>-8.98161463708653</v>
      </c>
      <c r="L989" s="418" t="n">
        <f aca="false">SQRT(pos_x^2+pos_z^2)</f>
        <v>211.981513406024</v>
      </c>
      <c r="M989" s="419" t="n">
        <f aca="false">IF(AND(L988&gt;L_rampe,G989&gt;0),ATAN2(G989,H989),$M$4)</f>
        <v>-1.42791514782279</v>
      </c>
      <c r="N989" s="418" t="n">
        <f aca="false">DEGREES(Beta)</f>
        <v>-81.8135114730449</v>
      </c>
      <c r="O989" s="402"/>
      <c r="P989" s="421" t="n">
        <f aca="false">MATCH(t-pas/2-T_ini,CdP_t)</f>
        <v>23</v>
      </c>
      <c r="Q989" s="418" t="n">
        <f aca="false">(INDEX(CdP,2,i_P+1)-INDEX(CdP,2,i_P+0))/(INDEX(CdP,1,i_P+1)-INDEX(CdP,1,i_P+0))*(t-pas/2-T_ini-INDEX(CdP,1,i_P+0))+INDEX(CdP,2,i_P+0)</f>
        <v>0</v>
      </c>
      <c r="R989" s="419" t="n">
        <f aca="false">Poussee/(g*ISP)</f>
        <v>0</v>
      </c>
      <c r="S989" s="420" t="n">
        <f aca="false">S988-Débit*pas</f>
        <v>1.4843</v>
      </c>
      <c r="T989" s="418" t="n">
        <f aca="false">m*g</f>
        <v>14.560983</v>
      </c>
      <c r="U989" s="422" t="n">
        <f aca="false">IF(pos_xz&lt;L_rampe,Poids*COS(Beta),0)</f>
        <v>0</v>
      </c>
      <c r="V989" s="419" t="n">
        <f aca="false">Rho_moyen*(20000-Alt_rampe-pos_z)/(20000+Alt_rampe+pos_z)</f>
        <v>1.22610074211512</v>
      </c>
      <c r="W989" s="418" t="n">
        <f aca="false">1/2*Rho*Sref*Cx*vit_xz^2</f>
        <v>5.6032936524433</v>
      </c>
      <c r="X989" s="402"/>
      <c r="Y989" s="423" t="str">
        <f aca="false">IF(AND(pos_z&lt;=0,K988&gt;0),"Impact balistique","") &amp; IF(AND(H990&lt;0,vit_z&gt;=0),"Apogée","") &amp; IF(AND(Poussee=0,Q988&gt;0),"Fin de propulsion","") &amp; IF(AND(L990&gt;L_rampe,pos_xz&lt;=L_rampe),"Sortie de rampe","")</f>
        <v/>
      </c>
      <c r="Z989" s="424" t="str">
        <f aca="false">IF(ABS(t-T_para)&lt;pas/2,"Para","")</f>
        <v/>
      </c>
      <c r="AA989" s="425" t="str">
        <f aca="false">IF(ABS(t-T_satellite)&lt;pas/2,"Satellite","")</f>
        <v/>
      </c>
      <c r="AB989" s="413"/>
      <c r="AC989" s="421" t="e">
        <f aca="false">IF(ABS(t-ROUND(t,0))&lt;0.001,t,NA())</f>
        <v>#N/A</v>
      </c>
      <c r="AD989" s="426" t="e">
        <f aca="false">IF(ABS(t-ROUND(t,0))&lt;0.001,pos_x,NA())</f>
        <v>#N/A</v>
      </c>
      <c r="AE989" s="427" t="e">
        <f aca="false">IF(t&lt;T_para, pos_z, NA())</f>
        <v>#N/A</v>
      </c>
      <c r="AF989" s="413"/>
      <c r="AG989" s="419" t="n">
        <f aca="false">IF(AND(L988&lt;L_rampe,Poussee&lt;Poids*SIN(M988)),0,(-W988+Poussee)/m-Poids*SIN(M988)/m)</f>
        <v>5.9350555261571</v>
      </c>
      <c r="AH989" s="418" t="n">
        <f aca="false">IF(AND(L988&lt;L_rampe,Poussee&lt;Poids*SIN(M988)), g*SIN(M988), (-W988+Poussee)/m)</f>
        <v>-3.77497627544806</v>
      </c>
    </row>
    <row r="990" customFormat="false" ht="12" hidden="false" customHeight="false" outlineLevel="0" collapsed="false">
      <c r="A990" s="417" t="n">
        <f aca="false">IF(B989+0.01&lt;=T_ini+ROUNDUP(Temps_fin_propu,0), 0.01, IF(K989&gt;0, 0.1, 0.0001))</f>
        <v>0.0001</v>
      </c>
      <c r="B990" s="418" t="n">
        <f aca="false">B989+pas</f>
        <v>16.5640999999998</v>
      </c>
      <c r="C990" s="402"/>
      <c r="D990" s="419" t="n">
        <f aca="false">IF(AND(L989&lt;L_rampe,Poussee&lt;Poids*SIN(M989)),0,(-W989+Poussee)/m*COS(M989)-U989/m*SIN(M989))</f>
        <v>-0.537548958463833</v>
      </c>
      <c r="E990" s="420" t="n">
        <f aca="false">IF(AND(L989&lt;L_rampe,Poussee&lt;Poids*SIN(M989)),0,(-W989+Poussee)/m*SIN(M989)+U989/m*COS(M989)-Poids/m)</f>
        <v>-6.07342708149482</v>
      </c>
      <c r="F990" s="418" t="n">
        <f aca="false">SQRT(acc_x^2+acc_z^2)</f>
        <v>6.09716945778779</v>
      </c>
      <c r="G990" s="419" t="n">
        <f aca="false">G989+acc_x*pas</f>
        <v>10.2528190623247</v>
      </c>
      <c r="H990" s="420" t="n">
        <f aca="false">H989+acc_z*pas</f>
        <v>-71.269663495631</v>
      </c>
      <c r="I990" s="418" t="n">
        <f aca="false">SQRT(vit_x^2+vit_z^2)</f>
        <v>72.0033695982712</v>
      </c>
      <c r="J990" s="419" t="n">
        <f aca="false">J989+0.5*(vit_x+G989)*pas*(K989&gt;=0)</f>
        <v>211.791153319536</v>
      </c>
      <c r="K990" s="420" t="n">
        <f aca="false">K989+0.5*(vit_z+H989)*pas</f>
        <v>-8.98874157306896</v>
      </c>
      <c r="L990" s="418" t="n">
        <f aca="false">SQRT(pos_x^2+pos_z^2)</f>
        <v>211.981815492477</v>
      </c>
      <c r="M990" s="419" t="n">
        <f aca="false">IF(AND(L989&gt;L_rampe,G990&gt;0),ATAN2(G990,H990),$M$4)</f>
        <v>-1.42791708787097</v>
      </c>
      <c r="N990" s="418" t="n">
        <f aca="false">DEGREES(Beta)</f>
        <v>-81.8136226296176</v>
      </c>
      <c r="O990" s="402"/>
      <c r="P990" s="421" t="n">
        <f aca="false">MATCH(t-pas/2-T_ini,CdP_t)</f>
        <v>23</v>
      </c>
      <c r="Q990" s="418" t="n">
        <f aca="false">(INDEX(CdP,2,i_P+1)-INDEX(CdP,2,i_P+0))/(INDEX(CdP,1,i_P+1)-INDEX(CdP,1,i_P+0))*(t-pas/2-T_ini-INDEX(CdP,1,i_P+0))+INDEX(CdP,2,i_P+0)</f>
        <v>0</v>
      </c>
      <c r="R990" s="419" t="n">
        <f aca="false">Poussee/(g*ISP)</f>
        <v>0</v>
      </c>
      <c r="S990" s="420" t="n">
        <f aca="false">S989-Débit*pas</f>
        <v>1.4843</v>
      </c>
      <c r="T990" s="418" t="n">
        <f aca="false">m*g</f>
        <v>14.560983</v>
      </c>
      <c r="U990" s="422" t="n">
        <f aca="false">IF(pos_xz&lt;L_rampe,Poids*COS(Beta),0)</f>
        <v>0</v>
      </c>
      <c r="V990" s="419" t="n">
        <f aca="false">Rho_moyen*(20000-Alt_rampe-pos_z)/(20000+Alt_rampe+pos_z)</f>
        <v>1.22610161594976</v>
      </c>
      <c r="W990" s="418" t="n">
        <f aca="false">1/2*Rho*Sref*Cx*vit_xz^2</f>
        <v>5.60339001920071</v>
      </c>
      <c r="X990" s="402"/>
      <c r="Y990" s="423" t="str">
        <f aca="false">IF(AND(pos_z&lt;=0,K989&gt;0),"Impact balistique","") &amp; IF(AND(H991&lt;0,vit_z&gt;=0),"Apogée","") &amp; IF(AND(Poussee=0,Q989&gt;0),"Fin de propulsion","") &amp; IF(AND(L991&gt;L_rampe,pos_xz&lt;=L_rampe),"Sortie de rampe","")</f>
        <v/>
      </c>
      <c r="Z990" s="424" t="str">
        <f aca="false">IF(ABS(t-T_para)&lt;pas/2,"Para","")</f>
        <v/>
      </c>
      <c r="AA990" s="425" t="str">
        <f aca="false">IF(ABS(t-T_satellite)&lt;pas/2,"Satellite","")</f>
        <v/>
      </c>
      <c r="AB990" s="413"/>
      <c r="AC990" s="421" t="e">
        <f aca="false">IF(ABS(t-ROUND(t,0))&lt;0.001,t,NA())</f>
        <v>#N/A</v>
      </c>
      <c r="AD990" s="426" t="e">
        <f aca="false">IF(ABS(t-ROUND(t,0))&lt;0.001,pos_x,NA())</f>
        <v>#N/A</v>
      </c>
      <c r="AE990" s="427" t="e">
        <f aca="false">IF(t&lt;T_para, pos_z, NA())</f>
        <v>#N/A</v>
      </c>
      <c r="AF990" s="413"/>
      <c r="AG990" s="419" t="n">
        <f aca="false">IF(AND(L989&lt;L_rampe,Poussee&lt;Poids*SIN(M989)),0,(-W989+Poussee)/m-Poids*SIN(M989)/m)</f>
        <v>5.93499331221859</v>
      </c>
      <c r="AH990" s="418" t="n">
        <f aca="false">IF(AND(L989&lt;L_rampe,Poussee&lt;Poids*SIN(M989)), g*SIN(M989), (-W989+Poussee)/m)</f>
        <v>-3.77504119951715</v>
      </c>
    </row>
    <row r="991" customFormat="false" ht="12" hidden="false" customHeight="false" outlineLevel="0" collapsed="false">
      <c r="A991" s="417" t="n">
        <f aca="false">IF(B990+0.01&lt;=T_ini+ROUNDUP(Temps_fin_propu,0), 0.01, IF(K990&gt;0, 0.1, 0.0001))</f>
        <v>0.0001</v>
      </c>
      <c r="B991" s="418" t="n">
        <f aca="false">B990+pas</f>
        <v>16.5641999999998</v>
      </c>
      <c r="C991" s="402"/>
      <c r="D991" s="419" t="n">
        <f aca="false">IF(AND(L990&lt;L_rampe,Poussee&lt;Poids*SIN(M990)),0,(-W990+Poussee)/m*COS(M990)-U990/m*SIN(M990))</f>
        <v>-0.537550954099627</v>
      </c>
      <c r="E991" s="420" t="n">
        <f aca="false">IF(AND(L990&lt;L_rampe,Poussee&lt;Poids*SIN(M990)),0,(-W990+Poussee)/m*SIN(M990)+U990/m*COS(M990)-Poids/m)</f>
        <v>-6.07336177615629</v>
      </c>
      <c r="F991" s="418" t="n">
        <f aca="false">SQRT(acc_x^2+acc_z^2)</f>
        <v>6.09710458269577</v>
      </c>
      <c r="G991" s="419" t="n">
        <f aca="false">G990+acc_x*pas</f>
        <v>10.2527653072293</v>
      </c>
      <c r="H991" s="420" t="n">
        <f aca="false">H990+acc_z*pas</f>
        <v>-71.2702708318086</v>
      </c>
      <c r="I991" s="418" t="n">
        <f aca="false">SQRT(vit_x^2+vit_z^2)</f>
        <v>72.0039630915165</v>
      </c>
      <c r="J991" s="419" t="n">
        <f aca="false">J990+0.5*(vit_x+G990)*pas*(K990&gt;=0)</f>
        <v>211.791153319536</v>
      </c>
      <c r="K991" s="420" t="n">
        <f aca="false">K990+0.5*(vit_z+H990)*pas</f>
        <v>-8.99586856978533</v>
      </c>
      <c r="L991" s="418" t="n">
        <f aca="false">SQRT(pos_x^2+pos_z^2)</f>
        <v>211.982117820688</v>
      </c>
      <c r="M991" s="419" t="n">
        <f aca="false">IF(AND(L990&gt;L_rampe,G991&gt;0),ATAN2(G991,H991),$M$4)</f>
        <v>-1.427919027877</v>
      </c>
      <c r="N991" s="418" t="n">
        <f aca="false">DEGREES(Beta)</f>
        <v>-81.8137337837752</v>
      </c>
      <c r="O991" s="402"/>
      <c r="P991" s="421" t="n">
        <f aca="false">MATCH(t-pas/2-T_ini,CdP_t)</f>
        <v>23</v>
      </c>
      <c r="Q991" s="418" t="n">
        <f aca="false">(INDEX(CdP,2,i_P+1)-INDEX(CdP,2,i_P+0))/(INDEX(CdP,1,i_P+1)-INDEX(CdP,1,i_P+0))*(t-pas/2-T_ini-INDEX(CdP,1,i_P+0))+INDEX(CdP,2,i_P+0)</f>
        <v>0</v>
      </c>
      <c r="R991" s="419" t="n">
        <f aca="false">Poussee/(g*ISP)</f>
        <v>0</v>
      </c>
      <c r="S991" s="420" t="n">
        <f aca="false">S990-Débit*pas</f>
        <v>1.4843</v>
      </c>
      <c r="T991" s="418" t="n">
        <f aca="false">m*g</f>
        <v>14.560983</v>
      </c>
      <c r="U991" s="422" t="n">
        <f aca="false">IF(pos_xz&lt;L_rampe,Poids*COS(Beta),0)</f>
        <v>0</v>
      </c>
      <c r="V991" s="419" t="n">
        <f aca="false">Rho_moyen*(20000-Alt_rampe-pos_z)/(20000+Alt_rampe+pos_z)</f>
        <v>1.22610248979246</v>
      </c>
      <c r="W991" s="418" t="n">
        <f aca="false">1/2*Rho*Sref*Cx*vit_xz^2</f>
        <v>5.60348638591974</v>
      </c>
      <c r="X991" s="402"/>
      <c r="Y991" s="423" t="str">
        <f aca="false">IF(AND(pos_z&lt;=0,K990&gt;0),"Impact balistique","") &amp; IF(AND(H992&lt;0,vit_z&gt;=0),"Apogée","") &amp; IF(AND(Poussee=0,Q990&gt;0),"Fin de propulsion","") &amp; IF(AND(L992&gt;L_rampe,pos_xz&lt;=L_rampe),"Sortie de rampe","")</f>
        <v/>
      </c>
      <c r="Z991" s="424" t="str">
        <f aca="false">IF(ABS(t-T_para)&lt;pas/2,"Para","")</f>
        <v/>
      </c>
      <c r="AA991" s="425" t="str">
        <f aca="false">IF(ABS(t-T_satellite)&lt;pas/2,"Satellite","")</f>
        <v/>
      </c>
      <c r="AB991" s="413"/>
      <c r="AC991" s="421" t="e">
        <f aca="false">IF(ABS(t-ROUND(t,0))&lt;0.001,t,NA())</f>
        <v>#N/A</v>
      </c>
      <c r="AD991" s="426" t="e">
        <f aca="false">IF(ABS(t-ROUND(t,0))&lt;0.001,pos_x,NA())</f>
        <v>#N/A</v>
      </c>
      <c r="AE991" s="427" t="e">
        <f aca="false">IF(t&lt;T_para, pos_z, NA())</f>
        <v>#N/A</v>
      </c>
      <c r="AF991" s="413"/>
      <c r="AG991" s="419" t="n">
        <f aca="false">IF(AND(L990&lt;L_rampe,Poussee&lt;Poids*SIN(M990)),0,(-W990+Poussee)/m-Poids*SIN(M990)/m)</f>
        <v>5.93493109821048</v>
      </c>
      <c r="AH991" s="418" t="n">
        <f aca="false">IF(AND(L990&lt;L_rampe,Poussee&lt;Poids*SIN(M990)), g*SIN(M990), (-W990+Poussee)/m)</f>
        <v>-3.77510612356041</v>
      </c>
    </row>
    <row r="992" customFormat="false" ht="12" hidden="false" customHeight="false" outlineLevel="0" collapsed="false">
      <c r="A992" s="417" t="n">
        <f aca="false">IF(B991+0.01&lt;=T_ini+ROUNDUP(Temps_fin_propu,0), 0.01, IF(K991&gt;0, 0.1, 0.0001))</f>
        <v>0.0001</v>
      </c>
      <c r="B992" s="418" t="n">
        <f aca="false">B991+pas</f>
        <v>16.5642999999998</v>
      </c>
      <c r="C992" s="402"/>
      <c r="D992" s="419" t="n">
        <f aca="false">IF(AND(L991&lt;L_rampe,Poussee&lt;Poids*SIN(M991)),0,(-W991+Poussee)/m*COS(M991)-U991/m*SIN(M991))</f>
        <v>-0.537552949637885</v>
      </c>
      <c r="E992" s="420" t="n">
        <f aca="false">IF(AND(L991&lt;L_rampe,Poussee&lt;Poids*SIN(M991)),0,(-W991+Poussee)/m*SIN(M991)+U991/m*COS(M991)-Poids/m)</f>
        <v>-6.07329647084421</v>
      </c>
      <c r="F992" s="418" t="n">
        <f aca="false">SQRT(acc_x^2+acc_z^2)</f>
        <v>6.09703970763133</v>
      </c>
      <c r="G992" s="419" t="n">
        <f aca="false">G991+acc_x*pas</f>
        <v>10.2527115519343</v>
      </c>
      <c r="H992" s="420" t="n">
        <f aca="false">H991+acc_z*pas</f>
        <v>-71.2708781614557</v>
      </c>
      <c r="I992" s="418" t="n">
        <f aca="false">SQRT(vit_x^2+vit_z^2)</f>
        <v>72.0045565785404</v>
      </c>
      <c r="J992" s="419" t="n">
        <f aca="false">J991+0.5*(vit_x+G991)*pas*(K991&gt;=0)</f>
        <v>211.791153319536</v>
      </c>
      <c r="K992" s="420" t="n">
        <f aca="false">K991+0.5*(vit_z+H991)*pas</f>
        <v>-9.00299562723499</v>
      </c>
      <c r="L992" s="418" t="n">
        <f aca="false">SQRT(pos_x^2+pos_z^2)</f>
        <v>211.982420390662</v>
      </c>
      <c r="M992" s="419" t="n">
        <f aca="false">IF(AND(L991&gt;L_rampe,G992&gt;0),ATAN2(G992,H992),$M$4)</f>
        <v>-1.42792096784087</v>
      </c>
      <c r="N992" s="418" t="n">
        <f aca="false">DEGREES(Beta)</f>
        <v>-81.8138449355176</v>
      </c>
      <c r="O992" s="402"/>
      <c r="P992" s="421" t="n">
        <f aca="false">MATCH(t-pas/2-T_ini,CdP_t)</f>
        <v>23</v>
      </c>
      <c r="Q992" s="418" t="n">
        <f aca="false">(INDEX(CdP,2,i_P+1)-INDEX(CdP,2,i_P+0))/(INDEX(CdP,1,i_P+1)-INDEX(CdP,1,i_P+0))*(t-pas/2-T_ini-INDEX(CdP,1,i_P+0))+INDEX(CdP,2,i_P+0)</f>
        <v>0</v>
      </c>
      <c r="R992" s="419" t="n">
        <f aca="false">Poussee/(g*ISP)</f>
        <v>0</v>
      </c>
      <c r="S992" s="420" t="n">
        <f aca="false">S991-Débit*pas</f>
        <v>1.4843</v>
      </c>
      <c r="T992" s="418" t="n">
        <f aca="false">m*g</f>
        <v>14.560983</v>
      </c>
      <c r="U992" s="422" t="n">
        <f aca="false">IF(pos_xz&lt;L_rampe,Poids*COS(Beta),0)</f>
        <v>0</v>
      </c>
      <c r="V992" s="419" t="n">
        <f aca="false">Rho_moyen*(20000-Alt_rampe-pos_z)/(20000+Alt_rampe+pos_z)</f>
        <v>1.22610336364324</v>
      </c>
      <c r="W992" s="418" t="n">
        <f aca="false">1/2*Rho*Sref*Cx*vit_xz^2</f>
        <v>5.60358275260038</v>
      </c>
      <c r="X992" s="402"/>
      <c r="Y992" s="423" t="str">
        <f aca="false">IF(AND(pos_z&lt;=0,K991&gt;0),"Impact balistique","") &amp; IF(AND(H993&lt;0,vit_z&gt;=0),"Apogée","") &amp; IF(AND(Poussee=0,Q991&gt;0),"Fin de propulsion","") &amp; IF(AND(L993&gt;L_rampe,pos_xz&lt;=L_rampe),"Sortie de rampe","")</f>
        <v/>
      </c>
      <c r="Z992" s="424" t="str">
        <f aca="false">IF(ABS(t-T_para)&lt;pas/2,"Para","")</f>
        <v/>
      </c>
      <c r="AA992" s="425" t="str">
        <f aca="false">IF(ABS(t-T_satellite)&lt;pas/2,"Satellite","")</f>
        <v/>
      </c>
      <c r="AB992" s="413"/>
      <c r="AC992" s="421" t="e">
        <f aca="false">IF(ABS(t-ROUND(t,0))&lt;0.001,t,NA())</f>
        <v>#N/A</v>
      </c>
      <c r="AD992" s="426" t="e">
        <f aca="false">IF(ABS(t-ROUND(t,0))&lt;0.001,pos_x,NA())</f>
        <v>#N/A</v>
      </c>
      <c r="AE992" s="427" t="e">
        <f aca="false">IF(t&lt;T_para, pos_z, NA())</f>
        <v>#N/A</v>
      </c>
      <c r="AF992" s="413"/>
      <c r="AG992" s="419" t="n">
        <f aca="false">IF(AND(L991&lt;L_rampe,Poussee&lt;Poids*SIN(M991)),0,(-W991+Poussee)/m-Poids*SIN(M991)/m)</f>
        <v>5.9348688841328</v>
      </c>
      <c r="AH992" s="418" t="n">
        <f aca="false">IF(AND(L991&lt;L_rampe,Poussee&lt;Poids*SIN(M991)), g*SIN(M991), (-W991+Poussee)/m)</f>
        <v>-3.77517104757781</v>
      </c>
    </row>
    <row r="993" customFormat="false" ht="12" hidden="false" customHeight="false" outlineLevel="0" collapsed="false">
      <c r="A993" s="417" t="n">
        <f aca="false">IF(B992+0.01&lt;=T_ini+ROUNDUP(Temps_fin_propu,0), 0.01, IF(K992&gt;0, 0.1, 0.0001))</f>
        <v>0.0001</v>
      </c>
      <c r="B993" s="418" t="n">
        <f aca="false">B992+pas</f>
        <v>16.5643999999998</v>
      </c>
      <c r="C993" s="402"/>
      <c r="D993" s="419" t="n">
        <f aca="false">IF(AND(L992&lt;L_rampe,Poussee&lt;Poids*SIN(M992)),0,(-W992+Poussee)/m*COS(M992)-U992/m*SIN(M992))</f>
        <v>-0.53755494507861</v>
      </c>
      <c r="E993" s="420" t="n">
        <f aca="false">IF(AND(L992&lt;L_rampe,Poussee&lt;Poids*SIN(M992)),0,(-W992+Poussee)/m*SIN(M992)+U992/m*COS(M992)-Poids/m)</f>
        <v>-6.07323116555858</v>
      </c>
      <c r="F993" s="418" t="n">
        <f aca="false">SQRT(acc_x^2+acc_z^2)</f>
        <v>6.09697483259448</v>
      </c>
      <c r="G993" s="419" t="n">
        <f aca="false">G992+acc_x*pas</f>
        <v>10.2526577964398</v>
      </c>
      <c r="H993" s="420" t="n">
        <f aca="false">H992+acc_z*pas</f>
        <v>-71.2714854845723</v>
      </c>
      <c r="I993" s="418" t="n">
        <f aca="false">SQRT(vit_x^2+vit_z^2)</f>
        <v>72.0051500593429</v>
      </c>
      <c r="J993" s="419" t="n">
        <f aca="false">J992+0.5*(vit_x+G992)*pas*(K992&gt;=0)</f>
        <v>211.791153319536</v>
      </c>
      <c r="K993" s="420" t="n">
        <f aca="false">K992+0.5*(vit_z+H992)*pas</f>
        <v>-9.01012274541729</v>
      </c>
      <c r="L993" s="418" t="n">
        <f aca="false">SQRT(pos_x^2+pos_z^2)</f>
        <v>211.982723202403</v>
      </c>
      <c r="M993" s="419" t="n">
        <f aca="false">IF(AND(L992&gt;L_rampe,G993&gt;0),ATAN2(G993,H993),$M$4)</f>
        <v>-1.42792290776259</v>
      </c>
      <c r="N993" s="418" t="n">
        <f aca="false">DEGREES(Beta)</f>
        <v>-81.813956084845</v>
      </c>
      <c r="O993" s="402"/>
      <c r="P993" s="421" t="n">
        <f aca="false">MATCH(t-pas/2-T_ini,CdP_t)</f>
        <v>23</v>
      </c>
      <c r="Q993" s="418" t="n">
        <f aca="false">(INDEX(CdP,2,i_P+1)-INDEX(CdP,2,i_P+0))/(INDEX(CdP,1,i_P+1)-INDEX(CdP,1,i_P+0))*(t-pas/2-T_ini-INDEX(CdP,1,i_P+0))+INDEX(CdP,2,i_P+0)</f>
        <v>0</v>
      </c>
      <c r="R993" s="419" t="n">
        <f aca="false">Poussee/(g*ISP)</f>
        <v>0</v>
      </c>
      <c r="S993" s="420" t="n">
        <f aca="false">S992-Débit*pas</f>
        <v>1.4843</v>
      </c>
      <c r="T993" s="418" t="n">
        <f aca="false">m*g</f>
        <v>14.560983</v>
      </c>
      <c r="U993" s="422" t="n">
        <f aca="false">IF(pos_xz&lt;L_rampe,Poids*COS(Beta),0)</f>
        <v>0</v>
      </c>
      <c r="V993" s="419" t="n">
        <f aca="false">Rho_moyen*(20000-Alt_rampe-pos_z)/(20000+Alt_rampe+pos_z)</f>
        <v>1.22610423750209</v>
      </c>
      <c r="W993" s="418" t="n">
        <f aca="false">1/2*Rho*Sref*Cx*vit_xz^2</f>
        <v>5.60367911924261</v>
      </c>
      <c r="X993" s="402"/>
      <c r="Y993" s="423" t="str">
        <f aca="false">IF(AND(pos_z&lt;=0,K992&gt;0),"Impact balistique","") &amp; IF(AND(H994&lt;0,vit_z&gt;=0),"Apogée","") &amp; IF(AND(Poussee=0,Q992&gt;0),"Fin de propulsion","") &amp; IF(AND(L994&gt;L_rampe,pos_xz&lt;=L_rampe),"Sortie de rampe","")</f>
        <v/>
      </c>
      <c r="Z993" s="424" t="str">
        <f aca="false">IF(ABS(t-T_para)&lt;pas/2,"Para","")</f>
        <v/>
      </c>
      <c r="AA993" s="425" t="str">
        <f aca="false">IF(ABS(t-T_satellite)&lt;pas/2,"Satellite","")</f>
        <v/>
      </c>
      <c r="AB993" s="413"/>
      <c r="AC993" s="421" t="e">
        <f aca="false">IF(ABS(t-ROUND(t,0))&lt;0.001,t,NA())</f>
        <v>#N/A</v>
      </c>
      <c r="AD993" s="426" t="e">
        <f aca="false">IF(ABS(t-ROUND(t,0))&lt;0.001,pos_x,NA())</f>
        <v>#N/A</v>
      </c>
      <c r="AE993" s="427" t="e">
        <f aca="false">IF(t&lt;T_para, pos_z, NA())</f>
        <v>#N/A</v>
      </c>
      <c r="AF993" s="413"/>
      <c r="AG993" s="419" t="n">
        <f aca="false">IF(AND(L992&lt;L_rampe,Poussee&lt;Poids*SIN(M992)),0,(-W992+Poussee)/m-Poids*SIN(M992)/m)</f>
        <v>5.93480666998556</v>
      </c>
      <c r="AH993" s="418" t="n">
        <f aca="false">IF(AND(L992&lt;L_rampe,Poussee&lt;Poids*SIN(M992)), g*SIN(M992), (-W992+Poussee)/m)</f>
        <v>-3.77523597156935</v>
      </c>
    </row>
    <row r="994" customFormat="false" ht="12" hidden="false" customHeight="false" outlineLevel="0" collapsed="false">
      <c r="A994" s="417" t="n">
        <f aca="false">IF(B993+0.01&lt;=T_ini+ROUNDUP(Temps_fin_propu,0), 0.01, IF(K993&gt;0, 0.1, 0.0001))</f>
        <v>0.0001</v>
      </c>
      <c r="B994" s="418" t="n">
        <f aca="false">B993+pas</f>
        <v>16.5644999999998</v>
      </c>
      <c r="C994" s="402"/>
      <c r="D994" s="419" t="n">
        <f aca="false">IF(AND(L993&lt;L_rampe,Poussee&lt;Poids*SIN(M993)),0,(-W993+Poussee)/m*COS(M993)-U993/m*SIN(M993))</f>
        <v>-0.537556940421802</v>
      </c>
      <c r="E994" s="420" t="n">
        <f aca="false">IF(AND(L993&lt;L_rampe,Poussee&lt;Poids*SIN(M993)),0,(-W993+Poussee)/m*SIN(M993)+U993/m*COS(M993)-Poids/m)</f>
        <v>-6.07316586029942</v>
      </c>
      <c r="F994" s="418" t="n">
        <f aca="false">SQRT(acc_x^2+acc_z^2)</f>
        <v>6.09690995758524</v>
      </c>
      <c r="G994" s="419" t="n">
        <f aca="false">G993+acc_x*pas</f>
        <v>10.2526040407457</v>
      </c>
      <c r="H994" s="420" t="n">
        <f aca="false">H993+acc_z*pas</f>
        <v>-71.2720928011583</v>
      </c>
      <c r="I994" s="418" t="n">
        <f aca="false">SQRT(vit_x^2+vit_z^2)</f>
        <v>72.005743533924</v>
      </c>
      <c r="J994" s="419" t="n">
        <f aca="false">J993+0.5*(vit_x+G993)*pas*(K993&gt;=0)</f>
        <v>211.791153319536</v>
      </c>
      <c r="K994" s="420" t="n">
        <f aca="false">K993+0.5*(vit_z+H993)*pas</f>
        <v>-9.01724992433158</v>
      </c>
      <c r="L994" s="418" t="n">
        <f aca="false">SQRT(pos_x^2+pos_z^2)</f>
        <v>211.983026255918</v>
      </c>
      <c r="M994" s="419" t="n">
        <f aca="false">IF(AND(L993&gt;L_rampe,G994&gt;0),ATAN2(G994,H994),$M$4)</f>
        <v>-1.42792484764217</v>
      </c>
      <c r="N994" s="418" t="n">
        <f aca="false">DEGREES(Beta)</f>
        <v>-81.8140672317574</v>
      </c>
      <c r="O994" s="402"/>
      <c r="P994" s="421" t="n">
        <f aca="false">MATCH(t-pas/2-T_ini,CdP_t)</f>
        <v>23</v>
      </c>
      <c r="Q994" s="418" t="n">
        <f aca="false">(INDEX(CdP,2,i_P+1)-INDEX(CdP,2,i_P+0))/(INDEX(CdP,1,i_P+1)-INDEX(CdP,1,i_P+0))*(t-pas/2-T_ini-INDEX(CdP,1,i_P+0))+INDEX(CdP,2,i_P+0)</f>
        <v>0</v>
      </c>
      <c r="R994" s="419" t="n">
        <f aca="false">Poussee/(g*ISP)</f>
        <v>0</v>
      </c>
      <c r="S994" s="420" t="n">
        <f aca="false">S993-Débit*pas</f>
        <v>1.4843</v>
      </c>
      <c r="T994" s="418" t="n">
        <f aca="false">m*g</f>
        <v>14.560983</v>
      </c>
      <c r="U994" s="422" t="n">
        <f aca="false">IF(pos_xz&lt;L_rampe,Poids*COS(Beta),0)</f>
        <v>0</v>
      </c>
      <c r="V994" s="419" t="n">
        <f aca="false">Rho_moyen*(20000-Alt_rampe-pos_z)/(20000+Alt_rampe+pos_z)</f>
        <v>1.226105111369</v>
      </c>
      <c r="W994" s="418" t="n">
        <f aca="false">1/2*Rho*Sref*Cx*vit_xz^2</f>
        <v>5.60377548584639</v>
      </c>
      <c r="X994" s="402"/>
      <c r="Y994" s="423" t="str">
        <f aca="false">IF(AND(pos_z&lt;=0,K993&gt;0),"Impact balistique","") &amp; IF(AND(H995&lt;0,vit_z&gt;=0),"Apogée","") &amp; IF(AND(Poussee=0,Q993&gt;0),"Fin de propulsion","") &amp; IF(AND(L995&gt;L_rampe,pos_xz&lt;=L_rampe),"Sortie de rampe","")</f>
        <v/>
      </c>
      <c r="Z994" s="424" t="str">
        <f aca="false">IF(ABS(t-T_para)&lt;pas/2,"Para","")</f>
        <v/>
      </c>
      <c r="AA994" s="425" t="str">
        <f aca="false">IF(ABS(t-T_satellite)&lt;pas/2,"Satellite","")</f>
        <v/>
      </c>
      <c r="AB994" s="413"/>
      <c r="AC994" s="421" t="e">
        <f aca="false">IF(ABS(t-ROUND(t,0))&lt;0.001,t,NA())</f>
        <v>#N/A</v>
      </c>
      <c r="AD994" s="426" t="e">
        <f aca="false">IF(ABS(t-ROUND(t,0))&lt;0.001,pos_x,NA())</f>
        <v>#N/A</v>
      </c>
      <c r="AE994" s="427" t="e">
        <f aca="false">IF(t&lt;T_para, pos_z, NA())</f>
        <v>#N/A</v>
      </c>
      <c r="AF994" s="413"/>
      <c r="AG994" s="419" t="n">
        <f aca="false">IF(AND(L993&lt;L_rampe,Poussee&lt;Poids*SIN(M993)),0,(-W993+Poussee)/m-Poids*SIN(M993)/m)</f>
        <v>5.93474445576877</v>
      </c>
      <c r="AH994" s="418" t="n">
        <f aca="false">IF(AND(L993&lt;L_rampe,Poussee&lt;Poids*SIN(M993)), g*SIN(M993), (-W993+Poussee)/m)</f>
        <v>-3.77530089553501</v>
      </c>
    </row>
    <row r="995" customFormat="false" ht="12" hidden="false" customHeight="false" outlineLevel="0" collapsed="false">
      <c r="A995" s="417" t="n">
        <f aca="false">IF(B994+0.01&lt;=T_ini+ROUNDUP(Temps_fin_propu,0), 0.01, IF(K994&gt;0, 0.1, 0.0001))</f>
        <v>0.0001</v>
      </c>
      <c r="B995" s="418" t="n">
        <f aca="false">B994+pas</f>
        <v>16.5645999999998</v>
      </c>
      <c r="C995" s="402"/>
      <c r="D995" s="419" t="n">
        <f aca="false">IF(AND(L994&lt;L_rampe,Poussee&lt;Poids*SIN(M994)),0,(-W994+Poussee)/m*COS(M994)-U994/m*SIN(M994))</f>
        <v>-0.537558935667461</v>
      </c>
      <c r="E995" s="420" t="n">
        <f aca="false">IF(AND(L994&lt;L_rampe,Poussee&lt;Poids*SIN(M994)),0,(-W994+Poussee)/m*SIN(M994)+U994/m*COS(M994)-Poids/m)</f>
        <v>-6.07310055506675</v>
      </c>
      <c r="F995" s="418" t="n">
        <f aca="false">SQRT(acc_x^2+acc_z^2)</f>
        <v>6.09684508260363</v>
      </c>
      <c r="G995" s="419" t="n">
        <f aca="false">G994+acc_x*pas</f>
        <v>10.2525502848522</v>
      </c>
      <c r="H995" s="420" t="n">
        <f aca="false">H994+acc_z*pas</f>
        <v>-71.2727001112138</v>
      </c>
      <c r="I995" s="418" t="n">
        <f aca="false">SQRT(vit_x^2+vit_z^2)</f>
        <v>72.0063370022836</v>
      </c>
      <c r="J995" s="419" t="n">
        <f aca="false">J994+0.5*(vit_x+G994)*pas*(K994&gt;=0)</f>
        <v>211.791153319536</v>
      </c>
      <c r="K995" s="420" t="n">
        <f aca="false">K994+0.5*(vit_z+H994)*pas</f>
        <v>-9.0243771639772</v>
      </c>
      <c r="L995" s="418" t="n">
        <f aca="false">SQRT(pos_x^2+pos_z^2)</f>
        <v>211.98332955121</v>
      </c>
      <c r="M995" s="419" t="n">
        <f aca="false">IF(AND(L994&gt;L_rampe,G995&gt;0),ATAN2(G995,H995),$M$4)</f>
        <v>-1.4279267874796</v>
      </c>
      <c r="N995" s="418" t="n">
        <f aca="false">DEGREES(Beta)</f>
        <v>-81.814178376255</v>
      </c>
      <c r="O995" s="402"/>
      <c r="P995" s="421" t="n">
        <f aca="false">MATCH(t-pas/2-T_ini,CdP_t)</f>
        <v>23</v>
      </c>
      <c r="Q995" s="418" t="n">
        <f aca="false">(INDEX(CdP,2,i_P+1)-INDEX(CdP,2,i_P+0))/(INDEX(CdP,1,i_P+1)-INDEX(CdP,1,i_P+0))*(t-pas/2-T_ini-INDEX(CdP,1,i_P+0))+INDEX(CdP,2,i_P+0)</f>
        <v>0</v>
      </c>
      <c r="R995" s="419" t="n">
        <f aca="false">Poussee/(g*ISP)</f>
        <v>0</v>
      </c>
      <c r="S995" s="420" t="n">
        <f aca="false">S994-Débit*pas</f>
        <v>1.4843</v>
      </c>
      <c r="T995" s="418" t="n">
        <f aca="false">m*g</f>
        <v>14.560983</v>
      </c>
      <c r="U995" s="422" t="n">
        <f aca="false">IF(pos_xz&lt;L_rampe,Poids*COS(Beta),0)</f>
        <v>0</v>
      </c>
      <c r="V995" s="419" t="n">
        <f aca="false">Rho_moyen*(20000-Alt_rampe-pos_z)/(20000+Alt_rampe+pos_z)</f>
        <v>1.22610598524399</v>
      </c>
      <c r="W995" s="418" t="n">
        <f aca="false">1/2*Rho*Sref*Cx*vit_xz^2</f>
        <v>5.6038718524117</v>
      </c>
      <c r="X995" s="402"/>
      <c r="Y995" s="423" t="str">
        <f aca="false">IF(AND(pos_z&lt;=0,K994&gt;0),"Impact balistique","") &amp; IF(AND(H996&lt;0,vit_z&gt;=0),"Apogée","") &amp; IF(AND(Poussee=0,Q994&gt;0),"Fin de propulsion","") &amp; IF(AND(L996&gt;L_rampe,pos_xz&lt;=L_rampe),"Sortie de rampe","")</f>
        <v/>
      </c>
      <c r="Z995" s="424" t="str">
        <f aca="false">IF(ABS(t-T_para)&lt;pas/2,"Para","")</f>
        <v/>
      </c>
      <c r="AA995" s="425" t="str">
        <f aca="false">IF(ABS(t-T_satellite)&lt;pas/2,"Satellite","")</f>
        <v/>
      </c>
      <c r="AB995" s="413"/>
      <c r="AC995" s="421" t="e">
        <f aca="false">IF(ABS(t-ROUND(t,0))&lt;0.001,t,NA())</f>
        <v>#N/A</v>
      </c>
      <c r="AD995" s="426" t="e">
        <f aca="false">IF(ABS(t-ROUND(t,0))&lt;0.001,pos_x,NA())</f>
        <v>#N/A</v>
      </c>
      <c r="AE995" s="427" t="e">
        <f aca="false">IF(t&lt;T_para, pos_z, NA())</f>
        <v>#N/A</v>
      </c>
      <c r="AF995" s="413"/>
      <c r="AG995" s="419" t="n">
        <f aca="false">IF(AND(L994&lt;L_rampe,Poussee&lt;Poids*SIN(M994)),0,(-W994+Poussee)/m-Poids*SIN(M994)/m)</f>
        <v>5.93468224148247</v>
      </c>
      <c r="AH995" s="418" t="n">
        <f aca="false">IF(AND(L994&lt;L_rampe,Poussee&lt;Poids*SIN(M994)), g*SIN(M994), (-W994+Poussee)/m)</f>
        <v>-3.77536581947477</v>
      </c>
    </row>
    <row r="996" customFormat="false" ht="12" hidden="false" customHeight="false" outlineLevel="0" collapsed="false">
      <c r="A996" s="417" t="n">
        <f aca="false">IF(B995+0.01&lt;=T_ini+ROUNDUP(Temps_fin_propu,0), 0.01, IF(K995&gt;0, 0.1, 0.0001))</f>
        <v>0.0001</v>
      </c>
      <c r="B996" s="418" t="n">
        <f aca="false">B995+pas</f>
        <v>16.5646999999998</v>
      </c>
      <c r="C996" s="402"/>
      <c r="D996" s="419" t="n">
        <f aca="false">IF(AND(L995&lt;L_rampe,Poussee&lt;Poids*SIN(M995)),0,(-W995+Poussee)/m*COS(M995)-U995/m*SIN(M995))</f>
        <v>-0.537560930815589</v>
      </c>
      <c r="E996" s="420" t="n">
        <f aca="false">IF(AND(L995&lt;L_rampe,Poussee&lt;Poids*SIN(M995)),0,(-W995+Poussee)/m*SIN(M995)+U995/m*COS(M995)-Poids/m)</f>
        <v>-6.07303524986059</v>
      </c>
      <c r="F996" s="418" t="n">
        <f aca="false">SQRT(acc_x^2+acc_z^2)</f>
        <v>6.09678020764966</v>
      </c>
      <c r="G996" s="419" t="n">
        <f aca="false">G995+acc_x*pas</f>
        <v>10.2524965287591</v>
      </c>
      <c r="H996" s="420" t="n">
        <f aca="false">H995+acc_z*pas</f>
        <v>-71.2733074147388</v>
      </c>
      <c r="I996" s="418" t="n">
        <f aca="false">SQRT(vit_x^2+vit_z^2)</f>
        <v>72.0069304644218</v>
      </c>
      <c r="J996" s="419" t="n">
        <f aca="false">J995+0.5*(vit_x+G995)*pas*(K995&gt;=0)</f>
        <v>211.791153319536</v>
      </c>
      <c r="K996" s="420" t="n">
        <f aca="false">K995+0.5*(vit_z+H995)*pas</f>
        <v>-9.03150446435349</v>
      </c>
      <c r="L996" s="418" t="n">
        <f aca="false">SQRT(pos_x^2+pos_z^2)</f>
        <v>211.983633088286</v>
      </c>
      <c r="M996" s="419" t="n">
        <f aca="false">IF(AND(L995&gt;L_rampe,G996&gt;0),ATAN2(G996,H996),$M$4)</f>
        <v>-1.42792872727488</v>
      </c>
      <c r="N996" s="418" t="n">
        <f aca="false">DEGREES(Beta)</f>
        <v>-81.8142895183377</v>
      </c>
      <c r="O996" s="402"/>
      <c r="P996" s="421" t="n">
        <f aca="false">MATCH(t-pas/2-T_ini,CdP_t)</f>
        <v>23</v>
      </c>
      <c r="Q996" s="418" t="n">
        <f aca="false">(INDEX(CdP,2,i_P+1)-INDEX(CdP,2,i_P+0))/(INDEX(CdP,1,i_P+1)-INDEX(CdP,1,i_P+0))*(t-pas/2-T_ini-INDEX(CdP,1,i_P+0))+INDEX(CdP,2,i_P+0)</f>
        <v>0</v>
      </c>
      <c r="R996" s="419" t="n">
        <f aca="false">Poussee/(g*ISP)</f>
        <v>0</v>
      </c>
      <c r="S996" s="420" t="n">
        <f aca="false">S995-Débit*pas</f>
        <v>1.4843</v>
      </c>
      <c r="T996" s="418" t="n">
        <f aca="false">m*g</f>
        <v>14.560983</v>
      </c>
      <c r="U996" s="422" t="n">
        <f aca="false">IF(pos_xz&lt;L_rampe,Poids*COS(Beta),0)</f>
        <v>0</v>
      </c>
      <c r="V996" s="419" t="n">
        <f aca="false">Rho_moyen*(20000-Alt_rampe-pos_z)/(20000+Alt_rampe+pos_z)</f>
        <v>1.22610685912704</v>
      </c>
      <c r="W996" s="418" t="n">
        <f aca="false">1/2*Rho*Sref*Cx*vit_xz^2</f>
        <v>5.60396821893853</v>
      </c>
      <c r="X996" s="402"/>
      <c r="Y996" s="423" t="str">
        <f aca="false">IF(AND(pos_z&lt;=0,K995&gt;0),"Impact balistique","") &amp; IF(AND(H997&lt;0,vit_z&gt;=0),"Apogée","") &amp; IF(AND(Poussee=0,Q995&gt;0),"Fin de propulsion","") &amp; IF(AND(L997&gt;L_rampe,pos_xz&lt;=L_rampe),"Sortie de rampe","")</f>
        <v/>
      </c>
      <c r="Z996" s="424" t="str">
        <f aca="false">IF(ABS(t-T_para)&lt;pas/2,"Para","")</f>
        <v/>
      </c>
      <c r="AA996" s="425" t="str">
        <f aca="false">IF(ABS(t-T_satellite)&lt;pas/2,"Satellite","")</f>
        <v/>
      </c>
      <c r="AB996" s="413"/>
      <c r="AC996" s="421" t="e">
        <f aca="false">IF(ABS(t-ROUND(t,0))&lt;0.001,t,NA())</f>
        <v>#N/A</v>
      </c>
      <c r="AD996" s="426" t="e">
        <f aca="false">IF(ABS(t-ROUND(t,0))&lt;0.001,pos_x,NA())</f>
        <v>#N/A</v>
      </c>
      <c r="AE996" s="427" t="e">
        <f aca="false">IF(t&lt;T_para, pos_z, NA())</f>
        <v>#N/A</v>
      </c>
      <c r="AF996" s="413"/>
      <c r="AG996" s="419" t="n">
        <f aca="false">IF(AND(L995&lt;L_rampe,Poussee&lt;Poids*SIN(M995)),0,(-W995+Poussee)/m-Poids*SIN(M995)/m)</f>
        <v>5.93462002712668</v>
      </c>
      <c r="AH996" s="418" t="n">
        <f aca="false">IF(AND(L995&lt;L_rampe,Poussee&lt;Poids*SIN(M995)), g*SIN(M995), (-W995+Poussee)/m)</f>
        <v>-3.77543074338861</v>
      </c>
    </row>
    <row r="997" customFormat="false" ht="12" hidden="false" customHeight="false" outlineLevel="0" collapsed="false">
      <c r="A997" s="417" t="n">
        <f aca="false">IF(B996+0.01&lt;=T_ini+ROUNDUP(Temps_fin_propu,0), 0.01, IF(K996&gt;0, 0.1, 0.0001))</f>
        <v>0.0001</v>
      </c>
      <c r="B997" s="418" t="n">
        <f aca="false">B996+pas</f>
        <v>16.5647999999998</v>
      </c>
      <c r="C997" s="402"/>
      <c r="D997" s="419" t="n">
        <f aca="false">IF(AND(L996&lt;L_rampe,Poussee&lt;Poids*SIN(M996)),0,(-W996+Poussee)/m*COS(M996)-U996/m*SIN(M996))</f>
        <v>-0.537562925866185</v>
      </c>
      <c r="E997" s="420" t="n">
        <f aca="false">IF(AND(L996&lt;L_rampe,Poussee&lt;Poids*SIN(M996)),0,(-W996+Poussee)/m*SIN(M996)+U996/m*COS(M996)-Poids/m)</f>
        <v>-6.07296994468095</v>
      </c>
      <c r="F997" s="418" t="n">
        <f aca="false">SQRT(acc_x^2+acc_z^2)</f>
        <v>6.09671533272334</v>
      </c>
      <c r="G997" s="419" t="n">
        <f aca="false">G996+acc_x*pas</f>
        <v>10.2524427724665</v>
      </c>
      <c r="H997" s="420" t="n">
        <f aca="false">H996+acc_z*pas</f>
        <v>-71.2739147117332</v>
      </c>
      <c r="I997" s="418" t="n">
        <f aca="false">SQRT(vit_x^2+vit_z^2)</f>
        <v>72.0075239203385</v>
      </c>
      <c r="J997" s="419" t="n">
        <f aca="false">J996+0.5*(vit_x+G996)*pas*(K996&gt;=0)</f>
        <v>211.791153319536</v>
      </c>
      <c r="K997" s="420" t="n">
        <f aca="false">K996+0.5*(vit_z+H996)*pas</f>
        <v>-9.03863182545982</v>
      </c>
      <c r="L997" s="418" t="n">
        <f aca="false">SQRT(pos_x^2+pos_z^2)</f>
        <v>211.983936867149</v>
      </c>
      <c r="M997" s="419" t="n">
        <f aca="false">IF(AND(L996&gt;L_rampe,G997&gt;0),ATAN2(G997,H997),$M$4)</f>
        <v>-1.42793066702802</v>
      </c>
      <c r="N997" s="418" t="n">
        <f aca="false">DEGREES(Beta)</f>
        <v>-81.8144006580058</v>
      </c>
      <c r="O997" s="402"/>
      <c r="P997" s="421" t="n">
        <f aca="false">MATCH(t-pas/2-T_ini,CdP_t)</f>
        <v>23</v>
      </c>
      <c r="Q997" s="418" t="n">
        <f aca="false">(INDEX(CdP,2,i_P+1)-INDEX(CdP,2,i_P+0))/(INDEX(CdP,1,i_P+1)-INDEX(CdP,1,i_P+0))*(t-pas/2-T_ini-INDEX(CdP,1,i_P+0))+INDEX(CdP,2,i_P+0)</f>
        <v>0</v>
      </c>
      <c r="R997" s="419" t="n">
        <f aca="false">Poussee/(g*ISP)</f>
        <v>0</v>
      </c>
      <c r="S997" s="420" t="n">
        <f aca="false">S996-Débit*pas</f>
        <v>1.4843</v>
      </c>
      <c r="T997" s="418" t="n">
        <f aca="false">m*g</f>
        <v>14.560983</v>
      </c>
      <c r="U997" s="422" t="n">
        <f aca="false">IF(pos_xz&lt;L_rampe,Poids*COS(Beta),0)</f>
        <v>0</v>
      </c>
      <c r="V997" s="419" t="n">
        <f aca="false">Rho_moyen*(20000-Alt_rampe-pos_z)/(20000+Alt_rampe+pos_z)</f>
        <v>1.22610773301816</v>
      </c>
      <c r="W997" s="418" t="n">
        <f aca="false">1/2*Rho*Sref*Cx*vit_xz^2</f>
        <v>5.60406458542684</v>
      </c>
      <c r="X997" s="402"/>
      <c r="Y997" s="423" t="str">
        <f aca="false">IF(AND(pos_z&lt;=0,K996&gt;0),"Impact balistique","") &amp; IF(AND(H998&lt;0,vit_z&gt;=0),"Apogée","") &amp; IF(AND(Poussee=0,Q996&gt;0),"Fin de propulsion","") &amp; IF(AND(L998&gt;L_rampe,pos_xz&lt;=L_rampe),"Sortie de rampe","")</f>
        <v/>
      </c>
      <c r="Z997" s="424" t="str">
        <f aca="false">IF(ABS(t-T_para)&lt;pas/2,"Para","")</f>
        <v/>
      </c>
      <c r="AA997" s="425" t="str">
        <f aca="false">IF(ABS(t-T_satellite)&lt;pas/2,"Satellite","")</f>
        <v/>
      </c>
      <c r="AB997" s="413"/>
      <c r="AC997" s="421" t="e">
        <f aca="false">IF(ABS(t-ROUND(t,0))&lt;0.001,t,NA())</f>
        <v>#N/A</v>
      </c>
      <c r="AD997" s="426" t="e">
        <f aca="false">IF(ABS(t-ROUND(t,0))&lt;0.001,pos_x,NA())</f>
        <v>#N/A</v>
      </c>
      <c r="AE997" s="427" t="e">
        <f aca="false">IF(t&lt;T_para, pos_z, NA())</f>
        <v>#N/A</v>
      </c>
      <c r="AF997" s="413"/>
      <c r="AG997" s="419" t="n">
        <f aca="false">IF(AND(L996&lt;L_rampe,Poussee&lt;Poids*SIN(M996)),0,(-W996+Poussee)/m-Poids*SIN(M996)/m)</f>
        <v>5.93455781270141</v>
      </c>
      <c r="AH997" s="418" t="n">
        <f aca="false">IF(AND(L996&lt;L_rampe,Poussee&lt;Poids*SIN(M996)), g*SIN(M996), (-W996+Poussee)/m)</f>
        <v>-3.77549566727652</v>
      </c>
    </row>
    <row r="998" customFormat="false" ht="12" hidden="false" customHeight="false" outlineLevel="0" collapsed="false">
      <c r="A998" s="417" t="n">
        <f aca="false">IF(B997+0.01&lt;=T_ini+ROUNDUP(Temps_fin_propu,0), 0.01, IF(K997&gt;0, 0.1, 0.0001))</f>
        <v>0.0001</v>
      </c>
      <c r="B998" s="418" t="n">
        <f aca="false">B997+pas</f>
        <v>16.5648999999998</v>
      </c>
      <c r="C998" s="402"/>
      <c r="D998" s="419" t="n">
        <f aca="false">IF(AND(L997&lt;L_rampe,Poussee&lt;Poids*SIN(M997)),0,(-W997+Poussee)/m*COS(M997)-U997/m*SIN(M997))</f>
        <v>-0.537564920819251</v>
      </c>
      <c r="E998" s="420" t="n">
        <f aca="false">IF(AND(L997&lt;L_rampe,Poussee&lt;Poids*SIN(M997)),0,(-W997+Poussee)/m*SIN(M997)+U997/m*COS(M997)-Poids/m)</f>
        <v>-6.07290463952784</v>
      </c>
      <c r="F998" s="418" t="n">
        <f aca="false">SQRT(acc_x^2+acc_z^2)</f>
        <v>6.0966504578247</v>
      </c>
      <c r="G998" s="419" t="n">
        <f aca="false">G997+acc_x*pas</f>
        <v>10.2523890159744</v>
      </c>
      <c r="H998" s="420" t="n">
        <f aca="false">H997+acc_z*pas</f>
        <v>-71.2745220021972</v>
      </c>
      <c r="I998" s="418" t="n">
        <f aca="false">SQRT(vit_x^2+vit_z^2)</f>
        <v>72.0081173700338</v>
      </c>
      <c r="J998" s="419" t="n">
        <f aca="false">J997+0.5*(vit_x+G997)*pas*(K997&gt;=0)</f>
        <v>211.791153319536</v>
      </c>
      <c r="K998" s="420" t="n">
        <f aca="false">K997+0.5*(vit_z+H997)*pas</f>
        <v>-9.04575924729551</v>
      </c>
      <c r="L998" s="418" t="n">
        <f aca="false">SQRT(pos_x^2+pos_z^2)</f>
        <v>211.984240887806</v>
      </c>
      <c r="M998" s="419" t="n">
        <f aca="false">IF(AND(L997&gt;L_rampe,G998&gt;0),ATAN2(G998,H998),$M$4)</f>
        <v>-1.42793260673901</v>
      </c>
      <c r="N998" s="418" t="n">
        <f aca="false">DEGREES(Beta)</f>
        <v>-81.8145117952592</v>
      </c>
      <c r="O998" s="402"/>
      <c r="P998" s="421" t="n">
        <f aca="false">MATCH(t-pas/2-T_ini,CdP_t)</f>
        <v>23</v>
      </c>
      <c r="Q998" s="418" t="n">
        <f aca="false">(INDEX(CdP,2,i_P+1)-INDEX(CdP,2,i_P+0))/(INDEX(CdP,1,i_P+1)-INDEX(CdP,1,i_P+0))*(t-pas/2-T_ini-INDEX(CdP,1,i_P+0))+INDEX(CdP,2,i_P+0)</f>
        <v>0</v>
      </c>
      <c r="R998" s="419" t="n">
        <f aca="false">Poussee/(g*ISP)</f>
        <v>0</v>
      </c>
      <c r="S998" s="420" t="n">
        <f aca="false">S997-Débit*pas</f>
        <v>1.4843</v>
      </c>
      <c r="T998" s="418" t="n">
        <f aca="false">m*g</f>
        <v>14.560983</v>
      </c>
      <c r="U998" s="422" t="n">
        <f aca="false">IF(pos_xz&lt;L_rampe,Poids*COS(Beta),0)</f>
        <v>0</v>
      </c>
      <c r="V998" s="419" t="n">
        <f aca="false">Rho_moyen*(20000-Alt_rampe-pos_z)/(20000+Alt_rampe+pos_z)</f>
        <v>1.22610860691736</v>
      </c>
      <c r="W998" s="418" t="n">
        <f aca="false">1/2*Rho*Sref*Cx*vit_xz^2</f>
        <v>5.60416095187661</v>
      </c>
      <c r="X998" s="402"/>
      <c r="Y998" s="423" t="str">
        <f aca="false">IF(AND(pos_z&lt;=0,K997&gt;0),"Impact balistique","") &amp; IF(AND(H999&lt;0,vit_z&gt;=0),"Apogée","") &amp; IF(AND(Poussee=0,Q997&gt;0),"Fin de propulsion","") &amp; IF(AND(L999&gt;L_rampe,pos_xz&lt;=L_rampe),"Sortie de rampe","")</f>
        <v/>
      </c>
      <c r="Z998" s="424" t="str">
        <f aca="false">IF(ABS(t-T_para)&lt;pas/2,"Para","")</f>
        <v/>
      </c>
      <c r="AA998" s="425" t="str">
        <f aca="false">IF(ABS(t-T_satellite)&lt;pas/2,"Satellite","")</f>
        <v/>
      </c>
      <c r="AB998" s="413"/>
      <c r="AC998" s="421" t="e">
        <f aca="false">IF(ABS(t-ROUND(t,0))&lt;0.001,t,NA())</f>
        <v>#N/A</v>
      </c>
      <c r="AD998" s="426" t="e">
        <f aca="false">IF(ABS(t-ROUND(t,0))&lt;0.001,pos_x,NA())</f>
        <v>#N/A</v>
      </c>
      <c r="AE998" s="427" t="e">
        <f aca="false">IF(t&lt;T_para, pos_z, NA())</f>
        <v>#N/A</v>
      </c>
      <c r="AF998" s="413"/>
      <c r="AG998" s="419" t="n">
        <f aca="false">IF(AND(L997&lt;L_rampe,Poussee&lt;Poids*SIN(M997)),0,(-W997+Poussee)/m-Poids*SIN(M997)/m)</f>
        <v>5.93449559820668</v>
      </c>
      <c r="AH998" s="418" t="n">
        <f aca="false">IF(AND(L997&lt;L_rampe,Poussee&lt;Poids*SIN(M997)), g*SIN(M997), (-W997+Poussee)/m)</f>
        <v>-3.77556059113848</v>
      </c>
    </row>
    <row r="999" customFormat="false" ht="12" hidden="false" customHeight="false" outlineLevel="0" collapsed="false">
      <c r="A999" s="417" t="n">
        <f aca="false">IF(B998+0.01&lt;=T_ini+ROUNDUP(Temps_fin_propu,0), 0.01, IF(K998&gt;0, 0.1, 0.0001))</f>
        <v>0.0001</v>
      </c>
      <c r="B999" s="418" t="n">
        <f aca="false">B998+pas</f>
        <v>16.5649999999998</v>
      </c>
      <c r="C999" s="402"/>
      <c r="D999" s="419" t="n">
        <f aca="false">IF(AND(L998&lt;L_rampe,Poussee&lt;Poids*SIN(M998)),0,(-W998+Poussee)/m*COS(M998)-U998/m*SIN(M998))</f>
        <v>-0.537566915674787</v>
      </c>
      <c r="E999" s="420" t="n">
        <f aca="false">IF(AND(L998&lt;L_rampe,Poussee&lt;Poids*SIN(M998)),0,(-W998+Poussee)/m*SIN(M998)+U998/m*COS(M998)-Poids/m)</f>
        <v>-6.07283933440129</v>
      </c>
      <c r="F999" s="418" t="n">
        <f aca="false">SQRT(acc_x^2+acc_z^2)</f>
        <v>6.09658558295376</v>
      </c>
      <c r="G999" s="419" t="n">
        <f aca="false">G998+acc_x*pas</f>
        <v>10.2523352592829</v>
      </c>
      <c r="H999" s="420" t="n">
        <f aca="false">H998+acc_z*pas</f>
        <v>-71.2751292861306</v>
      </c>
      <c r="I999" s="418" t="n">
        <f aca="false">SQRT(vit_x^2+vit_z^2)</f>
        <v>72.0087108135076</v>
      </c>
      <c r="J999" s="419" t="n">
        <f aca="false">J998+0.5*(vit_x+G998)*pas*(K998&gt;=0)</f>
        <v>211.791153319536</v>
      </c>
      <c r="K999" s="420" t="n">
        <f aca="false">K998+0.5*(vit_z+H998)*pas</f>
        <v>-9.05288672985993</v>
      </c>
      <c r="L999" s="418" t="n">
        <f aca="false">SQRT(pos_x^2+pos_z^2)</f>
        <v>211.984545150261</v>
      </c>
      <c r="M999" s="419" t="n">
        <f aca="false">IF(AND(L998&gt;L_rampe,G999&gt;0),ATAN2(G999,H999),$M$4)</f>
        <v>-1.42793454640786</v>
      </c>
      <c r="N999" s="418" t="n">
        <f aca="false">DEGREES(Beta)</f>
        <v>-81.814622930098</v>
      </c>
      <c r="O999" s="402"/>
      <c r="P999" s="421" t="n">
        <f aca="false">MATCH(t-pas/2-T_ini,CdP_t)</f>
        <v>23</v>
      </c>
      <c r="Q999" s="418" t="n">
        <f aca="false">(INDEX(CdP,2,i_P+1)-INDEX(CdP,2,i_P+0))/(INDEX(CdP,1,i_P+1)-INDEX(CdP,1,i_P+0))*(t-pas/2-T_ini-INDEX(CdP,1,i_P+0))+INDEX(CdP,2,i_P+0)</f>
        <v>0</v>
      </c>
      <c r="R999" s="419" t="n">
        <f aca="false">Poussee/(g*ISP)</f>
        <v>0</v>
      </c>
      <c r="S999" s="420" t="n">
        <f aca="false">S998-Débit*pas</f>
        <v>1.4843</v>
      </c>
      <c r="T999" s="418" t="n">
        <f aca="false">m*g</f>
        <v>14.560983</v>
      </c>
      <c r="U999" s="422" t="n">
        <f aca="false">IF(pos_xz&lt;L_rampe,Poids*COS(Beta),0)</f>
        <v>0</v>
      </c>
      <c r="V999" s="419" t="n">
        <f aca="false">Rho_moyen*(20000-Alt_rampe-pos_z)/(20000+Alt_rampe+pos_z)</f>
        <v>1.22610948082462</v>
      </c>
      <c r="W999" s="418" t="n">
        <f aca="false">1/2*Rho*Sref*Cx*vit_xz^2</f>
        <v>5.60425731828782</v>
      </c>
      <c r="X999" s="402"/>
      <c r="Y999" s="423" t="str">
        <f aca="false">IF(AND(pos_z&lt;=0,K998&gt;0),"Impact balistique","") &amp; IF(AND(H1000&lt;0,vit_z&gt;=0),"Apogée","") &amp; IF(AND(Poussee=0,Q998&gt;0),"Fin de propulsion","") &amp; IF(AND(L1000&gt;L_rampe,pos_xz&lt;=L_rampe),"Sortie de rampe","")</f>
        <v/>
      </c>
      <c r="Z999" s="424" t="str">
        <f aca="false">IF(ABS(t-T_para)&lt;pas/2,"Para","")</f>
        <v/>
      </c>
      <c r="AA999" s="425" t="str">
        <f aca="false">IF(ABS(t-T_satellite)&lt;pas/2,"Satellite","")</f>
        <v/>
      </c>
      <c r="AB999" s="413"/>
      <c r="AC999" s="421" t="e">
        <f aca="false">IF(ABS(t-ROUND(t,0))&lt;0.001,t,NA())</f>
        <v>#N/A</v>
      </c>
      <c r="AD999" s="426" t="e">
        <f aca="false">IF(ABS(t-ROUND(t,0))&lt;0.001,pos_x,NA())</f>
        <v>#N/A</v>
      </c>
      <c r="AE999" s="427" t="e">
        <f aca="false">IF(t&lt;T_para, pos_z, NA())</f>
        <v>#N/A</v>
      </c>
      <c r="AF999" s="413"/>
      <c r="AG999" s="419" t="n">
        <f aca="false">IF(AND(L998&lt;L_rampe,Poussee&lt;Poids*SIN(M998)),0,(-W998+Poussee)/m-Poids*SIN(M998)/m)</f>
        <v>5.93443338364253</v>
      </c>
      <c r="AH999" s="418" t="n">
        <f aca="false">IF(AND(L998&lt;L_rampe,Poussee&lt;Poids*SIN(M998)), g*SIN(M998), (-W998+Poussee)/m)</f>
        <v>-3.77562551497448</v>
      </c>
    </row>
    <row r="1000" customFormat="false" ht="12" hidden="false" customHeight="false" outlineLevel="0" collapsed="false">
      <c r="A1000" s="417" t="n">
        <f aca="false">IF(B999+0.01&lt;=T_ini+ROUNDUP(Temps_fin_propu,0), 0.01, IF(K999&gt;0, 0.1, 0.0001))</f>
        <v>0.0001</v>
      </c>
      <c r="B1000" s="418" t="n">
        <f aca="false">B999+pas</f>
        <v>16.5650999999998</v>
      </c>
      <c r="C1000" s="402"/>
      <c r="D1000" s="419" t="n">
        <f aca="false">IF(AND(L999&lt;L_rampe,Poussee&lt;Poids*SIN(M999)),0,(-W999+Poussee)/m*COS(M999)-U999/m*SIN(M999))</f>
        <v>-0.537568910432794</v>
      </c>
      <c r="E1000" s="420" t="n">
        <f aca="false">IF(AND(L999&lt;L_rampe,Poussee&lt;Poids*SIN(M999)),0,(-W999+Poussee)/m*SIN(M999)+U999/m*COS(M999)-Poids/m)</f>
        <v>-6.07277402930131</v>
      </c>
      <c r="F1000" s="418" t="n">
        <f aca="false">SQRT(acc_x^2+acc_z^2)</f>
        <v>6.09652070811052</v>
      </c>
      <c r="G1000" s="419" t="n">
        <f aca="false">G999+acc_x*pas</f>
        <v>10.2522815023918</v>
      </c>
      <c r="H1000" s="420" t="n">
        <f aca="false">H999+acc_z*pas</f>
        <v>-71.2757365635336</v>
      </c>
      <c r="I1000" s="418" t="n">
        <f aca="false">SQRT(vit_x^2+vit_z^2)</f>
        <v>72.00930425076</v>
      </c>
      <c r="J1000" s="419" t="n">
        <f aca="false">J999+0.5*(vit_x+G999)*pas*(K999&gt;=0)</f>
        <v>211.791153319536</v>
      </c>
      <c r="K1000" s="420" t="n">
        <f aca="false">K999+0.5*(vit_z+H999)*pas</f>
        <v>-9.06001427315241</v>
      </c>
      <c r="L1000" s="418" t="n">
        <f aca="false">SQRT(pos_x^2+pos_z^2)</f>
        <v>211.984849654519</v>
      </c>
      <c r="M1000" s="419" t="n">
        <f aca="false">IF(AND(L999&gt;L_rampe,G1000&gt;0),ATAN2(G1000,H1000),$M$4)</f>
        <v>-1.42793648603457</v>
      </c>
      <c r="N1000" s="418" t="n">
        <f aca="false">DEGREES(Beta)</f>
        <v>-81.8147340625225</v>
      </c>
      <c r="O1000" s="402"/>
      <c r="P1000" s="421" t="n">
        <f aca="false">MATCH(t-pas/2-T_ini,CdP_t)</f>
        <v>23</v>
      </c>
      <c r="Q1000" s="418" t="n">
        <f aca="false">(INDEX(CdP,2,i_P+1)-INDEX(CdP,2,i_P+0))/(INDEX(CdP,1,i_P+1)-INDEX(CdP,1,i_P+0))*(t-pas/2-T_ini-INDEX(CdP,1,i_P+0))+INDEX(CdP,2,i_P+0)</f>
        <v>0</v>
      </c>
      <c r="R1000" s="419" t="n">
        <f aca="false">Poussee/(g*ISP)</f>
        <v>0</v>
      </c>
      <c r="S1000" s="420" t="n">
        <f aca="false">S999-Débit*pas</f>
        <v>1.4843</v>
      </c>
      <c r="T1000" s="418" t="n">
        <f aca="false">m*g</f>
        <v>14.560983</v>
      </c>
      <c r="U1000" s="422" t="n">
        <f aca="false">IF(pos_xz&lt;L_rampe,Poids*COS(Beta),0)</f>
        <v>0</v>
      </c>
      <c r="V1000" s="419" t="n">
        <f aca="false">Rho_moyen*(20000-Alt_rampe-pos_z)/(20000+Alt_rampe+pos_z)</f>
        <v>1.22611035473995</v>
      </c>
      <c r="W1000" s="418" t="n">
        <f aca="false">1/2*Rho*Sref*Cx*vit_xz^2</f>
        <v>5.60435368466045</v>
      </c>
      <c r="X1000" s="402"/>
      <c r="Y1000" s="423" t="str">
        <f aca="false">IF(AND(pos_z&lt;=0,K999&gt;0),"Impact balistique","") &amp; IF(AND(H1001&lt;0,vit_z&gt;=0),"Apogée","") &amp; IF(AND(Poussee=0,Q999&gt;0),"Fin de propulsion","") &amp; IF(AND(L1001&gt;L_rampe,pos_xz&lt;=L_rampe),"Sortie de rampe","")</f>
        <v/>
      </c>
      <c r="Z1000" s="424" t="str">
        <f aca="false">IF(ABS(t-T_para)&lt;pas/2,"Para","")</f>
        <v/>
      </c>
      <c r="AA1000" s="425" t="str">
        <f aca="false">IF(ABS(t-T_satellite)&lt;pas/2,"Satellite","")</f>
        <v/>
      </c>
      <c r="AB1000" s="413"/>
      <c r="AC1000" s="421" t="e">
        <f aca="false">IF(ABS(t-ROUND(t,0))&lt;0.001,t,NA())</f>
        <v>#N/A</v>
      </c>
      <c r="AD1000" s="426" t="e">
        <f aca="false">IF(ABS(t-ROUND(t,0))&lt;0.001,pos_x,NA())</f>
        <v>#N/A</v>
      </c>
      <c r="AE1000" s="427" t="e">
        <f aca="false">IF(t&lt;T_para, pos_z, NA())</f>
        <v>#N/A</v>
      </c>
      <c r="AF1000" s="413"/>
      <c r="AG1000" s="419" t="n">
        <f aca="false">IF(AND(L999&lt;L_rampe,Poussee&lt;Poids*SIN(M999)),0,(-W999+Poussee)/m-Poids*SIN(M999)/m)</f>
        <v>5.93437116900895</v>
      </c>
      <c r="AH1000" s="418" t="n">
        <f aca="false">IF(AND(L999&lt;L_rampe,Poussee&lt;Poids*SIN(M999)), g*SIN(M999), (-W999+Poussee)/m)</f>
        <v>-3.7756904387845</v>
      </c>
    </row>
    <row r="1001" customFormat="false" ht="12" hidden="false" customHeight="false" outlineLevel="0" collapsed="false">
      <c r="A1001" s="417" t="n">
        <f aca="false">IF(B1000+0.01&lt;=T_ini+ROUNDUP(Temps_fin_propu,0), 0.01, IF(K1000&gt;0, 0.1, 0.0001))</f>
        <v>0.0001</v>
      </c>
      <c r="B1001" s="418" t="n">
        <f aca="false">B1000+pas</f>
        <v>16.5651999999998</v>
      </c>
      <c r="C1001" s="402"/>
      <c r="D1001" s="419" t="n">
        <f aca="false">IF(AND(L1000&lt;L_rampe,Poussee&lt;Poids*SIN(M1000)),0,(-W1000+Poussee)/m*COS(M1000)-U1000/m*SIN(M1000))</f>
        <v>-0.537570905093273</v>
      </c>
      <c r="E1001" s="420" t="n">
        <f aca="false">IF(AND(L1000&lt;L_rampe,Poussee&lt;Poids*SIN(M1000)),0,(-W1000+Poussee)/m*SIN(M1000)+U1000/m*COS(M1000)-Poids/m)</f>
        <v>-6.07270872422791</v>
      </c>
      <c r="F1001" s="418" t="n">
        <f aca="false">SQRT(acc_x^2+acc_z^2)</f>
        <v>6.096455833295</v>
      </c>
      <c r="G1001" s="419" t="n">
        <f aca="false">G1000+acc_x*pas</f>
        <v>10.2522277453013</v>
      </c>
      <c r="H1001" s="420" t="n">
        <f aca="false">H1000+acc_z*pas</f>
        <v>-71.276343834406</v>
      </c>
      <c r="I1001" s="418" t="n">
        <f aca="false">SQRT(vit_x^2+vit_z^2)</f>
        <v>72.0098976817909</v>
      </c>
      <c r="J1001" s="419" t="n">
        <f aca="false">J1000+0.5*(vit_x+G1000)*pas*(K1000&gt;=0)</f>
        <v>211.791153319536</v>
      </c>
      <c r="K1001" s="420" t="n">
        <f aca="false">K1000+0.5*(vit_z+H1000)*pas</f>
        <v>-9.06714187717231</v>
      </c>
      <c r="L1001" s="418" t="n">
        <f aca="false">SQRT(pos_x^2+pos_z^2)</f>
        <v>211.985154400585</v>
      </c>
      <c r="M1001" s="419" t="n">
        <f aca="false">IF(AND(L1000&gt;L_rampe,G1001&gt;0),ATAN2(G1001,H1001),$M$4)</f>
        <v>-1.42793842561915</v>
      </c>
      <c r="N1001" s="418" t="n">
        <f aca="false">DEGREES(Beta)</f>
        <v>-81.8148451925325</v>
      </c>
      <c r="O1001" s="402"/>
      <c r="P1001" s="421" t="n">
        <f aca="false">MATCH(t-pas/2-T_ini,CdP_t)</f>
        <v>23</v>
      </c>
      <c r="Q1001" s="418" t="n">
        <f aca="false">(INDEX(CdP,2,i_P+1)-INDEX(CdP,2,i_P+0))/(INDEX(CdP,1,i_P+1)-INDEX(CdP,1,i_P+0))*(t-pas/2-T_ini-INDEX(CdP,1,i_P+0))+INDEX(CdP,2,i_P+0)</f>
        <v>0</v>
      </c>
      <c r="R1001" s="419" t="n">
        <f aca="false">Poussee/(g*ISP)</f>
        <v>0</v>
      </c>
      <c r="S1001" s="420" t="n">
        <f aca="false">S1000-Débit*pas</f>
        <v>1.4843</v>
      </c>
      <c r="T1001" s="418" t="n">
        <f aca="false">m*g</f>
        <v>14.560983</v>
      </c>
      <c r="U1001" s="422" t="n">
        <f aca="false">IF(pos_xz&lt;L_rampe,Poids*COS(Beta),0)</f>
        <v>0</v>
      </c>
      <c r="V1001" s="419" t="n">
        <f aca="false">Rho_moyen*(20000-Alt_rampe-pos_z)/(20000+Alt_rampe+pos_z)</f>
        <v>1.22611122866335</v>
      </c>
      <c r="W1001" s="418" t="n">
        <f aca="false">1/2*Rho*Sref*Cx*vit_xz^2</f>
        <v>5.60445005099447</v>
      </c>
      <c r="X1001" s="402"/>
      <c r="Y1001" s="423" t="str">
        <f aca="false">IF(AND(pos_z&lt;=0,K1000&gt;0),"Impact balistique","") &amp; IF(AND(H1002&lt;0,vit_z&gt;=0),"Apogée","") &amp; IF(AND(Poussee=0,Q1000&gt;0),"Fin de propulsion","") &amp; IF(AND(L1002&gt;L_rampe,pos_xz&lt;=L_rampe),"Sortie de rampe","")</f>
        <v/>
      </c>
      <c r="Z1001" s="424" t="str">
        <f aca="false">IF(ABS(t-T_para)&lt;pas/2,"Para","")</f>
        <v/>
      </c>
      <c r="AA1001" s="425" t="str">
        <f aca="false">IF(ABS(t-T_satellite)&lt;pas/2,"Satellite","")</f>
        <v/>
      </c>
      <c r="AB1001" s="413"/>
      <c r="AC1001" s="421" t="e">
        <f aca="false">IF(ABS(t-ROUND(t,0))&lt;0.001,t,NA())</f>
        <v>#N/A</v>
      </c>
      <c r="AD1001" s="426" t="e">
        <f aca="false">IF(ABS(t-ROUND(t,0))&lt;0.001,pos_x,NA())</f>
        <v>#N/A</v>
      </c>
      <c r="AE1001" s="427" t="e">
        <f aca="false">IF(t&lt;T_para, pos_z, NA())</f>
        <v>#N/A</v>
      </c>
      <c r="AF1001" s="413"/>
      <c r="AG1001" s="419" t="n">
        <f aca="false">IF(AND(L1000&lt;L_rampe,Poussee&lt;Poids*SIN(M1000)),0,(-W1000+Poussee)/m-Poids*SIN(M1000)/m)</f>
        <v>5.93430895430599</v>
      </c>
      <c r="AH1001" s="418" t="n">
        <f aca="false">IF(AND(L1000&lt;L_rampe,Poussee&lt;Poids*SIN(M1000)), g*SIN(M1000), (-W1000+Poussee)/m)</f>
        <v>-3.77575536256852</v>
      </c>
    </row>
    <row r="1002" customFormat="false" ht="12" hidden="false" customHeight="false" outlineLevel="0" collapsed="false">
      <c r="A1002" s="417" t="n">
        <f aca="false">IF(B1001+0.01&lt;=T_ini+ROUNDUP(Temps_fin_propu,0), 0.01, IF(K1001&gt;0, 0.1, 0.0001))</f>
        <v>0.0001</v>
      </c>
      <c r="B1002" s="418" t="n">
        <f aca="false">B1001+pas</f>
        <v>16.5652999999998</v>
      </c>
      <c r="C1002" s="402"/>
      <c r="D1002" s="419" t="n">
        <f aca="false">IF(AND(L1001&lt;L_rampe,Poussee&lt;Poids*SIN(M1001)),0,(-W1001+Poussee)/m*COS(M1001)-U1001/m*SIN(M1001))</f>
        <v>-0.537572899656226</v>
      </c>
      <c r="E1002" s="420" t="n">
        <f aca="false">IF(AND(L1001&lt;L_rampe,Poussee&lt;Poids*SIN(M1001)),0,(-W1001+Poussee)/m*SIN(M1001)+U1001/m*COS(M1001)-Poids/m)</f>
        <v>-6.07264341918112</v>
      </c>
      <c r="F1002" s="418" t="n">
        <f aca="false">SQRT(acc_x^2+acc_z^2)</f>
        <v>6.09639095850722</v>
      </c>
      <c r="G1002" s="419" t="n">
        <f aca="false">G1001+acc_x*pas</f>
        <v>10.2521739880113</v>
      </c>
      <c r="H1002" s="420" t="n">
        <f aca="false">H1001+acc_z*pas</f>
        <v>-71.2769510987479</v>
      </c>
      <c r="I1002" s="418" t="n">
        <f aca="false">SQRT(vit_x^2+vit_z^2)</f>
        <v>72.0104911066003</v>
      </c>
      <c r="J1002" s="419" t="n">
        <f aca="false">J1001+0.5*(vit_x+G1001)*pas*(K1001&gt;=0)</f>
        <v>211.791153319536</v>
      </c>
      <c r="K1002" s="420" t="n">
        <f aca="false">K1001+0.5*(vit_z+H1001)*pas</f>
        <v>-9.07426954191897</v>
      </c>
      <c r="L1002" s="418" t="n">
        <f aca="false">SQRT(pos_x^2+pos_z^2)</f>
        <v>211.985459388465</v>
      </c>
      <c r="M1002" s="419" t="n">
        <f aca="false">IF(AND(L1001&gt;L_rampe,G1002&gt;0),ATAN2(G1002,H1002),$M$4)</f>
        <v>-1.42794036516158</v>
      </c>
      <c r="N1002" s="418" t="n">
        <f aca="false">DEGREES(Beta)</f>
        <v>-81.8149563201282</v>
      </c>
      <c r="O1002" s="402"/>
      <c r="P1002" s="421" t="n">
        <f aca="false">MATCH(t-pas/2-T_ini,CdP_t)</f>
        <v>23</v>
      </c>
      <c r="Q1002" s="418" t="n">
        <f aca="false">(INDEX(CdP,2,i_P+1)-INDEX(CdP,2,i_P+0))/(INDEX(CdP,1,i_P+1)-INDEX(CdP,1,i_P+0))*(t-pas/2-T_ini-INDEX(CdP,1,i_P+0))+INDEX(CdP,2,i_P+0)</f>
        <v>0</v>
      </c>
      <c r="R1002" s="419" t="n">
        <f aca="false">Poussee/(g*ISP)</f>
        <v>0</v>
      </c>
      <c r="S1002" s="420" t="n">
        <f aca="false">S1001-Débit*pas</f>
        <v>1.4843</v>
      </c>
      <c r="T1002" s="418" t="n">
        <f aca="false">m*g</f>
        <v>14.560983</v>
      </c>
      <c r="U1002" s="422" t="n">
        <f aca="false">IF(pos_xz&lt;L_rampe,Poids*COS(Beta),0)</f>
        <v>0</v>
      </c>
      <c r="V1002" s="419" t="n">
        <f aca="false">Rho_moyen*(20000-Alt_rampe-pos_z)/(20000+Alt_rampe+pos_z)</f>
        <v>1.22611210259482</v>
      </c>
      <c r="W1002" s="418" t="n">
        <f aca="false">1/2*Rho*Sref*Cx*vit_xz^2</f>
        <v>5.60454641728985</v>
      </c>
      <c r="X1002" s="402"/>
      <c r="Y1002" s="423" t="str">
        <f aca="false">IF(AND(pos_z&lt;=0,K1001&gt;0),"Impact balistique","") &amp; IF(AND(H1003&lt;0,vit_z&gt;=0),"Apogée","") &amp; IF(AND(Poussee=0,Q1001&gt;0),"Fin de propulsion","") &amp; IF(AND(L1003&gt;L_rampe,pos_xz&lt;=L_rampe),"Sortie de rampe","")</f>
        <v/>
      </c>
      <c r="Z1002" s="424" t="str">
        <f aca="false">IF(ABS(t-T_para)&lt;pas/2,"Para","")</f>
        <v/>
      </c>
      <c r="AA1002" s="425" t="str">
        <f aca="false">IF(ABS(t-T_satellite)&lt;pas/2,"Satellite","")</f>
        <v/>
      </c>
      <c r="AB1002" s="413"/>
      <c r="AC1002" s="421" t="e">
        <f aca="false">IF(ABS(t-ROUND(t,0))&lt;0.001,t,NA())</f>
        <v>#N/A</v>
      </c>
      <c r="AD1002" s="426" t="e">
        <f aca="false">IF(ABS(t-ROUND(t,0))&lt;0.001,pos_x,NA())</f>
        <v>#N/A</v>
      </c>
      <c r="AE1002" s="427" t="e">
        <f aca="false">IF(t&lt;T_para, pos_z, NA())</f>
        <v>#N/A</v>
      </c>
      <c r="AF1002" s="413"/>
      <c r="AG1002" s="419" t="n">
        <f aca="false">IF(AND(L1001&lt;L_rampe,Poussee&lt;Poids*SIN(M1001)),0,(-W1001+Poussee)/m-Poids*SIN(M1001)/m)</f>
        <v>5.93424673953364</v>
      </c>
      <c r="AH1002" s="418" t="n">
        <f aca="false">IF(AND(L1001&lt;L_rampe,Poussee&lt;Poids*SIN(M1001)), g*SIN(M1001), (-W1001+Poussee)/m)</f>
        <v>-3.77582028632653</v>
      </c>
    </row>
    <row r="1003" customFormat="false" ht="12" hidden="false" customHeight="false" outlineLevel="0" collapsed="false">
      <c r="A1003" s="417" t="n">
        <f aca="false">IF(B1002+0.01&lt;=T_ini+ROUNDUP(Temps_fin_propu,0), 0.01, IF(K1002&gt;0, 0.1, 0.0001))</f>
        <v>0.0001</v>
      </c>
      <c r="B1003" s="418" t="n">
        <f aca="false">B1002+pas</f>
        <v>16.5653999999998</v>
      </c>
      <c r="C1003" s="402"/>
      <c r="D1003" s="419" t="n">
        <f aca="false">IF(AND(L1002&lt;L_rampe,Poussee&lt;Poids*SIN(M1002)),0,(-W1002+Poussee)/m*COS(M1002)-U1002/m*SIN(M1002))</f>
        <v>-0.53757489412165</v>
      </c>
      <c r="E1003" s="420" t="n">
        <f aca="false">IF(AND(L1002&lt;L_rampe,Poussee&lt;Poids*SIN(M1002)),0,(-W1002+Poussee)/m*SIN(M1002)+U1002/m*COS(M1002)-Poids/m)</f>
        <v>-6.07257811416095</v>
      </c>
      <c r="F1003" s="418" t="n">
        <f aca="false">SQRT(acc_x^2+acc_z^2)</f>
        <v>6.0963260837472</v>
      </c>
      <c r="G1003" s="419" t="n">
        <f aca="false">G1002+acc_x*pas</f>
        <v>10.2521202305219</v>
      </c>
      <c r="H1003" s="420" t="n">
        <f aca="false">H1002+acc_z*pas</f>
        <v>-71.2775583565593</v>
      </c>
      <c r="I1003" s="418" t="n">
        <f aca="false">SQRT(vit_x^2+vit_z^2)</f>
        <v>72.0110845251882</v>
      </c>
      <c r="J1003" s="419" t="n">
        <f aca="false">J1002+0.5*(vit_x+G1002)*pas*(K1002&gt;=0)</f>
        <v>211.791153319536</v>
      </c>
      <c r="K1003" s="420" t="n">
        <f aca="false">K1002+0.5*(vit_z+H1002)*pas</f>
        <v>-9.08139726739173</v>
      </c>
      <c r="L1003" s="418" t="n">
        <f aca="false">SQRT(pos_x^2+pos_z^2)</f>
        <v>211.985764618164</v>
      </c>
      <c r="M1003" s="419" t="n">
        <f aca="false">IF(AND(L1002&gt;L_rampe,G1003&gt;0),ATAN2(G1003,H1003),$M$4)</f>
        <v>-1.42794230466188</v>
      </c>
      <c r="N1003" s="418" t="n">
        <f aca="false">DEGREES(Beta)</f>
        <v>-81.8150674453096</v>
      </c>
      <c r="O1003" s="402"/>
      <c r="P1003" s="421" t="n">
        <f aca="false">MATCH(t-pas/2-T_ini,CdP_t)</f>
        <v>23</v>
      </c>
      <c r="Q1003" s="418" t="n">
        <f aca="false">(INDEX(CdP,2,i_P+1)-INDEX(CdP,2,i_P+0))/(INDEX(CdP,1,i_P+1)-INDEX(CdP,1,i_P+0))*(t-pas/2-T_ini-INDEX(CdP,1,i_P+0))+INDEX(CdP,2,i_P+0)</f>
        <v>0</v>
      </c>
      <c r="R1003" s="419" t="n">
        <f aca="false">Poussee/(g*ISP)</f>
        <v>0</v>
      </c>
      <c r="S1003" s="420" t="n">
        <f aca="false">S1002-Débit*pas</f>
        <v>1.4843</v>
      </c>
      <c r="T1003" s="418" t="n">
        <f aca="false">m*g</f>
        <v>14.560983</v>
      </c>
      <c r="U1003" s="422" t="n">
        <f aca="false">IF(pos_xz&lt;L_rampe,Poids*COS(Beta),0)</f>
        <v>0</v>
      </c>
      <c r="V1003" s="419" t="n">
        <f aca="false">Rho_moyen*(20000-Alt_rampe-pos_z)/(20000+Alt_rampe+pos_z)</f>
        <v>1.22611297653436</v>
      </c>
      <c r="W1003" s="418" t="n">
        <f aca="false">1/2*Rho*Sref*Cx*vit_xz^2</f>
        <v>5.60464278354658</v>
      </c>
      <c r="X1003" s="402"/>
      <c r="Y1003" s="423" t="str">
        <f aca="false">IF(AND(pos_z&lt;=0,K1002&gt;0),"Impact balistique","") &amp; IF(AND(H1004&lt;0,vit_z&gt;=0),"Apogée","") &amp; IF(AND(Poussee=0,Q1002&gt;0),"Fin de propulsion","") &amp; IF(AND(L1004&gt;L_rampe,pos_xz&lt;=L_rampe),"Sortie de rampe","")</f>
        <v/>
      </c>
      <c r="Z1003" s="424" t="str">
        <f aca="false">IF(ABS(t-T_para)&lt;pas/2,"Para","")</f>
        <v/>
      </c>
      <c r="AA1003" s="425" t="str">
        <f aca="false">IF(ABS(t-T_satellite)&lt;pas/2,"Satellite","")</f>
        <v/>
      </c>
      <c r="AB1003" s="413"/>
      <c r="AC1003" s="421" t="e">
        <f aca="false">IF(ABS(t-ROUND(t,0))&lt;0.001,t,NA())</f>
        <v>#N/A</v>
      </c>
      <c r="AD1003" s="426" t="e">
        <f aca="false">IF(ABS(t-ROUND(t,0))&lt;0.001,pos_x,NA())</f>
        <v>#N/A</v>
      </c>
      <c r="AE1003" s="427" t="e">
        <f aca="false">IF(t&lt;T_para, pos_z, NA())</f>
        <v>#N/A</v>
      </c>
      <c r="AF1003" s="413"/>
      <c r="AG1003" s="419" t="n">
        <f aca="false">IF(AND(L1002&lt;L_rampe,Poussee&lt;Poids*SIN(M1002)),0,(-W1002+Poussee)/m-Poids*SIN(M1002)/m)</f>
        <v>5.93418452469195</v>
      </c>
      <c r="AH1003" s="418" t="n">
        <f aca="false">IF(AND(L1002&lt;L_rampe,Poussee&lt;Poids*SIN(M1002)), g*SIN(M1002), (-W1002+Poussee)/m)</f>
        <v>-3.77588521005852</v>
      </c>
    </row>
    <row r="1004" customFormat="false" ht="12" hidden="false" customHeight="false" outlineLevel="0" collapsed="false">
      <c r="A1004" s="428" t="n">
        <f aca="false">IF(B1003+0.01&lt;=T_ini+ROUNDUP(Temps_fin_propu,0), 0.01, IF(K1003&gt;0, 0.1, 0.0001))</f>
        <v>0.0001</v>
      </c>
      <c r="B1004" s="429" t="n">
        <f aca="false">B1003+pas</f>
        <v>16.5654999999998</v>
      </c>
      <c r="C1004" s="402"/>
      <c r="D1004" s="430" t="n">
        <f aca="false">IF(AND(L1003&lt;L_rampe,Poussee&lt;Poids*SIN(M1003)),0,(-W1003+Poussee)/m*COS(M1003)-U1003/m*SIN(M1003))</f>
        <v>-0.537576888489549</v>
      </c>
      <c r="E1004" s="431" t="n">
        <f aca="false">IF(AND(L1003&lt;L_rampe,Poussee&lt;Poids*SIN(M1003)),0,(-W1003+Poussee)/m*SIN(M1003)+U1003/m*COS(M1003)-Poids/m)</f>
        <v>-6.07251280916741</v>
      </c>
      <c r="F1004" s="429" t="n">
        <f aca="false">SQRT(acc_x^2+acc_z^2)</f>
        <v>6.09626120901494</v>
      </c>
      <c r="G1004" s="430" t="n">
        <f aca="false">G1003+acc_x*pas</f>
        <v>10.2520664728331</v>
      </c>
      <c r="H1004" s="431" t="n">
        <f aca="false">H1003+acc_z*pas</f>
        <v>-71.2781656078402</v>
      </c>
      <c r="I1004" s="429" t="n">
        <f aca="false">SQRT(vit_x^2+vit_z^2)</f>
        <v>72.0116779375546</v>
      </c>
      <c r="J1004" s="430" t="n">
        <f aca="false">J1003+0.5*(vit_x+G1003)*pas*(K1003&gt;=0)</f>
        <v>211.791153319536</v>
      </c>
      <c r="K1004" s="431" t="n">
        <f aca="false">K1003+0.5*(vit_z+H1003)*pas</f>
        <v>-9.08852505358995</v>
      </c>
      <c r="L1004" s="429" t="n">
        <f aca="false">SQRT(pos_x^2+pos_z^2)</f>
        <v>211.986070089685</v>
      </c>
      <c r="M1004" s="430" t="n">
        <f aca="false">IF(AND(L1003&gt;L_rampe,G1004&gt;0),ATAN2(G1004,H1004),$M$4)</f>
        <v>-1.42794424412004</v>
      </c>
      <c r="N1004" s="429" t="n">
        <f aca="false">DEGREES(Beta)</f>
        <v>-81.815178568077</v>
      </c>
      <c r="O1004" s="402"/>
      <c r="P1004" s="432" t="n">
        <f aca="false">MATCH(t-pas/2-T_ini,CdP_t)</f>
        <v>23</v>
      </c>
      <c r="Q1004" s="429" t="n">
        <f aca="false">(INDEX(CdP,2,i_P+1)-INDEX(CdP,2,i_P+0))/(INDEX(CdP,1,i_P+1)-INDEX(CdP,1,i_P+0))*(t-pas/2-T_ini-INDEX(CdP,1,i_P+0))+INDEX(CdP,2,i_P+0)</f>
        <v>0</v>
      </c>
      <c r="R1004" s="430" t="n">
        <f aca="false">Poussee/(g*ISP)</f>
        <v>0</v>
      </c>
      <c r="S1004" s="431" t="n">
        <f aca="false">S1003-Débit*pas</f>
        <v>1.4843</v>
      </c>
      <c r="T1004" s="429" t="n">
        <f aca="false">m*g</f>
        <v>14.560983</v>
      </c>
      <c r="U1004" s="433" t="n">
        <f aca="false">IF(pos_xz&lt;L_rampe,Poids*COS(Beta),0)</f>
        <v>0</v>
      </c>
      <c r="V1004" s="430" t="n">
        <f aca="false">Rho_moyen*(20000-Alt_rampe-pos_z)/(20000+Alt_rampe+pos_z)</f>
        <v>1.22611385048197</v>
      </c>
      <c r="W1004" s="429" t="n">
        <f aca="false">1/2*Rho*Sref*Cx*vit_xz^2</f>
        <v>5.60473914976462</v>
      </c>
      <c r="X1004" s="402"/>
      <c r="Y1004" s="434" t="str">
        <f aca="false">IF(AND(pos_z&lt;=0,K1003&gt;0),"Impact balistique","") &amp; IF(AND(H1005&lt;0,vit_z&gt;=0),"Apogée","") &amp; IF(AND(Poussee=0,Q1003&gt;0),"Fin de propulsion","") &amp; IF(AND(L1005&gt;L_rampe,pos_xz&lt;=L_rampe),"Sortie de rampe","")</f>
        <v/>
      </c>
      <c r="Z1004" s="435" t="str">
        <f aca="false">IF(ABS(t-T_para)&lt;pas/2,"Para","")</f>
        <v/>
      </c>
      <c r="AA1004" s="436" t="str">
        <f aca="false">IF(ABS(t-T_satellite)&lt;pas/2,"Satellite","")</f>
        <v/>
      </c>
      <c r="AB1004" s="413"/>
      <c r="AC1004" s="432" t="e">
        <f aca="false">IF(ABS(t-ROUND(t,0))&lt;0.001,t,NA())</f>
        <v>#N/A</v>
      </c>
      <c r="AD1004" s="437" t="e">
        <f aca="false">IF(ABS(t-ROUND(t,0))&lt;0.001,pos_x,NA())</f>
        <v>#N/A</v>
      </c>
      <c r="AE1004" s="438" t="e">
        <f aca="false">IF(t&lt;T_para, pos_z, NA())</f>
        <v>#N/A</v>
      </c>
      <c r="AF1004" s="413"/>
      <c r="AG1004" s="430" t="n">
        <f aca="false">IF(AND(L1003&lt;L_rampe,Poussee&lt;Poids*SIN(M1003)),0,(-W1003+Poussee)/m-Poids*SIN(M1003)/m)</f>
        <v>5.93412230978092</v>
      </c>
      <c r="AH1004" s="429" t="n">
        <f aca="false">IF(AND(L1003&lt;L_rampe,Poussee&lt;Poids*SIN(M1003)), g*SIN(M1003), (-W1003+Poussee)/m)</f>
        <v>-3.77595013376446</v>
      </c>
    </row>
    <row r="1034" customFormat="false" ht="12" hidden="false" customHeight="false" outlineLevel="0" collapsed="false">
      <c r="E1034" s="439" t="s">
        <v>334</v>
      </c>
      <c r="J1034" s="440" t="s">
        <v>335</v>
      </c>
      <c r="T1034" s="439" t="s">
        <v>336</v>
      </c>
      <c r="Y1034" s="441" t="s">
        <v>337</v>
      </c>
    </row>
    <row r="1035" customFormat="false" ht="12" hidden="false" customHeight="false" outlineLevel="0" collapsed="false">
      <c r="E1035" s="442" t="s">
        <v>338</v>
      </c>
    </row>
    <row r="1036" customFormat="false" ht="12" hidden="false" customHeight="false" outlineLevel="0" collapsed="false">
      <c r="E1036" s="442"/>
      <c r="T1036" s="442" t="s">
        <v>339</v>
      </c>
    </row>
    <row r="1037" customFormat="false" ht="12" hidden="false" customHeight="false" outlineLevel="0" collapsed="false">
      <c r="E1037" s="442"/>
      <c r="T1037" s="442" t="s">
        <v>340</v>
      </c>
    </row>
    <row r="1038" customFormat="false" ht="12" hidden="false" customHeight="false" outlineLevel="0" collapsed="false">
      <c r="E1038" s="442"/>
      <c r="T1038" s="442" t="s">
        <v>341</v>
      </c>
    </row>
    <row r="1039" customFormat="false" ht="12" hidden="false" customHeight="false" outlineLevel="0" collapsed="false">
      <c r="E1039" s="442"/>
      <c r="T1039" s="442" t="s">
        <v>342</v>
      </c>
    </row>
    <row r="1040" customFormat="false" ht="12" hidden="false" customHeight="false" outlineLevel="0" collapsed="false">
      <c r="E1040" s="442" t="s">
        <v>343</v>
      </c>
      <c r="T1040" s="442" t="s">
        <v>344</v>
      </c>
    </row>
    <row r="1041" customFormat="false" ht="12" hidden="false" customHeight="false" outlineLevel="0" collapsed="false">
      <c r="E1041" s="442"/>
      <c r="T1041" s="442" t="s">
        <v>345</v>
      </c>
    </row>
    <row r="1042" customFormat="false" ht="12" hidden="false" customHeight="false" outlineLevel="0" collapsed="false">
      <c r="E1042" s="442"/>
      <c r="T1042" s="442"/>
    </row>
    <row r="1043" customFormat="false" ht="12" hidden="false" customHeight="false" outlineLevel="0" collapsed="false">
      <c r="E1043" s="442"/>
    </row>
    <row r="1044" customFormat="false" ht="12" hidden="false" customHeight="false" outlineLevel="0" collapsed="false">
      <c r="E1044" s="442"/>
    </row>
    <row r="1045" customFormat="false" ht="12" hidden="false" customHeight="false" outlineLevel="0" collapsed="false">
      <c r="E1045" s="442" t="s">
        <v>346</v>
      </c>
      <c r="T1045" s="442"/>
    </row>
    <row r="1046" customFormat="false" ht="12" hidden="false" customHeight="false" outlineLevel="0" collapsed="false">
      <c r="E1046" s="442"/>
    </row>
    <row r="1047" customFormat="false" ht="12" hidden="false" customHeight="false" outlineLevel="0" collapsed="false">
      <c r="E1047" s="442"/>
    </row>
    <row r="1048" customFormat="false" ht="12" hidden="false" customHeight="false" outlineLevel="0" collapsed="false">
      <c r="E1048" s="442"/>
      <c r="T1048" s="443" t="s">
        <v>347</v>
      </c>
    </row>
    <row r="1049" customFormat="false" ht="12" hidden="false" customHeight="false" outlineLevel="0" collapsed="false">
      <c r="E1049" s="442"/>
    </row>
    <row r="1050" customFormat="false" ht="12" hidden="false" customHeight="false" outlineLevel="0" collapsed="false">
      <c r="E1050" s="442" t="s">
        <v>348</v>
      </c>
    </row>
    <row r="1053" customFormat="false" ht="12" hidden="false" customHeight="false" outlineLevel="0" collapsed="false">
      <c r="T1053" s="443" t="s">
        <v>349</v>
      </c>
    </row>
    <row r="1055" customFormat="false" ht="12" hidden="false" customHeight="false" outlineLevel="0" collapsed="false">
      <c r="E1055" s="442" t="s">
        <v>350</v>
      </c>
    </row>
    <row r="1058" customFormat="false" ht="12" hidden="false" customHeight="false" outlineLevel="0" collapsed="false">
      <c r="T1058" s="442" t="s">
        <v>351</v>
      </c>
    </row>
    <row r="1060" customFormat="false" ht="12" hidden="false" customHeight="false" outlineLevel="0" collapsed="false">
      <c r="E1060" s="442" t="s">
        <v>352</v>
      </c>
    </row>
    <row r="1061" customFormat="false" ht="12" hidden="false" customHeight="false" outlineLevel="0" collapsed="false">
      <c r="E1061" s="442"/>
    </row>
    <row r="1062" customFormat="false" ht="12" hidden="false" customHeight="false" outlineLevel="0" collapsed="false">
      <c r="E1062" s="442"/>
    </row>
    <row r="1063" customFormat="false" ht="12" hidden="false" customHeight="false" outlineLevel="0" collapsed="false">
      <c r="E1063" s="442"/>
    </row>
    <row r="1064" customFormat="false" ht="12" hidden="false" customHeight="false" outlineLevel="0" collapsed="false">
      <c r="E1064" s="442"/>
    </row>
    <row r="1065" customFormat="false" ht="12" hidden="false" customHeight="false" outlineLevel="0" collapsed="false">
      <c r="E1065" s="442" t="s">
        <v>353</v>
      </c>
    </row>
    <row r="1066" customFormat="false" ht="12" hidden="false" customHeight="false" outlineLevel="0" collapsed="false">
      <c r="E1066" s="442"/>
    </row>
    <row r="1067" customFormat="false" ht="12" hidden="false" customHeight="false" outlineLevel="0" collapsed="false">
      <c r="E1067" s="442"/>
    </row>
    <row r="1068" customFormat="false" ht="12" hidden="false" customHeight="false" outlineLevel="0" collapsed="false">
      <c r="E1068" s="442"/>
    </row>
    <row r="1069" customFormat="false" ht="12" hidden="false" customHeight="false" outlineLevel="0" collapsed="false">
      <c r="E1069" s="442"/>
    </row>
    <row r="1070" customFormat="false" ht="12" hidden="false" customHeight="false" outlineLevel="0" collapsed="false">
      <c r="E1070" s="442" t="s">
        <v>354</v>
      </c>
    </row>
    <row r="1071" customFormat="false" ht="12" hidden="false" customHeight="false" outlineLevel="0" collapsed="false">
      <c r="E1071" s="442"/>
    </row>
    <row r="1072" customFormat="false" ht="12" hidden="false" customHeight="false" outlineLevel="0" collapsed="false">
      <c r="E1072" s="442"/>
    </row>
    <row r="1073" customFormat="false" ht="12" hidden="false" customHeight="false" outlineLevel="0" collapsed="false">
      <c r="E1073" s="442"/>
    </row>
    <row r="1074" customFormat="false" ht="12" hidden="false" customHeight="false" outlineLevel="0" collapsed="false">
      <c r="E1074" s="442"/>
    </row>
    <row r="1075" customFormat="false" ht="12" hidden="false" customHeight="false" outlineLevel="0" collapsed="false">
      <c r="E1075" s="442" t="s">
        <v>355</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48">
      <formula>OR($Y4="Sortie de rampe",$Z4="Para")</formula>
    </cfRule>
    <cfRule type="expression" priority="3" aboveAverage="0" equalAverage="0" bottom="0" percent="0" rank="0" text="" dxfId="49">
      <formula>OR($Y4="Fin de propulsion",$Y4="Impact balistique",$AA4="Satellite")</formula>
    </cfRule>
    <cfRule type="expression" priority="4" aboveAverage="0" equalAverage="0" bottom="0" percent="0" rank="0" text="" dxfId="50">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0" activeCellId="0" sqref="B80"/>
    </sheetView>
  </sheetViews>
  <sheetFormatPr defaultColWidth="10.6796875" defaultRowHeight="12" zeroHeight="false" outlineLevelRow="0" outlineLevelCol="0"/>
  <cols>
    <col collapsed="false" customWidth="true" hidden="false" outlineLevel="0" max="1" min="1" style="243" width="2.18"/>
    <col collapsed="false" customWidth="true" hidden="false" outlineLevel="0" max="2" min="2" style="243" width="16.27"/>
    <col collapsed="false" customWidth="true" hidden="false" outlineLevel="0" max="4" min="3" style="243" width="11.36"/>
  </cols>
  <sheetData>
    <row r="1" customFormat="false" ht="12.75" hidden="false" customHeight="false" outlineLevel="0" collapsed="false">
      <c r="A1" s="155"/>
      <c r="B1" s="156"/>
      <c r="C1" s="157"/>
      <c r="D1" s="156"/>
      <c r="E1" s="444"/>
      <c r="F1" s="444"/>
      <c r="G1" s="444"/>
      <c r="H1" s="444"/>
      <c r="I1" s="444"/>
      <c r="J1" s="444"/>
      <c r="K1" s="444"/>
      <c r="L1" s="444"/>
      <c r="M1" s="445"/>
    </row>
    <row r="2" customFormat="false" ht="12.75" hidden="false" customHeight="true" outlineLevel="0" collapsed="false">
      <c r="A2" s="160"/>
      <c r="B2" s="161"/>
      <c r="C2" s="162" t="s">
        <v>356</v>
      </c>
      <c r="D2" s="162"/>
      <c r="E2" s="180"/>
      <c r="F2" s="180"/>
      <c r="G2" s="180"/>
      <c r="H2" s="180"/>
      <c r="I2" s="180"/>
      <c r="J2" s="180"/>
      <c r="K2" s="180"/>
      <c r="L2" s="180"/>
      <c r="M2" s="446"/>
    </row>
    <row r="3" customFormat="false" ht="12.75" hidden="false" customHeight="true" outlineLevel="0" collapsed="false">
      <c r="A3" s="160"/>
      <c r="B3" s="161"/>
      <c r="C3" s="162"/>
      <c r="D3" s="162"/>
      <c r="E3" s="180"/>
      <c r="F3" s="180"/>
      <c r="G3" s="180"/>
      <c r="H3" s="180"/>
      <c r="I3" s="180"/>
      <c r="J3" s="180"/>
      <c r="K3" s="180"/>
      <c r="L3" s="180"/>
      <c r="M3" s="446"/>
    </row>
    <row r="4" customFormat="false" ht="12.75" hidden="false" customHeight="false" outlineLevel="0" collapsed="false">
      <c r="A4" s="160"/>
      <c r="B4" s="161"/>
      <c r="C4" s="169" t="str">
        <f aca="false">IF(Lang="Français","Abaques de performance",IF(Lang="English","Performance charts",""))</f>
        <v>Abaques de performance</v>
      </c>
      <c r="D4" s="169"/>
      <c r="E4" s="180"/>
      <c r="F4" s="180"/>
      <c r="G4" s="180"/>
      <c r="H4" s="180"/>
      <c r="I4" s="180"/>
      <c r="J4" s="180"/>
      <c r="K4" s="180"/>
      <c r="L4" s="180"/>
      <c r="M4" s="446"/>
    </row>
    <row r="5" customFormat="false" ht="12.75" hidden="false" customHeight="false" outlineLevel="0" collapsed="false">
      <c r="A5" s="160"/>
      <c r="B5" s="161"/>
      <c r="C5" s="169" t="str">
        <f aca="false">IF(Lang="Français","Calcul analytique simple",IF(Lang="English","Analytical computation",""))</f>
        <v>Calcul analytique simple</v>
      </c>
      <c r="D5" s="169"/>
      <c r="E5" s="180"/>
      <c r="F5" s="180"/>
      <c r="G5" s="180"/>
      <c r="H5" s="180"/>
      <c r="I5" s="180"/>
      <c r="J5" s="180"/>
      <c r="K5" s="180"/>
      <c r="L5" s="180"/>
      <c r="M5" s="446"/>
    </row>
    <row r="6" customFormat="false" ht="12.75" hidden="false" customHeight="false" outlineLevel="0" collapsed="false">
      <c r="A6" s="160"/>
      <c r="B6" s="19"/>
      <c r="C6" s="163"/>
      <c r="D6" s="163"/>
      <c r="E6" s="180"/>
      <c r="F6" s="180"/>
      <c r="G6" s="180"/>
      <c r="H6" s="180"/>
      <c r="I6" s="180"/>
      <c r="J6" s="180"/>
      <c r="K6" s="180"/>
      <c r="L6" s="180"/>
      <c r="M6" s="446"/>
    </row>
    <row r="7" customFormat="false" ht="12.75" hidden="false" customHeight="false" outlineLevel="0" collapsed="false">
      <c r="A7" s="176"/>
      <c r="B7" s="171"/>
      <c r="C7" s="172" t="str">
        <f aca="false">IF(Lang="Français","Fusée",IF(Lang="English","Rocket",""))</f>
        <v>Fusée</v>
      </c>
      <c r="D7" s="172"/>
      <c r="E7" s="180"/>
      <c r="F7" s="180"/>
      <c r="G7" s="180"/>
      <c r="H7" s="180"/>
      <c r="I7" s="180"/>
      <c r="J7" s="180"/>
      <c r="K7" s="180"/>
      <c r="L7" s="180"/>
      <c r="M7" s="446"/>
    </row>
    <row r="8" customFormat="false" ht="15" hidden="false" customHeight="false" outlineLevel="0" collapsed="false">
      <c r="A8" s="176"/>
      <c r="B8" s="174" t="str">
        <f aca="false">IF(Lang="Français","Nom",IF(Lang="English","Name",""))</f>
        <v>Nom</v>
      </c>
      <c r="C8" s="175" t="str">
        <f aca="false">Nom</f>
        <v>Ail et fines’eirb</v>
      </c>
      <c r="D8" s="175"/>
      <c r="E8" s="180"/>
      <c r="F8" s="180"/>
      <c r="G8" s="180"/>
      <c r="H8" s="180"/>
      <c r="I8" s="180"/>
      <c r="J8" s="180"/>
      <c r="K8" s="180"/>
      <c r="L8" s="180"/>
      <c r="M8" s="446"/>
    </row>
    <row r="9" customFormat="false" ht="15" hidden="false" customHeight="false" outlineLevel="0" collapsed="false">
      <c r="A9" s="176"/>
      <c r="B9" s="174" t="s">
        <v>6</v>
      </c>
      <c r="C9" s="175" t="str">
        <f aca="false">Club</f>
        <v>Eirspace</v>
      </c>
      <c r="D9" s="175"/>
      <c r="E9" s="180"/>
      <c r="F9" s="180"/>
      <c r="G9" s="180"/>
      <c r="H9" s="180"/>
      <c r="I9" s="180"/>
      <c r="J9" s="180"/>
      <c r="K9" s="180"/>
      <c r="L9" s="180"/>
      <c r="M9" s="446"/>
    </row>
    <row r="10" customFormat="false" ht="12.75" hidden="false" customHeight="false" outlineLevel="0" collapsed="false">
      <c r="A10" s="176"/>
      <c r="B10" s="174" t="str">
        <f aca="false">IF(Lang="Français","Masse sans propu",IF(Lang="English","Mass without M",""))</f>
        <v>Masse sans propu</v>
      </c>
      <c r="C10" s="447" t="n">
        <f aca="false">MasseSans</f>
        <v>1.4</v>
      </c>
      <c r="D10" s="447"/>
      <c r="E10" s="180"/>
      <c r="F10" s="180"/>
      <c r="G10" s="180"/>
      <c r="H10" s="180"/>
      <c r="I10" s="180"/>
      <c r="J10" s="180"/>
      <c r="K10" s="180"/>
      <c r="L10" s="180"/>
      <c r="M10" s="446"/>
    </row>
    <row r="11" customFormat="false" ht="12.75" hidden="false" customHeight="false" outlineLevel="0" collapsed="false">
      <c r="A11" s="176"/>
      <c r="B11" s="174" t="str">
        <f aca="false">IF(Lang="Français","Masse totale",IF(Lang="English","Total mass",""))</f>
        <v>Masse totale</v>
      </c>
      <c r="C11" s="448" t="str">
        <f aca="false">MassePlein &amp; " kg ±" &amp; MasseSans &amp; " kg"</f>
        <v>1.5599 kg ±1.4 kg</v>
      </c>
      <c r="D11" s="448"/>
      <c r="E11" s="180"/>
      <c r="F11" s="180"/>
      <c r="G11" s="180"/>
      <c r="H11" s="180"/>
      <c r="I11" s="180"/>
      <c r="J11" s="180"/>
      <c r="K11" s="180"/>
      <c r="L11" s="180"/>
      <c r="M11" s="446"/>
    </row>
    <row r="12" customFormat="false" ht="12.75" hidden="false" customHeight="false" outlineLevel="0" collapsed="false">
      <c r="A12" s="176"/>
      <c r="B12" s="178" t="str">
        <f aca="false">IF(Lang="Français","Propulseur",IF(Lang="English","Motor",""))</f>
        <v>Propulseur</v>
      </c>
      <c r="C12" s="179" t="str">
        <f aca="false">Propu</f>
        <v>Pandora (Pro24-6G BS)</v>
      </c>
      <c r="D12" s="179"/>
      <c r="E12" s="180"/>
      <c r="F12" s="180"/>
      <c r="G12" s="180"/>
      <c r="H12" s="180"/>
      <c r="I12" s="180"/>
      <c r="J12" s="180"/>
      <c r="K12" s="180"/>
      <c r="L12" s="180"/>
      <c r="M12" s="446"/>
    </row>
    <row r="13" customFormat="false" ht="12" hidden="false" customHeight="false" outlineLevel="0" collapsed="false">
      <c r="A13" s="176"/>
      <c r="B13" s="163"/>
      <c r="C13" s="163"/>
      <c r="D13" s="163"/>
      <c r="E13" s="180"/>
      <c r="F13" s="180"/>
      <c r="G13" s="180"/>
      <c r="H13" s="180"/>
      <c r="I13" s="180"/>
      <c r="J13" s="180"/>
      <c r="K13" s="180"/>
      <c r="L13" s="180"/>
      <c r="M13" s="446"/>
    </row>
    <row r="14" customFormat="false" ht="12.75" hidden="false" customHeight="false" outlineLevel="0" collapsed="false">
      <c r="A14" s="240"/>
      <c r="B14" s="180"/>
      <c r="C14" s="172" t="str">
        <f aca="false">IF(Lang="Français","Traînée Aérdynamique",IF(Lang="English","Drag",""))</f>
        <v>Traînée Aérdynamique</v>
      </c>
      <c r="D14" s="172"/>
      <c r="E14" s="180"/>
      <c r="F14" s="180"/>
      <c r="G14" s="180"/>
      <c r="H14" s="180"/>
      <c r="I14" s="180"/>
      <c r="J14" s="180"/>
      <c r="K14" s="180"/>
      <c r="L14" s="180"/>
      <c r="M14" s="446"/>
    </row>
    <row r="15" customFormat="false" ht="12.75" hidden="false" customHeight="false" outlineLevel="0" collapsed="false">
      <c r="A15" s="240"/>
      <c r="B15" s="24" t="str">
        <f aca="false">IF(Lang="Français","Diamètre Ø",IF(Lang="English","Diameter Ø",""))</f>
        <v>Diamètre Ø</v>
      </c>
      <c r="C15" s="449" t="n">
        <f aca="false">D_ref</f>
        <v>59</v>
      </c>
      <c r="D15" s="449"/>
      <c r="E15" s="180"/>
      <c r="F15" s="180"/>
      <c r="G15" s="180"/>
      <c r="H15" s="180"/>
      <c r="I15" s="180"/>
      <c r="J15" s="180"/>
      <c r="K15" s="180"/>
      <c r="L15" s="180"/>
      <c r="M15" s="446"/>
    </row>
    <row r="16" customFormat="false" ht="12.75" hidden="false" customHeight="false" outlineLevel="0" collapsed="false">
      <c r="A16" s="240"/>
      <c r="B16" s="174" t="s">
        <v>159</v>
      </c>
      <c r="C16" s="450" t="n">
        <f aca="false">Cx</f>
        <v>0.5</v>
      </c>
      <c r="D16" s="450"/>
      <c r="E16" s="180"/>
      <c r="F16" s="180"/>
      <c r="G16" s="180"/>
      <c r="H16" s="180"/>
      <c r="I16" s="180"/>
      <c r="J16" s="180"/>
      <c r="K16" s="180"/>
      <c r="L16" s="180"/>
      <c r="M16" s="446"/>
    </row>
    <row r="17" customFormat="false" ht="12" hidden="false" customHeight="false" outlineLevel="0" collapsed="false">
      <c r="A17" s="240"/>
      <c r="B17" s="180"/>
      <c r="C17" s="180"/>
      <c r="D17" s="180"/>
      <c r="E17" s="180"/>
      <c r="F17" s="180"/>
      <c r="G17" s="180"/>
      <c r="H17" s="180"/>
      <c r="I17" s="180"/>
      <c r="J17" s="180"/>
      <c r="K17" s="180"/>
      <c r="L17" s="180"/>
      <c r="M17" s="446"/>
    </row>
    <row r="18" customFormat="false" ht="12" hidden="false" customHeight="false" outlineLevel="0" collapsed="false">
      <c r="A18" s="240"/>
      <c r="B18" s="180"/>
      <c r="C18" s="180"/>
      <c r="D18" s="180"/>
      <c r="E18" s="180"/>
      <c r="F18" s="180"/>
      <c r="G18" s="180"/>
      <c r="H18" s="180"/>
      <c r="I18" s="180"/>
      <c r="J18" s="180"/>
      <c r="K18" s="180"/>
      <c r="L18" s="180"/>
      <c r="M18" s="446"/>
    </row>
    <row r="19" customFormat="false" ht="12" hidden="false" customHeight="false" outlineLevel="0" collapsed="false">
      <c r="A19" s="240"/>
      <c r="B19" s="180"/>
      <c r="C19" s="180"/>
      <c r="D19" s="180"/>
      <c r="E19" s="180"/>
      <c r="F19" s="180"/>
      <c r="G19" s="180"/>
      <c r="H19" s="180"/>
      <c r="I19" s="180"/>
      <c r="J19" s="180"/>
      <c r="K19" s="180"/>
      <c r="L19" s="180"/>
      <c r="M19" s="446"/>
    </row>
    <row r="20" customFormat="false" ht="12" hidden="false" customHeight="false" outlineLevel="0" collapsed="false">
      <c r="A20" s="240"/>
      <c r="B20" s="180"/>
      <c r="C20" s="180"/>
      <c r="D20" s="180"/>
      <c r="E20" s="180"/>
      <c r="F20" s="180"/>
      <c r="G20" s="180"/>
      <c r="H20" s="180"/>
      <c r="I20" s="180"/>
      <c r="J20" s="180"/>
      <c r="K20" s="180"/>
      <c r="L20" s="180"/>
      <c r="M20" s="446"/>
    </row>
    <row r="21" customFormat="false" ht="12" hidden="false" customHeight="false" outlineLevel="0" collapsed="false">
      <c r="A21" s="240"/>
      <c r="B21" s="180"/>
      <c r="C21" s="180"/>
      <c r="D21" s="180"/>
      <c r="E21" s="180"/>
      <c r="F21" s="180"/>
      <c r="G21" s="180"/>
      <c r="H21" s="180"/>
      <c r="I21" s="180"/>
      <c r="J21" s="180"/>
      <c r="K21" s="180"/>
      <c r="L21" s="180"/>
      <c r="M21" s="446"/>
    </row>
    <row r="22" customFormat="false" ht="12" hidden="false" customHeight="false" outlineLevel="0" collapsed="false">
      <c r="A22" s="240"/>
      <c r="B22" s="180"/>
      <c r="C22" s="180"/>
      <c r="D22" s="180"/>
      <c r="E22" s="180"/>
      <c r="F22" s="180"/>
      <c r="G22" s="180"/>
      <c r="H22" s="180"/>
      <c r="I22" s="180"/>
      <c r="J22" s="180"/>
      <c r="K22" s="180"/>
      <c r="L22" s="180"/>
      <c r="M22" s="446"/>
    </row>
    <row r="23" customFormat="false" ht="12" hidden="false" customHeight="false" outlineLevel="0" collapsed="false">
      <c r="A23" s="240"/>
      <c r="B23" s="180"/>
      <c r="C23" s="180"/>
      <c r="D23" s="180"/>
      <c r="E23" s="180"/>
      <c r="F23" s="180"/>
      <c r="G23" s="180"/>
      <c r="H23" s="180"/>
      <c r="I23" s="180"/>
      <c r="J23" s="180"/>
      <c r="K23" s="180"/>
      <c r="L23" s="180"/>
      <c r="M23" s="446"/>
    </row>
    <row r="24" customFormat="false" ht="12" hidden="false" customHeight="false" outlineLevel="0" collapsed="false">
      <c r="A24" s="240"/>
      <c r="B24" s="180"/>
      <c r="C24" s="180"/>
      <c r="D24" s="180"/>
      <c r="E24" s="180"/>
      <c r="F24" s="180"/>
      <c r="G24" s="180"/>
      <c r="H24" s="180"/>
      <c r="I24" s="180"/>
      <c r="J24" s="180"/>
      <c r="K24" s="180"/>
      <c r="L24" s="180"/>
      <c r="M24" s="446"/>
    </row>
    <row r="25" customFormat="false" ht="12" hidden="false" customHeight="false" outlineLevel="0" collapsed="false">
      <c r="A25" s="240"/>
      <c r="B25" s="180"/>
      <c r="C25" s="180"/>
      <c r="D25" s="180"/>
      <c r="E25" s="180"/>
      <c r="F25" s="180"/>
      <c r="G25" s="180"/>
      <c r="H25" s="180"/>
      <c r="I25" s="180"/>
      <c r="J25" s="180"/>
      <c r="K25" s="180"/>
      <c r="L25" s="180"/>
      <c r="M25" s="446"/>
    </row>
    <row r="26" customFormat="false" ht="12" hidden="false" customHeight="false" outlineLevel="0" collapsed="false">
      <c r="A26" s="240"/>
      <c r="B26" s="180"/>
      <c r="C26" s="180"/>
      <c r="D26" s="180"/>
      <c r="E26" s="180"/>
      <c r="F26" s="180"/>
      <c r="G26" s="180"/>
      <c r="H26" s="180"/>
      <c r="I26" s="180"/>
      <c r="J26" s="180"/>
      <c r="K26" s="180"/>
      <c r="L26" s="180"/>
      <c r="M26" s="446"/>
    </row>
    <row r="27" customFormat="false" ht="12" hidden="false" customHeight="false" outlineLevel="0" collapsed="false">
      <c r="A27" s="240"/>
      <c r="B27" s="180"/>
      <c r="C27" s="180"/>
      <c r="D27" s="180"/>
      <c r="E27" s="180"/>
      <c r="F27" s="180"/>
      <c r="G27" s="180"/>
      <c r="H27" s="180"/>
      <c r="I27" s="180"/>
      <c r="J27" s="180"/>
      <c r="K27" s="180"/>
      <c r="L27" s="180"/>
      <c r="M27" s="446"/>
    </row>
    <row r="28" customFormat="false" ht="12" hidden="false" customHeight="false" outlineLevel="0" collapsed="false">
      <c r="A28" s="240"/>
      <c r="B28" s="180"/>
      <c r="C28" s="180"/>
      <c r="D28" s="180"/>
      <c r="E28" s="180"/>
      <c r="F28" s="180"/>
      <c r="G28" s="180"/>
      <c r="H28" s="180"/>
      <c r="I28" s="180"/>
      <c r="J28" s="180"/>
      <c r="K28" s="180"/>
      <c r="L28" s="180"/>
      <c r="M28" s="446"/>
    </row>
    <row r="29" customFormat="false" ht="12" hidden="false" customHeight="false" outlineLevel="0" collapsed="false">
      <c r="A29" s="240"/>
      <c r="B29" s="180"/>
      <c r="C29" s="180"/>
      <c r="D29" s="180"/>
      <c r="E29" s="180"/>
      <c r="F29" s="180"/>
      <c r="G29" s="180"/>
      <c r="H29" s="180"/>
      <c r="I29" s="180"/>
      <c r="J29" s="180"/>
      <c r="K29" s="180"/>
      <c r="L29" s="180"/>
      <c r="M29" s="446"/>
    </row>
    <row r="30" customFormat="false" ht="12" hidden="false" customHeight="false" outlineLevel="0" collapsed="false">
      <c r="A30" s="240"/>
      <c r="B30" s="180"/>
      <c r="C30" s="180"/>
      <c r="D30" s="180"/>
      <c r="E30" s="180"/>
      <c r="F30" s="180"/>
      <c r="G30" s="180"/>
      <c r="H30" s="180"/>
      <c r="I30" s="180"/>
      <c r="J30" s="180"/>
      <c r="K30" s="180"/>
      <c r="L30" s="180"/>
      <c r="M30" s="446"/>
    </row>
    <row r="31" customFormat="false" ht="12" hidden="false" customHeight="false" outlineLevel="0" collapsed="false">
      <c r="A31" s="240"/>
      <c r="B31" s="180"/>
      <c r="C31" s="180"/>
      <c r="D31" s="180"/>
      <c r="E31" s="180"/>
      <c r="F31" s="180"/>
      <c r="G31" s="180"/>
      <c r="H31" s="180"/>
      <c r="I31" s="180"/>
      <c r="J31" s="180"/>
      <c r="K31" s="180"/>
      <c r="L31" s="180"/>
      <c r="M31" s="446"/>
    </row>
    <row r="32" customFormat="false" ht="12" hidden="false" customHeight="false" outlineLevel="0" collapsed="false">
      <c r="A32" s="240"/>
      <c r="B32" s="180"/>
      <c r="C32" s="180"/>
      <c r="D32" s="180"/>
      <c r="E32" s="180"/>
      <c r="F32" s="180"/>
      <c r="G32" s="180"/>
      <c r="H32" s="180"/>
      <c r="I32" s="180"/>
      <c r="J32" s="180"/>
      <c r="K32" s="180"/>
      <c r="L32" s="180"/>
      <c r="M32" s="446"/>
    </row>
    <row r="33" customFormat="false" ht="12" hidden="false" customHeight="false" outlineLevel="0" collapsed="false">
      <c r="A33" s="240"/>
      <c r="B33" s="180"/>
      <c r="C33" s="180"/>
      <c r="D33" s="180"/>
      <c r="E33" s="180"/>
      <c r="F33" s="180"/>
      <c r="G33" s="180"/>
      <c r="H33" s="180"/>
      <c r="I33" s="180"/>
      <c r="J33" s="180"/>
      <c r="K33" s="180"/>
      <c r="L33" s="180"/>
      <c r="M33" s="446"/>
    </row>
    <row r="34" customFormat="false" ht="12" hidden="false" customHeight="false" outlineLevel="0" collapsed="false">
      <c r="A34" s="240"/>
      <c r="B34" s="180"/>
      <c r="C34" s="180"/>
      <c r="D34" s="180"/>
      <c r="E34" s="180"/>
      <c r="F34" s="180"/>
      <c r="G34" s="180"/>
      <c r="H34" s="180"/>
      <c r="I34" s="180"/>
      <c r="J34" s="180"/>
      <c r="K34" s="180"/>
      <c r="L34" s="180"/>
      <c r="M34" s="446"/>
    </row>
    <row r="35" customFormat="false" ht="12.75" hidden="false" customHeight="false" outlineLevel="0" collapsed="false">
      <c r="A35" s="451"/>
      <c r="B35" s="452"/>
      <c r="C35" s="452"/>
      <c r="D35" s="452"/>
      <c r="E35" s="452"/>
      <c r="F35" s="452"/>
      <c r="G35" s="452"/>
      <c r="H35" s="452"/>
      <c r="I35" s="452"/>
      <c r="J35" s="452"/>
      <c r="K35" s="452"/>
      <c r="L35" s="452"/>
      <c r="M35" s="453"/>
    </row>
    <row r="39" customFormat="false" ht="12.75" hidden="false" customHeight="false" outlineLevel="0" collapsed="false">
      <c r="B39" s="251" t="s">
        <v>220</v>
      </c>
      <c r="C39" s="250" t="s">
        <v>357</v>
      </c>
      <c r="D39" s="251" t="s">
        <v>358</v>
      </c>
      <c r="E39" s="251" t="s">
        <v>359</v>
      </c>
      <c r="F39" s="251" t="s">
        <v>360</v>
      </c>
      <c r="G39" s="251" t="s">
        <v>162</v>
      </c>
      <c r="H39" s="251" t="s">
        <v>361</v>
      </c>
      <c r="I39" s="251" t="s">
        <v>362</v>
      </c>
      <c r="J39" s="251" t="s">
        <v>363</v>
      </c>
      <c r="K39" s="251" t="s">
        <v>364</v>
      </c>
      <c r="L39" s="251" t="s">
        <v>365</v>
      </c>
      <c r="M39" s="251" t="s">
        <v>366</v>
      </c>
    </row>
    <row r="40" customFormat="false" ht="12.75" hidden="false" customHeight="false" outlineLevel="0" collapsed="false">
      <c r="B40" s="258" t="s">
        <v>367</v>
      </c>
      <c r="C40" s="250" t="s">
        <v>368</v>
      </c>
      <c r="D40" s="251" t="s">
        <v>369</v>
      </c>
      <c r="E40" s="251" t="s">
        <v>370</v>
      </c>
      <c r="F40" s="251" t="s">
        <v>371</v>
      </c>
      <c r="G40" s="251" t="s">
        <v>372</v>
      </c>
      <c r="H40" s="251" t="s">
        <v>373</v>
      </c>
      <c r="I40" s="251" t="s">
        <v>374</v>
      </c>
      <c r="J40" s="251" t="s">
        <v>375</v>
      </c>
      <c r="K40" s="251" t="s">
        <v>376</v>
      </c>
      <c r="L40" s="251"/>
      <c r="M40" s="251"/>
    </row>
    <row r="41" customFormat="false" ht="12" hidden="false" customHeight="false" outlineLevel="0" collapsed="false">
      <c r="B41" s="454" t="n">
        <f aca="false">MAX(D_ref*0.5, Diam_propu)</f>
        <v>29.5</v>
      </c>
      <c r="C41" s="455" t="n">
        <f aca="false">1/2*Rho_moyen*PI()*D_var^2/4*Cx/10^6</f>
        <v>0.000209319655207093</v>
      </c>
      <c r="D41" s="456" t="n">
        <f aca="false">MpropuPlein+0*MasseSans</f>
        <v>0.1599</v>
      </c>
      <c r="E41" s="456" t="n">
        <f aca="false">m_var - 0.5*m_poudre</f>
        <v>0.1221</v>
      </c>
      <c r="F41" s="456" t="n">
        <f aca="false">m_var - m_poudre</f>
        <v>0.0843</v>
      </c>
      <c r="G41" s="457" t="n">
        <f aca="false">MAX(0, (I_total/Temps_fin_propu)/m_prop-g)</f>
        <v>573.482383292383</v>
      </c>
      <c r="H41" s="458" t="n">
        <f aca="false">Q_var/m_prop</f>
        <v>0.00171432969047578</v>
      </c>
      <c r="I41" s="455" t="n">
        <f aca="false">Q_var/m_bal</f>
        <v>0.00248303268335816</v>
      </c>
      <c r="J41" s="455" t="n">
        <f aca="false">1/(2*b_prop)*LN(  ((EXP(2*SQRT(a_prop*b_prop)*Temps_fin_propu)+1)^2)  /  (((1+1)^2)*EXP(2*SQRT(a_prop*b_prop)*Temps_fin_propu)))</f>
        <v>763.38194093142</v>
      </c>
      <c r="K41" s="459" t="n">
        <f aca="false">SQRT(a_prop/b_prop)  *  (EXP(2*SQRT(a_prop*b_prop)*Temps_fin_propu)-1)/(EXP(2*SQRT(a_prop*b_prop)*Temps_fin_propu)+1)</f>
        <v>556.870377387549</v>
      </c>
      <c r="L41" s="460" t="n">
        <f aca="false">alt_prop + 1/(2*b_bal) * LN(1+b_bal/g*V_prop^2)</f>
        <v>1644.49154684195</v>
      </c>
      <c r="M41" s="461" t="n">
        <f aca="false">Temps_fin_propu + ATAN(SQRT(b_bal/g)*V_prop)/SQRT(b_bal*g)</f>
        <v>11.3443848613847</v>
      </c>
    </row>
    <row r="42" customFormat="false" ht="12" hidden="false" customHeight="false" outlineLevel="0" collapsed="false">
      <c r="B42" s="462" t="n">
        <f aca="false">MAX(D_ref*0.5, Diam_propu)</f>
        <v>29.5</v>
      </c>
      <c r="C42" s="463" t="n">
        <f aca="false">1/2*Rho_moyen*PI()*D_var^2/4*Cx/10^6</f>
        <v>0.000209319655207093</v>
      </c>
      <c r="D42" s="464" t="n">
        <f aca="false">MpropuPlein+0.25*MasseSans</f>
        <v>0.5099</v>
      </c>
      <c r="E42" s="464" t="n">
        <f aca="false">m_var - 0.5*m_poudre</f>
        <v>0.4721</v>
      </c>
      <c r="F42" s="464" t="n">
        <f aca="false">m_var - m_poudre</f>
        <v>0.4343</v>
      </c>
      <c r="G42" s="465" t="n">
        <f aca="false">MAX(0, (I_total/Temps_fin_propu)/m_prop-g)</f>
        <v>141.047869095531</v>
      </c>
      <c r="H42" s="463" t="n">
        <f aca="false">Q_var/m_prop</f>
        <v>0.000443379909356265</v>
      </c>
      <c r="I42" s="463" t="n">
        <f aca="false">Q_var/m_bal</f>
        <v>0.000481970193891533</v>
      </c>
      <c r="J42" s="463" t="n">
        <f aca="false">1/(2*b_prop)*LN(  ((EXP(2*SQRT(a_prop*b_prop)*Temps_fin_propu)+1)^2)  /  (((1+1)^2)*EXP(2*SQRT(a_prop*b_prop)*Temps_fin_propu)))</f>
        <v>271.064067387808</v>
      </c>
      <c r="K42" s="466" t="n">
        <f aca="false">SQRT(a_prop/b_prop)  *  (EXP(2*SQRT(a_prop*b_prop)*Temps_fin_propu)-1)/(EXP(2*SQRT(a_prop*b_prop)*Temps_fin_propu)+1)</f>
        <v>260.710810541538</v>
      </c>
      <c r="L42" s="467" t="n">
        <f aca="false">alt_prop + 1/(2*b_bal) * LN(1+b_bal/g*V_prop^2)</f>
        <v>1793.70752649326</v>
      </c>
      <c r="M42" s="468" t="n">
        <f aca="false">Temps_fin_propu + ATAN(SQRT(b_bal/g)*V_prop)/SQRT(b_bal*g)</f>
        <v>17.5623206656784</v>
      </c>
    </row>
    <row r="43" customFormat="false" ht="12" hidden="false" customHeight="false" outlineLevel="0" collapsed="false">
      <c r="B43" s="462" t="n">
        <f aca="false">MAX(D_ref*0.5, Diam_propu)</f>
        <v>29.5</v>
      </c>
      <c r="C43" s="463" t="n">
        <f aca="false">1/2*Rho_moyen*PI()*D_var^2/4*Cx/10^6</f>
        <v>0.000209319655207093</v>
      </c>
      <c r="D43" s="464" t="n">
        <f aca="false">MpropuPlein+0.5*MasseSans</f>
        <v>0.8599</v>
      </c>
      <c r="E43" s="464" t="n">
        <f aca="false">m_var - 0.5*m_poudre</f>
        <v>0.8221</v>
      </c>
      <c r="F43" s="464" t="n">
        <f aca="false">m_var - m_poudre</f>
        <v>0.7843</v>
      </c>
      <c r="G43" s="465" t="n">
        <f aca="false">MAX(0, (I_total/Temps_fin_propu)/m_prop-g)</f>
        <v>76.8217966184163</v>
      </c>
      <c r="H43" s="463" t="n">
        <f aca="false">Q_var/m_prop</f>
        <v>0.000254615807331338</v>
      </c>
      <c r="I43" s="463" t="n">
        <f aca="false">Q_var/m_bal</f>
        <v>0.000266887230915584</v>
      </c>
      <c r="J43" s="463" t="n">
        <f aca="false">1/(2*b_prop)*LN(  ((EXP(2*SQRT(a_prop*b_prop)*Temps_fin_propu)+1)^2)  /  (((1+1)^2)*EXP(2*SQRT(a_prop*b_prop)*Temps_fin_propu)))</f>
        <v>151.680909456986</v>
      </c>
      <c r="K43" s="466" t="n">
        <f aca="false">SQRT(a_prop/b_prop)  *  (EXP(2*SQRT(a_prop*b_prop)*Temps_fin_propu)-1)/(EXP(2*SQRT(a_prop*b_prop)*Temps_fin_propu)+1)</f>
        <v>149.758114428227</v>
      </c>
      <c r="L43" s="467" t="n">
        <f aca="false">alt_prop + 1/(2*b_bal) * LN(1+b_bal/g*V_prop^2)</f>
        <v>1044.06131769783</v>
      </c>
      <c r="M43" s="468" t="n">
        <f aca="false">Temps_fin_propu + ATAN(SQRT(b_bal/g)*V_prop)/SQRT(b_bal*g)</f>
        <v>14.9597513206045</v>
      </c>
    </row>
    <row r="44" customFormat="false" ht="12" hidden="false" customHeight="false" outlineLevel="0" collapsed="false">
      <c r="B44" s="462" t="n">
        <f aca="false">MAX(D_ref*0.5, Diam_propu)</f>
        <v>29.5</v>
      </c>
      <c r="C44" s="463" t="n">
        <f aca="false">1/2*Rho_moyen*PI()*D_var^2/4*Cx/10^6</f>
        <v>0.000209319655207093</v>
      </c>
      <c r="D44" s="464" t="n">
        <f aca="false">MpropuPlein+0.75*MasseSans</f>
        <v>1.2099</v>
      </c>
      <c r="E44" s="464" t="n">
        <f aca="false">m_var - 0.5*m_poudre</f>
        <v>1.1721</v>
      </c>
      <c r="F44" s="464" t="n">
        <f aca="false">m_var - m_poudre</f>
        <v>1.1343</v>
      </c>
      <c r="G44" s="465" t="n">
        <f aca="false">MAX(0, (I_total/Temps_fin_propu)/m_prop-g)</f>
        <v>50.9527335551574</v>
      </c>
      <c r="H44" s="463" t="n">
        <f aca="false">Q_var/m_prop</f>
        <v>0.000178585150761106</v>
      </c>
      <c r="I44" s="463" t="n">
        <f aca="false">Q_var/m_bal</f>
        <v>0.000184536414711358</v>
      </c>
      <c r="J44" s="463" t="n">
        <f aca="false">1/(2*b_prop)*LN(  ((EXP(2*SQRT(a_prop*b_prop)*Temps_fin_propu)+1)^2)  /  (((1+1)^2)*EXP(2*SQRT(a_prop*b_prop)*Temps_fin_propu)))</f>
        <v>101.293215868167</v>
      </c>
      <c r="K44" s="466" t="n">
        <f aca="false">SQRT(a_prop/b_prop)  *  (EXP(2*SQRT(a_prop*b_prop)*Temps_fin_propu)-1)/(EXP(2*SQRT(a_prop*b_prop)*Temps_fin_propu)+1)</f>
        <v>100.686834470203</v>
      </c>
      <c r="L44" s="467" t="n">
        <f aca="false">alt_prop + 1/(2*b_bal) * LN(1+b_bal/g*V_prop^2)</f>
        <v>574.2194637716</v>
      </c>
      <c r="M44" s="468" t="n">
        <f aca="false">Temps_fin_propu + ATAN(SQRT(b_bal/g)*V_prop)/SQRT(b_bal*g)</f>
        <v>11.6770432746885</v>
      </c>
    </row>
    <row r="45" customFormat="false" ht="12" hidden="false" customHeight="false" outlineLevel="0" collapsed="false">
      <c r="B45" s="462" t="n">
        <f aca="false">MAX(D_ref*0.5, Diam_propu)</f>
        <v>29.5</v>
      </c>
      <c r="C45" s="463" t="n">
        <f aca="false">1/2*Rho_moyen*PI()*D_var^2/4*Cx/10^6</f>
        <v>0.000209319655207093</v>
      </c>
      <c r="D45" s="464" t="n">
        <f aca="false">MpropuPlein+1*MasseSans</f>
        <v>1.5599</v>
      </c>
      <c r="E45" s="464" t="n">
        <f aca="false">m_var - 0.5*m_poudre</f>
        <v>1.5221</v>
      </c>
      <c r="F45" s="464" t="n">
        <f aca="false">m_var - m_poudre</f>
        <v>1.4843</v>
      </c>
      <c r="G45" s="465" t="n">
        <f aca="false">MAX(0, (I_total/Temps_fin_propu)/m_prop-g)</f>
        <v>36.980618224821</v>
      </c>
      <c r="H45" s="463" t="n">
        <f aca="false">Q_var/m_prop</f>
        <v>0.000137520304321065</v>
      </c>
      <c r="I45" s="463" t="n">
        <f aca="false">Q_var/m_bal</f>
        <v>0.000141022472011785</v>
      </c>
      <c r="J45" s="463" t="n">
        <f aca="false">1/(2*b_prop)*LN(  ((EXP(2*SQRT(a_prop*b_prop)*Temps_fin_propu)+1)^2)  /  (((1+1)^2)*EXP(2*SQRT(a_prop*b_prop)*Temps_fin_propu)))</f>
        <v>73.7118308903585</v>
      </c>
      <c r="K45" s="466" t="n">
        <f aca="false">SQRT(a_prop/b_prop)  *  (EXP(2*SQRT(a_prop*b_prop)*Temps_fin_propu)-1)/(EXP(2*SQRT(a_prop*b_prop)*Temps_fin_propu)+1)</f>
        <v>73.463768960789</v>
      </c>
      <c r="L45" s="467" t="n">
        <f aca="false">alt_prop + 1/(2*b_bal) * LN(1+b_bal/g*V_prop^2)</f>
        <v>338.63567426724</v>
      </c>
      <c r="M45" s="468" t="n">
        <f aca="false">Temps_fin_propu + ATAN(SQRT(b_bal/g)*V_prop)/SQRT(b_bal*g)</f>
        <v>9.30354133535847</v>
      </c>
    </row>
    <row r="46" customFormat="false" ht="12" hidden="false" customHeight="false" outlineLevel="0" collapsed="false">
      <c r="B46" s="462" t="n">
        <f aca="false">MAX(D_ref*0.5, Diam_propu)</f>
        <v>29.5</v>
      </c>
      <c r="C46" s="463" t="n">
        <f aca="false">1/2*Rho_moyen*PI()*D_var^2/4*Cx/10^6</f>
        <v>0.000209319655207093</v>
      </c>
      <c r="D46" s="464" t="n">
        <f aca="false">MpropuPlein+1.25*MasseSans</f>
        <v>1.9099</v>
      </c>
      <c r="E46" s="464" t="n">
        <f aca="false">m_var - 0.5*m_poudre</f>
        <v>1.8721</v>
      </c>
      <c r="F46" s="464" t="n">
        <f aca="false">m_var - m_poudre</f>
        <v>1.8343</v>
      </c>
      <c r="G46" s="465" t="n">
        <f aca="false">MAX(0, (I_total/Temps_fin_propu)/m_prop-g)</f>
        <v>28.2328395919021</v>
      </c>
      <c r="H46" s="463" t="n">
        <f aca="false">Q_var/m_prop</f>
        <v>0.000111810082371184</v>
      </c>
      <c r="I46" s="463" t="n">
        <f aca="false">Q_var/m_bal</f>
        <v>0.000114114188086514</v>
      </c>
      <c r="J46" s="463" t="n">
        <f aca="false">1/(2*b_prop)*LN(  ((EXP(2*SQRT(a_prop*b_prop)*Temps_fin_propu)+1)^2)  /  (((1+1)^2)*EXP(2*SQRT(a_prop*b_prop)*Temps_fin_propu)))</f>
        <v>56.3472470324369</v>
      </c>
      <c r="K46" s="466" t="n">
        <f aca="false">SQRT(a_prop/b_prop)  *  (EXP(2*SQRT(a_prop*b_prop)*Temps_fin_propu)-1)/(EXP(2*SQRT(a_prop*b_prop)*Temps_fin_propu)+1)</f>
        <v>56.2292119549254</v>
      </c>
      <c r="L46" s="467" t="n">
        <f aca="false">alt_prop + 1/(2*b_bal) * LN(1+b_bal/g*V_prop^2)</f>
        <v>214.602590404104</v>
      </c>
      <c r="M46" s="468" t="n">
        <f aca="false">Temps_fin_propu + ATAN(SQRT(b_bal/g)*V_prop)/SQRT(b_bal*g)</f>
        <v>7.6630675075539</v>
      </c>
    </row>
    <row r="47" customFormat="false" ht="12" hidden="false" customHeight="false" outlineLevel="0" collapsed="false">
      <c r="B47" s="462" t="n">
        <f aca="false">MAX(D_ref*0.5, Diam_propu)</f>
        <v>29.5</v>
      </c>
      <c r="C47" s="463" t="n">
        <f aca="false">1/2*Rho_moyen*PI()*D_var^2/4*Cx/10^6</f>
        <v>0.000209319655207093</v>
      </c>
      <c r="D47" s="464" t="n">
        <f aca="false">MpropuPlein+1.5*MasseSans</f>
        <v>2.2599</v>
      </c>
      <c r="E47" s="464" t="n">
        <f aca="false">m_var - 0.5*m_poudre</f>
        <v>2.2221</v>
      </c>
      <c r="F47" s="464" t="n">
        <f aca="false">m_var - m_poudre</f>
        <v>2.1843</v>
      </c>
      <c r="G47" s="465" t="n">
        <f aca="false">MAX(0, (I_total/Temps_fin_propu)/m_prop-g)</f>
        <v>22.2407627919536</v>
      </c>
      <c r="H47" s="463" t="n">
        <f aca="false">Q_var/m_prop</f>
        <v>9.41990257896102E-005</v>
      </c>
      <c r="I47" s="463" t="n">
        <f aca="false">Q_var/m_bal</f>
        <v>9.58291696228049E-005</v>
      </c>
      <c r="J47" s="463" t="n">
        <f aca="false">1/(2*b_prop)*LN(  ((EXP(2*SQRT(a_prop*b_prop)*Temps_fin_propu)+1)^2)  /  (((1+1)^2)*EXP(2*SQRT(a_prop*b_prop)*Temps_fin_propu)))</f>
        <v>44.4195364803795</v>
      </c>
      <c r="K47" s="466" t="n">
        <f aca="false">SQRT(a_prop/b_prop)  *  (EXP(2*SQRT(a_prop*b_prop)*Temps_fin_propu)-1)/(EXP(2*SQRT(a_prop*b_prop)*Temps_fin_propu)+1)</f>
        <v>44.3576855116242</v>
      </c>
      <c r="L47" s="467" t="n">
        <f aca="false">alt_prop + 1/(2*b_bal) * LN(1+b_bal/g*V_prop^2)</f>
        <v>143.75357699472</v>
      </c>
      <c r="M47" s="468" t="n">
        <f aca="false">Temps_fin_propu + ATAN(SQRT(b_bal/g)*V_prop)/SQRT(b_bal*g)</f>
        <v>6.49304027785314</v>
      </c>
    </row>
    <row r="48" customFormat="false" ht="12" hidden="false" customHeight="false" outlineLevel="0" collapsed="false">
      <c r="B48" s="462" t="n">
        <f aca="false">MAX(D_ref*0.5, Diam_propu)</f>
        <v>29.5</v>
      </c>
      <c r="C48" s="463" t="n">
        <f aca="false">1/2*Rho_moyen*PI()*D_var^2/4*Cx/10^6</f>
        <v>0.000209319655207093</v>
      </c>
      <c r="D48" s="464" t="n">
        <f aca="false">MpropuPlein+1.75*MasseSans</f>
        <v>2.6099</v>
      </c>
      <c r="E48" s="464" t="n">
        <f aca="false">m_var - 0.5*m_poudre</f>
        <v>2.5721</v>
      </c>
      <c r="F48" s="464" t="n">
        <f aca="false">m_var - m_poudre</f>
        <v>2.5343</v>
      </c>
      <c r="G48" s="465" t="n">
        <f aca="false">MAX(0, (I_total/Temps_fin_propu)/m_prop-g)</f>
        <v>17.8794366470977</v>
      </c>
      <c r="H48" s="463" t="n">
        <f aca="false">Q_var/m_prop</f>
        <v>8.13808386948769E-005</v>
      </c>
      <c r="I48" s="463" t="n">
        <f aca="false">Q_var/m_bal</f>
        <v>8.25946633023292E-005</v>
      </c>
      <c r="J48" s="463" t="n">
        <f aca="false">1/(2*b_prop)*LN(  ((EXP(2*SQRT(a_prop*b_prop)*Temps_fin_propu)+1)^2)  /  (((1+1)^2)*EXP(2*SQRT(a_prop*b_prop)*Temps_fin_propu)))</f>
        <v>35.7242398900279</v>
      </c>
      <c r="K48" s="466" t="n">
        <f aca="false">SQRT(a_prop/b_prop)  *  (EXP(2*SQRT(a_prop*b_prop)*Temps_fin_propu)-1)/(EXP(2*SQRT(a_prop*b_prop)*Temps_fin_propu)+1)</f>
        <v>35.689660132218</v>
      </c>
      <c r="L48" s="467" t="n">
        <f aca="false">alt_prop + 1/(2*b_bal) * LN(1+b_bal/g*V_prop^2)</f>
        <v>100.299685964936</v>
      </c>
      <c r="M48" s="468" t="n">
        <f aca="false">Temps_fin_propu + ATAN(SQRT(b_bal/g)*V_prop)/SQRT(b_bal*g)</f>
        <v>5.62516747805983</v>
      </c>
    </row>
    <row r="49" customFormat="false" ht="12" hidden="false" customHeight="false" outlineLevel="0" collapsed="false">
      <c r="B49" s="469" t="n">
        <f aca="false">MAX(D_ref*0.5, Diam_propu)</f>
        <v>29.5</v>
      </c>
      <c r="C49" s="470" t="n">
        <f aca="false">1/2*Rho_moyen*PI()*D_var^2/4*Cx/10^6</f>
        <v>0.000209319655207093</v>
      </c>
      <c r="D49" s="471" t="n">
        <f aca="false">MpropuPlein+2*MasseSans</f>
        <v>2.9599</v>
      </c>
      <c r="E49" s="471" t="n">
        <f aca="false">m_var - 0.5*m_poudre</f>
        <v>2.9221</v>
      </c>
      <c r="F49" s="471" t="n">
        <f aca="false">m_var - m_poudre</f>
        <v>2.8843</v>
      </c>
      <c r="G49" s="472" t="n">
        <f aca="false">MAX(0, (I_total/Temps_fin_propu)/m_prop-g)</f>
        <v>14.5628825159988</v>
      </c>
      <c r="H49" s="470" t="n">
        <f aca="false">Q_var/m_prop</f>
        <v>7.16332963304106E-005</v>
      </c>
      <c r="I49" s="470" t="n">
        <f aca="false">Q_var/m_bal</f>
        <v>7.25720816860565E-005</v>
      </c>
      <c r="J49" s="470" t="n">
        <f aca="false">1/(2*b_prop)*LN(  ((EXP(2*SQRT(a_prop*b_prop)*Temps_fin_propu)+1)^2)  /  (((1+1)^2)*EXP(2*SQRT(a_prop*b_prop)*Temps_fin_propu)))</f>
        <v>29.1055317910224</v>
      </c>
      <c r="K49" s="473" t="n">
        <f aca="false">SQRT(a_prop/b_prop)  *  (EXP(2*SQRT(a_prop*b_prop)*Temps_fin_propu)-1)/(EXP(2*SQRT(a_prop*b_prop)*Temps_fin_propu)+1)</f>
        <v>29.0853210323039</v>
      </c>
      <c r="L49" s="474" t="n">
        <f aca="false">alt_prop + 1/(2*b_bal) * LN(1+b_bal/g*V_prop^2)</f>
        <v>72.088193271208</v>
      </c>
      <c r="M49" s="475" t="n">
        <f aca="false">Temps_fin_propu + ATAN(SQRT(b_bal/g)*V_prop)/SQRT(b_bal*g)</f>
        <v>4.95870276086787</v>
      </c>
    </row>
    <row r="50" customFormat="false" ht="12" hidden="false" customHeight="false" outlineLevel="0" collapsed="false">
      <c r="B50" s="454" t="n">
        <f aca="false">D_ref</f>
        <v>59</v>
      </c>
      <c r="C50" s="455" t="n">
        <f aca="false">1/2*Rho_moyen*PI()*D_var^2/4*Cx/10^6</f>
        <v>0.000837278620828371</v>
      </c>
      <c r="D50" s="456" t="n">
        <f aca="false">MpropuPlein+0*MasseSans</f>
        <v>0.1599</v>
      </c>
      <c r="E50" s="456" t="n">
        <f aca="false">m_var - 0.5*m_poudre</f>
        <v>0.1221</v>
      </c>
      <c r="F50" s="456" t="n">
        <f aca="false">m_var - m_poudre</f>
        <v>0.0843</v>
      </c>
      <c r="G50" s="457" t="n">
        <f aca="false">MAX(0, (I_total/Temps_fin_propu)/m_prop-g)</f>
        <v>573.482383292383</v>
      </c>
      <c r="H50" s="455" t="n">
        <f aca="false">Q_var/m_prop</f>
        <v>0.00685731876190312</v>
      </c>
      <c r="I50" s="455" t="n">
        <f aca="false">Q_var/m_bal</f>
        <v>0.00993213073343264</v>
      </c>
      <c r="J50" s="455" t="n">
        <f aca="false">1/(2*b_prop)*LN(  ((EXP(2*SQRT(a_prop*b_prop)*Temps_fin_propu)+1)^2)  /  (((1+1)^2)*EXP(2*SQRT(a_prop*b_prop)*Temps_fin_propu)))</f>
        <v>477.350436443478</v>
      </c>
      <c r="K50" s="459" t="n">
        <f aca="false">SQRT(a_prop/b_prop)  *  (EXP(2*SQRT(a_prop*b_prop)*Temps_fin_propu)-1)/(EXP(2*SQRT(a_prop*b_prop)*Temps_fin_propu)+1)</f>
        <v>288.982186094172</v>
      </c>
      <c r="L50" s="460" t="n">
        <f aca="false">alt_prop + 1/(2*b_bal) * LN(1+b_bal/g*V_prop^2)</f>
        <v>701.32581305236</v>
      </c>
      <c r="M50" s="461" t="n">
        <f aca="false">Temps_fin_propu + ATAN(SQRT(b_bal/g)*V_prop)/SQRT(b_bal*g)</f>
        <v>6.68522980667309</v>
      </c>
    </row>
    <row r="51" customFormat="false" ht="12" hidden="false" customHeight="false" outlineLevel="0" collapsed="false">
      <c r="B51" s="462" t="n">
        <f aca="false">D_ref</f>
        <v>59</v>
      </c>
      <c r="C51" s="463" t="n">
        <f aca="false">1/2*Rho_moyen*PI()*D_var^2/4*Cx/10^6</f>
        <v>0.000837278620828371</v>
      </c>
      <c r="D51" s="464" t="n">
        <f aca="false">MpropuPlein+0.25*MasseSans</f>
        <v>0.5099</v>
      </c>
      <c r="E51" s="464" t="n">
        <f aca="false">m_var - 0.5*m_poudre</f>
        <v>0.4721</v>
      </c>
      <c r="F51" s="464" t="n">
        <f aca="false">m_var - m_poudre</f>
        <v>0.4343</v>
      </c>
      <c r="G51" s="465" t="n">
        <f aca="false">MAX(0, (I_total/Temps_fin_propu)/m_prop-g)</f>
        <v>141.047869095531</v>
      </c>
      <c r="H51" s="463" t="n">
        <f aca="false">Q_var/m_prop</f>
        <v>0.00177351963742506</v>
      </c>
      <c r="I51" s="463" t="n">
        <f aca="false">Q_var/m_bal</f>
        <v>0.00192788077556613</v>
      </c>
      <c r="J51" s="463" t="n">
        <f aca="false">1/(2*b_prop)*LN(  ((EXP(2*SQRT(a_prop*b_prop)*Temps_fin_propu)+1)^2)  /  (((1+1)^2)*EXP(2*SQRT(a_prop*b_prop)*Temps_fin_propu)))</f>
        <v>244.717374128113</v>
      </c>
      <c r="K51" s="466" t="n">
        <f aca="false">SQRT(a_prop/b_prop)  *  (EXP(2*SQRT(a_prop*b_prop)*Temps_fin_propu)-1)/(EXP(2*SQRT(a_prop*b_prop)*Temps_fin_propu)+1)</f>
        <v>214.813335075263</v>
      </c>
      <c r="L51" s="467" t="n">
        <f aca="false">alt_prop + 1/(2*b_bal) * LN(1+b_bal/g*V_prop^2)</f>
        <v>843.667267812802</v>
      </c>
      <c r="M51" s="468" t="n">
        <f aca="false">Temps_fin_propu + ATAN(SQRT(b_bal/g)*V_prop)/SQRT(b_bal*g)</f>
        <v>11.0907187829891</v>
      </c>
    </row>
    <row r="52" customFormat="false" ht="12" hidden="false" customHeight="false" outlineLevel="0" collapsed="false">
      <c r="B52" s="462" t="n">
        <f aca="false">D_ref</f>
        <v>59</v>
      </c>
      <c r="C52" s="463" t="n">
        <f aca="false">1/2*Rho_moyen*PI()*D_var^2/4*Cx/10^6</f>
        <v>0.000837278620828371</v>
      </c>
      <c r="D52" s="464" t="n">
        <f aca="false">MpropuPlein+0.5*MasseSans</f>
        <v>0.8599</v>
      </c>
      <c r="E52" s="464" t="n">
        <f aca="false">m_var - 0.5*m_poudre</f>
        <v>0.8221</v>
      </c>
      <c r="F52" s="464" t="n">
        <f aca="false">m_var - m_poudre</f>
        <v>0.7843</v>
      </c>
      <c r="G52" s="465" t="n">
        <f aca="false">MAX(0, (I_total/Temps_fin_propu)/m_prop-g)</f>
        <v>76.8217966184163</v>
      </c>
      <c r="H52" s="463" t="n">
        <f aca="false">Q_var/m_prop</f>
        <v>0.00101846322932535</v>
      </c>
      <c r="I52" s="463" t="n">
        <f aca="false">Q_var/m_bal</f>
        <v>0.00106754892366234</v>
      </c>
      <c r="J52" s="463" t="n">
        <f aca="false">1/(2*b_prop)*LN(  ((EXP(2*SQRT(a_prop*b_prop)*Temps_fin_propu)+1)^2)  /  (((1+1)^2)*EXP(2*SQRT(a_prop*b_prop)*Temps_fin_propu)))</f>
        <v>146.240638876322</v>
      </c>
      <c r="K52" s="466" t="n">
        <f aca="false">SQRT(a_prop/b_prop)  *  (EXP(2*SQRT(a_prop*b_prop)*Temps_fin_propu)-1)/(EXP(2*SQRT(a_prop*b_prop)*Temps_fin_propu)+1)</f>
        <v>139.396365165599</v>
      </c>
      <c r="L52" s="467" t="n">
        <f aca="false">alt_prop + 1/(2*b_bal) * LN(1+b_bal/g*V_prop^2)</f>
        <v>678.342947893959</v>
      </c>
      <c r="M52" s="468" t="n">
        <f aca="false">Temps_fin_propu + ATAN(SQRT(b_bal/g)*V_prop)/SQRT(b_bal*g)</f>
        <v>11.462788057173</v>
      </c>
    </row>
    <row r="53" customFormat="false" ht="12" hidden="false" customHeight="false" outlineLevel="0" collapsed="false">
      <c r="B53" s="462" t="n">
        <f aca="false">D_ref</f>
        <v>59</v>
      </c>
      <c r="C53" s="463" t="n">
        <f aca="false">1/2*Rho_moyen*PI()*D_var^2/4*Cx/10^6</f>
        <v>0.000837278620828371</v>
      </c>
      <c r="D53" s="464" t="n">
        <f aca="false">MpropuPlein+0.75*MasseSans</f>
        <v>1.2099</v>
      </c>
      <c r="E53" s="464" t="n">
        <f aca="false">m_var - 0.5*m_poudre</f>
        <v>1.1721</v>
      </c>
      <c r="F53" s="464" t="n">
        <f aca="false">m_var - m_poudre</f>
        <v>1.1343</v>
      </c>
      <c r="G53" s="465" t="n">
        <f aca="false">MAX(0, (I_total/Temps_fin_propu)/m_prop-g)</f>
        <v>50.9527335551574</v>
      </c>
      <c r="H53" s="463" t="n">
        <f aca="false">Q_var/m_prop</f>
        <v>0.000714340603044426</v>
      </c>
      <c r="I53" s="463" t="n">
        <f aca="false">Q_var/m_bal</f>
        <v>0.00073814565884543</v>
      </c>
      <c r="J53" s="463" t="n">
        <f aca="false">1/(2*b_prop)*LN(  ((EXP(2*SQRT(a_prop*b_prop)*Temps_fin_propu)+1)^2)  /  (((1+1)^2)*EXP(2*SQRT(a_prop*b_prop)*Temps_fin_propu)))</f>
        <v>99.5246736670202</v>
      </c>
      <c r="K53" s="466" t="n">
        <f aca="false">SQRT(a_prop/b_prop)  *  (EXP(2*SQRT(a_prop*b_prop)*Temps_fin_propu)-1)/(EXP(2*SQRT(a_prop*b_prop)*Temps_fin_propu)+1)</f>
        <v>97.2319600100253</v>
      </c>
      <c r="L53" s="467" t="n">
        <f aca="false">alt_prop + 1/(2*b_bal) * LN(1+b_bal/g*V_prop^2)</f>
        <v>463.470460600301</v>
      </c>
      <c r="M53" s="468" t="n">
        <f aca="false">Temps_fin_propu + ATAN(SQRT(b_bal/g)*V_prop)/SQRT(b_bal*g)</f>
        <v>10.2338691892923</v>
      </c>
    </row>
    <row r="54" customFormat="false" ht="12" hidden="false" customHeight="false" outlineLevel="0" collapsed="false">
      <c r="B54" s="462" t="n">
        <f aca="false">D_ref</f>
        <v>59</v>
      </c>
      <c r="C54" s="463" t="n">
        <f aca="false">1/2*Rho_moyen*PI()*D_var^2/4*Cx/10^6</f>
        <v>0.000837278620828371</v>
      </c>
      <c r="D54" s="464" t="n">
        <f aca="false">MpropuPlein+1*MasseSans</f>
        <v>1.5599</v>
      </c>
      <c r="E54" s="464" t="n">
        <f aca="false">m_var - 0.5*m_poudre</f>
        <v>1.5221</v>
      </c>
      <c r="F54" s="464" t="n">
        <f aca="false">m_var - m_poudre</f>
        <v>1.4843</v>
      </c>
      <c r="G54" s="465" t="n">
        <f aca="false">MAX(0, (I_total/Temps_fin_propu)/m_prop-g)</f>
        <v>36.980618224821</v>
      </c>
      <c r="H54" s="463" t="n">
        <f aca="false">Q_var/m_prop</f>
        <v>0.000550081217284259</v>
      </c>
      <c r="I54" s="463" t="n">
        <f aca="false">Q_var/m_bal</f>
        <v>0.000564089888047141</v>
      </c>
      <c r="J54" s="463" t="n">
        <f aca="false">1/(2*b_prop)*LN(  ((EXP(2*SQRT(a_prop*b_prop)*Temps_fin_propu)+1)^2)  /  (((1+1)^2)*EXP(2*SQRT(a_prop*b_prop)*Temps_fin_propu)))</f>
        <v>72.9794469708449</v>
      </c>
      <c r="K54" s="466" t="n">
        <f aca="false">SQRT(a_prop/b_prop)  *  (EXP(2*SQRT(a_prop*b_prop)*Temps_fin_propu)-1)/(EXP(2*SQRT(a_prop*b_prop)*Temps_fin_propu)+1)</f>
        <v>72.0183875594115</v>
      </c>
      <c r="L54" s="467" t="n">
        <f aca="false">alt_prop + 1/(2*b_bal) * LN(1+b_bal/g*V_prop^2)</f>
        <v>304.334071761575</v>
      </c>
      <c r="M54" s="468" t="n">
        <f aca="false">Temps_fin_propu + ATAN(SQRT(b_bal/g)*V_prop)/SQRT(b_bal*g)</f>
        <v>8.71946977073452</v>
      </c>
    </row>
    <row r="55" customFormat="false" ht="12" hidden="false" customHeight="false" outlineLevel="0" collapsed="false">
      <c r="B55" s="462" t="n">
        <f aca="false">D_ref</f>
        <v>59</v>
      </c>
      <c r="C55" s="463" t="n">
        <f aca="false">1/2*Rho_moyen*PI()*D_var^2/4*Cx/10^6</f>
        <v>0.000837278620828371</v>
      </c>
      <c r="D55" s="464" t="n">
        <f aca="false">MpropuPlein+1.25*MasseSans</f>
        <v>1.9099</v>
      </c>
      <c r="E55" s="464" t="n">
        <f aca="false">m_var - 0.5*m_poudre</f>
        <v>1.8721</v>
      </c>
      <c r="F55" s="464" t="n">
        <f aca="false">m_var - m_poudre</f>
        <v>1.8343</v>
      </c>
      <c r="G55" s="465" t="n">
        <f aca="false">MAX(0, (I_total/Temps_fin_propu)/m_prop-g)</f>
        <v>28.2328395919021</v>
      </c>
      <c r="H55" s="463" t="n">
        <f aca="false">Q_var/m_prop</f>
        <v>0.000447240329484734</v>
      </c>
      <c r="I55" s="463" t="n">
        <f aca="false">Q_var/m_bal</f>
        <v>0.000456456752346056</v>
      </c>
      <c r="J55" s="463" t="n">
        <f aca="false">1/(2*b_prop)*LN(  ((EXP(2*SQRT(a_prop*b_prop)*Temps_fin_propu)+1)^2)  /  (((1+1)^2)*EXP(2*SQRT(a_prop*b_prop)*Temps_fin_propu)))</f>
        <v>55.9966615808182</v>
      </c>
      <c r="K55" s="466" t="n">
        <f aca="false">SQRT(a_prop/b_prop)  *  (EXP(2*SQRT(a_prop*b_prop)*Temps_fin_propu)-1)/(EXP(2*SQRT(a_prop*b_prop)*Temps_fin_propu)+1)</f>
        <v>55.533854336004</v>
      </c>
      <c r="L55" s="467" t="n">
        <f aca="false">alt_prop + 1/(2*b_bal) * LN(1+b_bal/g*V_prop^2)</f>
        <v>202.880352542977</v>
      </c>
      <c r="M55" s="468" t="n">
        <f aca="false">Temps_fin_propu + ATAN(SQRT(b_bal/g)*V_prop)/SQRT(b_bal*g)</f>
        <v>7.41132793968108</v>
      </c>
    </row>
    <row r="56" customFormat="false" ht="12" hidden="false" customHeight="false" outlineLevel="0" collapsed="false">
      <c r="B56" s="462" t="n">
        <f aca="false">D_ref</f>
        <v>59</v>
      </c>
      <c r="C56" s="463" t="n">
        <f aca="false">1/2*Rho_moyen*PI()*D_var^2/4*Cx/10^6</f>
        <v>0.000837278620828371</v>
      </c>
      <c r="D56" s="464" t="n">
        <f aca="false">MpropuPlein+1.5*MasseSans</f>
        <v>2.2599</v>
      </c>
      <c r="E56" s="464" t="n">
        <f aca="false">m_var - 0.5*m_poudre</f>
        <v>2.2221</v>
      </c>
      <c r="F56" s="464" t="n">
        <f aca="false">m_var - m_poudre</f>
        <v>2.1843</v>
      </c>
      <c r="G56" s="465" t="n">
        <f aca="false">MAX(0, (I_total/Temps_fin_propu)/m_prop-g)</f>
        <v>22.2407627919536</v>
      </c>
      <c r="H56" s="463" t="n">
        <f aca="false">Q_var/m_prop</f>
        <v>0.000376796103158441</v>
      </c>
      <c r="I56" s="463" t="n">
        <f aca="false">Q_var/m_bal</f>
        <v>0.00038331667849122</v>
      </c>
      <c r="J56" s="463" t="n">
        <f aca="false">1/(2*b_prop)*LN(  ((EXP(2*SQRT(a_prop*b_prop)*Temps_fin_propu)+1)^2)  /  (((1+1)^2)*EXP(2*SQRT(a_prop*b_prop)*Temps_fin_propu)))</f>
        <v>44.2352142763179</v>
      </c>
      <c r="K56" s="466" t="n">
        <f aca="false">SQRT(a_prop/b_prop)  *  (EXP(2*SQRT(a_prop*b_prop)*Temps_fin_propu)-1)/(EXP(2*SQRT(a_prop*b_prop)*Temps_fin_propu)+1)</f>
        <v>43.9910798974784</v>
      </c>
      <c r="L56" s="467" t="n">
        <f aca="false">alt_prop + 1/(2*b_bal) * LN(1+b_bal/g*V_prop^2)</f>
        <v>139.318749164709</v>
      </c>
      <c r="M56" s="468" t="n">
        <f aca="false">Temps_fin_propu + ATAN(SQRT(b_bal/g)*V_prop)/SQRT(b_bal*g)</f>
        <v>6.37614676506006</v>
      </c>
    </row>
    <row r="57" customFormat="false" ht="12" hidden="false" customHeight="false" outlineLevel="0" collapsed="false">
      <c r="B57" s="462" t="n">
        <f aca="false">D_ref</f>
        <v>59</v>
      </c>
      <c r="C57" s="463" t="n">
        <f aca="false">1/2*Rho_moyen*PI()*D_var^2/4*Cx/10^6</f>
        <v>0.000837278620828371</v>
      </c>
      <c r="D57" s="464" t="n">
        <f aca="false">MpropuPlein+1.75*MasseSans</f>
        <v>2.6099</v>
      </c>
      <c r="E57" s="464" t="n">
        <f aca="false">m_var - 0.5*m_poudre</f>
        <v>2.5721</v>
      </c>
      <c r="F57" s="464" t="n">
        <f aca="false">m_var - m_poudre</f>
        <v>2.5343</v>
      </c>
      <c r="G57" s="465" t="n">
        <f aca="false">MAX(0, (I_total/Temps_fin_propu)/m_prop-g)</f>
        <v>17.8794366470977</v>
      </c>
      <c r="H57" s="463" t="n">
        <f aca="false">Q_var/m_prop</f>
        <v>0.000325523354779507</v>
      </c>
      <c r="I57" s="463" t="n">
        <f aca="false">Q_var/m_bal</f>
        <v>0.000330378653209317</v>
      </c>
      <c r="J57" s="463" t="n">
        <f aca="false">1/(2*b_prop)*LN(  ((EXP(2*SQRT(a_prop*b_prop)*Temps_fin_propu)+1)^2)  /  (((1+1)^2)*EXP(2*SQRT(a_prop*b_prop)*Temps_fin_propu)))</f>
        <v>35.6209800479459</v>
      </c>
      <c r="K57" s="466" t="n">
        <f aca="false">SQRT(a_prop/b_prop)  *  (EXP(2*SQRT(a_prop*b_prop)*Temps_fin_propu)-1)/(EXP(2*SQRT(a_prop*b_prop)*Temps_fin_propu)+1)</f>
        <v>35.4839361397595</v>
      </c>
      <c r="L57" s="467" t="n">
        <f aca="false">alt_prop + 1/(2*b_bal) * LN(1+b_bal/g*V_prop^2)</f>
        <v>98.4724351692558</v>
      </c>
      <c r="M57" s="468" t="n">
        <f aca="false">Temps_fin_propu + ATAN(SQRT(b_bal/g)*V_prop)/SQRT(b_bal*g)</f>
        <v>5.56725477861204</v>
      </c>
    </row>
    <row r="58" customFormat="false" ht="12" hidden="false" customHeight="false" outlineLevel="0" collapsed="false">
      <c r="B58" s="469" t="n">
        <f aca="false">D_ref</f>
        <v>59</v>
      </c>
      <c r="C58" s="470" t="n">
        <f aca="false">1/2*Rho_moyen*PI()*D_var^2/4*Cx/10^6</f>
        <v>0.000837278620828371</v>
      </c>
      <c r="D58" s="471" t="n">
        <f aca="false">MpropuPlein+2*MasseSans</f>
        <v>2.9599</v>
      </c>
      <c r="E58" s="471" t="n">
        <f aca="false">m_var - 0.5*m_poudre</f>
        <v>2.9221</v>
      </c>
      <c r="F58" s="471" t="n">
        <f aca="false">m_var - m_poudre</f>
        <v>2.8843</v>
      </c>
      <c r="G58" s="472" t="n">
        <f aca="false">MAX(0, (I_total/Temps_fin_propu)/m_prop-g)</f>
        <v>14.5628825159988</v>
      </c>
      <c r="H58" s="470" t="n">
        <f aca="false">Q_var/m_prop</f>
        <v>0.000286533185321642</v>
      </c>
      <c r="I58" s="470" t="n">
        <f aca="false">Q_var/m_bal</f>
        <v>0.000290288326744226</v>
      </c>
      <c r="J58" s="470" t="n">
        <f aca="false">1/(2*b_prop)*LN(  ((EXP(2*SQRT(a_prop*b_prop)*Temps_fin_propu)+1)^2)  /  (((1+1)^2)*EXP(2*SQRT(a_prop*b_prop)*Temps_fin_propu)))</f>
        <v>29.0451008356499</v>
      </c>
      <c r="K58" s="473" t="n">
        <f aca="false">SQRT(a_prop/b_prop)  *  (EXP(2*SQRT(a_prop*b_prop)*Temps_fin_propu)-1)/(EXP(2*SQRT(a_prop*b_prop)*Temps_fin_propu)+1)</f>
        <v>28.9647936421288</v>
      </c>
      <c r="L58" s="474" t="n">
        <f aca="false">alt_prop + 1/(2*b_bal) * LN(1+b_bal/g*V_prop^2)</f>
        <v>71.2833579399776</v>
      </c>
      <c r="M58" s="475" t="n">
        <f aca="false">Temps_fin_propu + ATAN(SQRT(b_bal/g)*V_prop)/SQRT(b_bal*g)</f>
        <v>4.92850269377165</v>
      </c>
    </row>
    <row r="59" customFormat="false" ht="12" hidden="false" customHeight="false" outlineLevel="0" collapsed="false">
      <c r="B59" s="454" t="n">
        <f aca="false">D_ref*1.5</f>
        <v>88.5</v>
      </c>
      <c r="C59" s="455" t="n">
        <f aca="false">1/2*Rho_moyen*PI()*D_var^2/4*Cx/10^6</f>
        <v>0.00188387689686384</v>
      </c>
      <c r="D59" s="456" t="n">
        <f aca="false">MpropuPlein+0*MasseSans</f>
        <v>0.1599</v>
      </c>
      <c r="E59" s="456" t="n">
        <f aca="false">m_var - 0.5*m_poudre</f>
        <v>0.1221</v>
      </c>
      <c r="F59" s="456" t="n">
        <f aca="false">m_var - m_poudre</f>
        <v>0.0843</v>
      </c>
      <c r="G59" s="457" t="n">
        <f aca="false">MAX(0, (I_total/Temps_fin_propu)/m_prop-g)</f>
        <v>573.482383292383</v>
      </c>
      <c r="H59" s="455" t="n">
        <f aca="false">Q_var/m_prop</f>
        <v>0.015428967214282</v>
      </c>
      <c r="I59" s="455" t="n">
        <f aca="false">Q_var/m_bal</f>
        <v>0.0223472941502234</v>
      </c>
      <c r="J59" s="455" t="n">
        <f aca="false">1/(2*b_prop)*LN(  ((EXP(2*SQRT(a_prop*b_prop)*Temps_fin_propu)+1)^2)  /  (((1+1)^2)*EXP(2*SQRT(a_prop*b_prop)*Temps_fin_propu)))</f>
        <v>340.661699007967</v>
      </c>
      <c r="K59" s="459" t="n">
        <f aca="false">SQRT(a_prop/b_prop)  *  (EXP(2*SQRT(a_prop*b_prop)*Temps_fin_propu)-1)/(EXP(2*SQRT(a_prop*b_prop)*Temps_fin_propu)+1)</f>
        <v>192.790533476008</v>
      </c>
      <c r="L59" s="460" t="n">
        <f aca="false">alt_prop + 1/(2*b_bal) * LN(1+b_bal/g*V_prop^2)</f>
        <v>440.23746069517</v>
      </c>
      <c r="M59" s="461" t="n">
        <f aca="false">Temps_fin_propu + ATAN(SQRT(b_bal/g)*V_prop)/SQRT(b_bal*g)</f>
        <v>5.1236481682994</v>
      </c>
    </row>
    <row r="60" customFormat="false" ht="12" hidden="false" customHeight="false" outlineLevel="0" collapsed="false">
      <c r="B60" s="462" t="n">
        <f aca="false">D_ref*1.5</f>
        <v>88.5</v>
      </c>
      <c r="C60" s="463" t="n">
        <f aca="false">1/2*Rho_moyen*PI()*D_var^2/4*Cx/10^6</f>
        <v>0.00188387689686384</v>
      </c>
      <c r="D60" s="464" t="n">
        <f aca="false">MpropuPlein+0.25*MasseSans</f>
        <v>0.5099</v>
      </c>
      <c r="E60" s="464" t="n">
        <f aca="false">m_var - 0.5*m_poudre</f>
        <v>0.4721</v>
      </c>
      <c r="F60" s="464" t="n">
        <f aca="false">m_var - m_poudre</f>
        <v>0.4343</v>
      </c>
      <c r="G60" s="465" t="n">
        <f aca="false">MAX(0, (I_total/Temps_fin_propu)/m_prop-g)</f>
        <v>141.047869095531</v>
      </c>
      <c r="H60" s="463" t="n">
        <f aca="false">Q_var/m_prop</f>
        <v>0.00399041918420639</v>
      </c>
      <c r="I60" s="463" t="n">
        <f aca="false">Q_var/m_bal</f>
        <v>0.0043377317450238</v>
      </c>
      <c r="J60" s="463" t="n">
        <f aca="false">1/(2*b_prop)*LN(  ((EXP(2*SQRT(a_prop*b_prop)*Temps_fin_propu)+1)^2)  /  (((1+1)^2)*EXP(2*SQRT(a_prop*b_prop)*Temps_fin_propu)))</f>
        <v>214.47636702785</v>
      </c>
      <c r="K60" s="466" t="n">
        <f aca="false">SQRT(a_prop/b_prop)  *  (EXP(2*SQRT(a_prop*b_prop)*Temps_fin_propu)-1)/(EXP(2*SQRT(a_prop*b_prop)*Temps_fin_propu)+1)</f>
        <v>170.189600481807</v>
      </c>
      <c r="L60" s="467" t="n">
        <f aca="false">alt_prop + 1/(2*b_bal) * LN(1+b_bal/g*V_prop^2)</f>
        <v>517.077145410768</v>
      </c>
      <c r="M60" s="468" t="n">
        <f aca="false">Temps_fin_propu + ATAN(SQRT(b_bal/g)*V_prop)/SQRT(b_bal*g)</f>
        <v>8.29383314531066</v>
      </c>
    </row>
    <row r="61" customFormat="false" ht="12" hidden="false" customHeight="false" outlineLevel="0" collapsed="false">
      <c r="B61" s="462" t="n">
        <f aca="false">D_ref*1.5</f>
        <v>88.5</v>
      </c>
      <c r="C61" s="463" t="n">
        <f aca="false">1/2*Rho_moyen*PI()*D_var^2/4*Cx/10^6</f>
        <v>0.00188387689686384</v>
      </c>
      <c r="D61" s="464" t="n">
        <f aca="false">MpropuPlein+0.5*MasseSans</f>
        <v>0.8599</v>
      </c>
      <c r="E61" s="464" t="n">
        <f aca="false">m_var - 0.5*m_poudre</f>
        <v>0.8221</v>
      </c>
      <c r="F61" s="464" t="n">
        <f aca="false">m_var - m_poudre</f>
        <v>0.7843</v>
      </c>
      <c r="G61" s="465" t="n">
        <f aca="false">MAX(0, (I_total/Temps_fin_propu)/m_prop-g)</f>
        <v>76.8217966184163</v>
      </c>
      <c r="H61" s="463" t="n">
        <f aca="false">Q_var/m_prop</f>
        <v>0.00229154226598204</v>
      </c>
      <c r="I61" s="463" t="n">
        <f aca="false">Q_var/m_bal</f>
        <v>0.00240198507824026</v>
      </c>
      <c r="J61" s="463" t="n">
        <f aca="false">1/(2*b_prop)*LN(  ((EXP(2*SQRT(a_prop*b_prop)*Temps_fin_propu)+1)^2)  /  (((1+1)^2)*EXP(2*SQRT(a_prop*b_prop)*Temps_fin_propu)))</f>
        <v>138.407701320501</v>
      </c>
      <c r="K61" s="466" t="n">
        <f aca="false">SQRT(a_prop/b_prop)  *  (EXP(2*SQRT(a_prop*b_prop)*Temps_fin_propu)-1)/(EXP(2*SQRT(a_prop*b_prop)*Temps_fin_propu)+1)</f>
        <v>125.48560777501</v>
      </c>
      <c r="L61" s="467" t="n">
        <f aca="false">alt_prop + 1/(2*b_bal) * LN(1+b_bal/g*V_prop^2)</f>
        <v>467.328872691185</v>
      </c>
      <c r="M61" s="468" t="n">
        <f aca="false">Temps_fin_propu + ATAN(SQRT(b_bal/g)*V_prop)/SQRT(b_bal*g)</f>
        <v>9.16433134035944</v>
      </c>
    </row>
    <row r="62" customFormat="false" ht="12" hidden="false" customHeight="false" outlineLevel="0" collapsed="false">
      <c r="B62" s="462" t="n">
        <f aca="false">D_ref*1.5</f>
        <v>88.5</v>
      </c>
      <c r="C62" s="463" t="n">
        <f aca="false">1/2*Rho_moyen*PI()*D_var^2/4*Cx/10^6</f>
        <v>0.00188387689686384</v>
      </c>
      <c r="D62" s="464" t="n">
        <f aca="false">MpropuPlein+0.75*MasseSans</f>
        <v>1.2099</v>
      </c>
      <c r="E62" s="464" t="n">
        <f aca="false">m_var - 0.5*m_poudre</f>
        <v>1.1721</v>
      </c>
      <c r="F62" s="464" t="n">
        <f aca="false">m_var - m_poudre</f>
        <v>1.1343</v>
      </c>
      <c r="G62" s="465" t="n">
        <f aca="false">MAX(0, (I_total/Temps_fin_propu)/m_prop-g)</f>
        <v>50.9527335551574</v>
      </c>
      <c r="H62" s="463" t="n">
        <f aca="false">Q_var/m_prop</f>
        <v>0.00160726635684996</v>
      </c>
      <c r="I62" s="463" t="n">
        <f aca="false">Q_var/m_bal</f>
        <v>0.00166082773240222</v>
      </c>
      <c r="J62" s="463" t="n">
        <f aca="false">1/(2*b_prop)*LN(  ((EXP(2*SQRT(a_prop*b_prop)*Temps_fin_propu)+1)^2)  /  (((1+1)^2)*EXP(2*SQRT(a_prop*b_prop)*Temps_fin_propu)))</f>
        <v>96.7840969585394</v>
      </c>
      <c r="K62" s="466" t="n">
        <f aca="false">SQRT(a_prop/b_prop)  *  (EXP(2*SQRT(a_prop*b_prop)*Temps_fin_propu)-1)/(EXP(2*SQRT(a_prop*b_prop)*Temps_fin_propu)+1)</f>
        <v>92.0654858009284</v>
      </c>
      <c r="L62" s="467" t="n">
        <f aca="false">alt_prop + 1/(2*b_bal) * LN(1+b_bal/g*V_prop^2)</f>
        <v>364.705682397396</v>
      </c>
      <c r="M62" s="468" t="n">
        <f aca="false">Temps_fin_propu + ATAN(SQRT(b_bal/g)*V_prop)/SQRT(b_bal*g)</f>
        <v>8.85663557188642</v>
      </c>
    </row>
    <row r="63" customFormat="false" ht="12" hidden="false" customHeight="false" outlineLevel="0" collapsed="false">
      <c r="B63" s="462" t="n">
        <f aca="false">D_ref*1.5</f>
        <v>88.5</v>
      </c>
      <c r="C63" s="463" t="n">
        <f aca="false">1/2*Rho_moyen*PI()*D_var^2/4*Cx/10^6</f>
        <v>0.00188387689686384</v>
      </c>
      <c r="D63" s="464" t="n">
        <f aca="false">MpropuPlein+1*MasseSans</f>
        <v>1.5599</v>
      </c>
      <c r="E63" s="464" t="n">
        <f aca="false">m_var - 0.5*m_poudre</f>
        <v>1.5221</v>
      </c>
      <c r="F63" s="464" t="n">
        <f aca="false">m_var - m_poudre</f>
        <v>1.4843</v>
      </c>
      <c r="G63" s="465" t="n">
        <f aca="false">MAX(0, (I_total/Temps_fin_propu)/m_prop-g)</f>
        <v>36.980618224821</v>
      </c>
      <c r="H63" s="463" t="n">
        <f aca="false">Q_var/m_prop</f>
        <v>0.00123768273888958</v>
      </c>
      <c r="I63" s="463" t="n">
        <f aca="false">Q_var/m_bal</f>
        <v>0.00126920224810607</v>
      </c>
      <c r="J63" s="463" t="n">
        <f aca="false">1/(2*b_prop)*LN(  ((EXP(2*SQRT(a_prop*b_prop)*Temps_fin_propu)+1)^2)  /  (((1+1)^2)*EXP(2*SQRT(a_prop*b_prop)*Temps_fin_propu)))</f>
        <v>71.8088192552043</v>
      </c>
      <c r="K63" s="466" t="n">
        <f aca="false">SQRT(a_prop/b_prop)  *  (EXP(2*SQRT(a_prop*b_prop)*Temps_fin_propu)-1)/(EXP(2*SQRT(a_prop*b_prop)*Temps_fin_propu)+1)</f>
        <v>69.7553432654255</v>
      </c>
      <c r="L63" s="467" t="n">
        <f aca="false">alt_prop + 1/(2*b_bal) * LN(1+b_bal/g*V_prop^2)</f>
        <v>264.170574800713</v>
      </c>
      <c r="M63" s="468" t="n">
        <f aca="false">Temps_fin_propu + ATAN(SQRT(b_bal/g)*V_prop)/SQRT(b_bal*g)</f>
        <v>8.01094092193648</v>
      </c>
    </row>
    <row r="64" customFormat="false" ht="12" hidden="false" customHeight="false" outlineLevel="0" collapsed="false">
      <c r="B64" s="462" t="n">
        <f aca="false">D_ref*1.5</f>
        <v>88.5</v>
      </c>
      <c r="C64" s="463" t="n">
        <f aca="false">1/2*Rho_moyen*PI()*D_var^2/4*Cx/10^6</f>
        <v>0.00188387689686384</v>
      </c>
      <c r="D64" s="464" t="n">
        <f aca="false">MpropuPlein+1.25*MasseSans</f>
        <v>1.9099</v>
      </c>
      <c r="E64" s="464" t="n">
        <f aca="false">m_var - 0.5*m_poudre</f>
        <v>1.8721</v>
      </c>
      <c r="F64" s="464" t="n">
        <f aca="false">m_var - m_poudre</f>
        <v>1.8343</v>
      </c>
      <c r="G64" s="465" t="n">
        <f aca="false">MAX(0, (I_total/Temps_fin_propu)/m_prop-g)</f>
        <v>28.2328395919021</v>
      </c>
      <c r="H64" s="463" t="n">
        <f aca="false">Q_var/m_prop</f>
        <v>0.00100629074134065</v>
      </c>
      <c r="I64" s="463" t="n">
        <f aca="false">Q_var/m_bal</f>
        <v>0.00102702769277863</v>
      </c>
      <c r="J64" s="463" t="n">
        <f aca="false">1/(2*b_prop)*LN(  ((EXP(2*SQRT(a_prop*b_prop)*Temps_fin_propu)+1)^2)  /  (((1+1)^2)*EXP(2*SQRT(a_prop*b_prop)*Temps_fin_propu)))</f>
        <v>55.4275339753393</v>
      </c>
      <c r="K64" s="466" t="n">
        <f aca="false">SQRT(a_prop/b_prop)  *  (EXP(2*SQRT(a_prop*b_prop)*Temps_fin_propu)-1)/(EXP(2*SQRT(a_prop*b_prop)*Temps_fin_propu)+1)</f>
        <v>54.4196800635019</v>
      </c>
      <c r="L64" s="467" t="n">
        <f aca="false">alt_prop + 1/(2*b_bal) * LN(1+b_bal/g*V_prop^2)</f>
        <v>186.904853641744</v>
      </c>
      <c r="M64" s="468" t="n">
        <f aca="false">Temps_fin_propu + ATAN(SQRT(b_bal/g)*V_prop)/SQRT(b_bal*g)</f>
        <v>7.06163851356596</v>
      </c>
    </row>
    <row r="65" customFormat="false" ht="12" hidden="false" customHeight="false" outlineLevel="0" collapsed="false">
      <c r="B65" s="462" t="n">
        <f aca="false">D_ref*1.5</f>
        <v>88.5</v>
      </c>
      <c r="C65" s="463" t="n">
        <f aca="false">1/2*Rho_moyen*PI()*D_var^2/4*Cx/10^6</f>
        <v>0.00188387689686384</v>
      </c>
      <c r="D65" s="464" t="n">
        <f aca="false">MpropuPlein+1.5*MasseSans</f>
        <v>2.2599</v>
      </c>
      <c r="E65" s="464" t="n">
        <f aca="false">m_var - 0.5*m_poudre</f>
        <v>2.2221</v>
      </c>
      <c r="F65" s="464" t="n">
        <f aca="false">m_var - m_poudre</f>
        <v>2.1843</v>
      </c>
      <c r="G65" s="465" t="n">
        <f aca="false">MAX(0, (I_total/Temps_fin_propu)/m_prop-g)</f>
        <v>22.2407627919536</v>
      </c>
      <c r="H65" s="463" t="n">
        <f aca="false">Q_var/m_prop</f>
        <v>0.000847791232106492</v>
      </c>
      <c r="I65" s="463" t="n">
        <f aca="false">Q_var/m_bal</f>
        <v>0.000862462526605245</v>
      </c>
      <c r="J65" s="463" t="n">
        <f aca="false">1/(2*b_prop)*LN(  ((EXP(2*SQRT(a_prop*b_prop)*Temps_fin_propu)+1)^2)  /  (((1+1)^2)*EXP(2*SQRT(a_prop*b_prop)*Temps_fin_propu)))</f>
        <v>43.9333718339846</v>
      </c>
      <c r="K65" s="466" t="n">
        <f aca="false">SQRT(a_prop/b_prop)  *  (EXP(2*SQRT(a_prop*b_prop)*Temps_fin_propu)-1)/(EXP(2*SQRT(a_prop*b_prop)*Temps_fin_propu)+1)</f>
        <v>43.3959672808321</v>
      </c>
      <c r="L65" s="467" t="n">
        <f aca="false">alt_prop + 1/(2*b_bal) * LN(1+b_bal/g*V_prop^2)</f>
        <v>132.752546092061</v>
      </c>
      <c r="M65" s="468" t="n">
        <f aca="false">Temps_fin_propu + ATAN(SQRT(b_bal/g)*V_prop)/SQRT(b_bal*g)</f>
        <v>6.20122104282092</v>
      </c>
    </row>
    <row r="66" customFormat="false" ht="12" hidden="false" customHeight="false" outlineLevel="0" collapsed="false">
      <c r="B66" s="462" t="n">
        <f aca="false">D_ref*1.5</f>
        <v>88.5</v>
      </c>
      <c r="C66" s="463" t="n">
        <f aca="false">1/2*Rho_moyen*PI()*D_var^2/4*Cx/10^6</f>
        <v>0.00188387689686384</v>
      </c>
      <c r="D66" s="464" t="n">
        <f aca="false">MpropuPlein+1.75*MasseSans</f>
        <v>2.6099</v>
      </c>
      <c r="E66" s="464" t="n">
        <f aca="false">m_var - 0.5*m_poudre</f>
        <v>2.5721</v>
      </c>
      <c r="F66" s="464" t="n">
        <f aca="false">m_var - m_poudre</f>
        <v>2.5343</v>
      </c>
      <c r="G66" s="465" t="n">
        <f aca="false">MAX(0, (I_total/Temps_fin_propu)/m_prop-g)</f>
        <v>17.8794366470977</v>
      </c>
      <c r="H66" s="463" t="n">
        <f aca="false">Q_var/m_prop</f>
        <v>0.000732427548253892</v>
      </c>
      <c r="I66" s="463" t="n">
        <f aca="false">Q_var/m_bal</f>
        <v>0.000743351969720963</v>
      </c>
      <c r="J66" s="463" t="n">
        <f aca="false">1/(2*b_prop)*LN(  ((EXP(2*SQRT(a_prop*b_prop)*Temps_fin_propu)+1)^2)  /  (((1+1)^2)*EXP(2*SQRT(a_prop*b_prop)*Temps_fin_propu)))</f>
        <v>35.450981522372</v>
      </c>
      <c r="K66" s="466" t="n">
        <f aca="false">SQRT(a_prop/b_prop)  *  (EXP(2*SQRT(a_prop*b_prop)*Temps_fin_propu)-1)/(EXP(2*SQRT(a_prop*b_prop)*Temps_fin_propu)+1)</f>
        <v>35.1473152381268</v>
      </c>
      <c r="L66" s="467" t="n">
        <f aca="false">alt_prop + 1/(2*b_bal) * LN(1+b_bal/g*V_prop^2)</f>
        <v>95.6389555598539</v>
      </c>
      <c r="M66" s="468" t="n">
        <f aca="false">Temps_fin_propu + ATAN(SQRT(b_bal/g)*V_prop)/SQRT(b_bal*g)</f>
        <v>5.47689989260838</v>
      </c>
    </row>
    <row r="67" customFormat="false" ht="12" hidden="false" customHeight="false" outlineLevel="0" collapsed="false">
      <c r="B67" s="469" t="n">
        <f aca="false">D_ref*1.5</f>
        <v>88.5</v>
      </c>
      <c r="C67" s="470" t="n">
        <f aca="false">1/2*Rho_moyen*PI()*D_var^2/4*Cx/10^6</f>
        <v>0.00188387689686384</v>
      </c>
      <c r="D67" s="471" t="n">
        <f aca="false">MpropuPlein+2*MasseSans</f>
        <v>2.9599</v>
      </c>
      <c r="E67" s="471" t="n">
        <f aca="false">m_var - 0.5*m_poudre</f>
        <v>2.9221</v>
      </c>
      <c r="F67" s="471" t="n">
        <f aca="false">m_var - m_poudre</f>
        <v>2.8843</v>
      </c>
      <c r="G67" s="472" t="n">
        <f aca="false">MAX(0, (I_total/Temps_fin_propu)/m_prop-g)</f>
        <v>14.5628825159988</v>
      </c>
      <c r="H67" s="470" t="n">
        <f aca="false">Q_var/m_prop</f>
        <v>0.000644699666973695</v>
      </c>
      <c r="I67" s="470" t="n">
        <f aca="false">Q_var/m_bal</f>
        <v>0.000653148735174509</v>
      </c>
      <c r="J67" s="470" t="n">
        <f aca="false">1/(2*b_prop)*LN(  ((EXP(2*SQRT(a_prop*b_prop)*Temps_fin_propu)+1)^2)  /  (((1+1)^2)*EXP(2*SQRT(a_prop*b_prop)*Temps_fin_propu)))</f>
        <v>28.9452683819776</v>
      </c>
      <c r="K67" s="473" t="n">
        <f aca="false">SQRT(a_prop/b_prop)  *  (EXP(2*SQRT(a_prop*b_prop)*Temps_fin_propu)-1)/(EXP(2*SQRT(a_prop*b_prop)*Temps_fin_propu)+1)</f>
        <v>28.7665565309032</v>
      </c>
      <c r="L67" s="474" t="n">
        <f aca="false">alt_prop + 1/(2*b_bal) * LN(1+b_bal/g*V_prop^2)</f>
        <v>70.0014682846682</v>
      </c>
      <c r="M67" s="475" t="n">
        <f aca="false">Temps_fin_propu + ATAN(SQRT(b_bal/g)*V_prop)/SQRT(b_bal*g)</f>
        <v>4.88022996818958</v>
      </c>
    </row>
    <row r="71" customFormat="false" ht="12.75" hidden="false" customHeight="false" outlineLevel="0" collapsed="false">
      <c r="B71" s="1" t="str">
        <f aca="false">IF(Lang="Français","Textes pour les graphiques :","Texts for graphics :")</f>
        <v>Textes pour les graphiques :</v>
      </c>
    </row>
    <row r="73" customFormat="false" ht="12" hidden="false" customHeight="false" outlineLevel="0" collapsed="false">
      <c r="B73" s="243" t="str">
        <f aca="false">IF(Lang="Français","Masse totale",IF(Lang="English","Total Mass",""))</f>
        <v>Masse totale</v>
      </c>
    </row>
    <row r="74" customFormat="false" ht="12" hidden="false" customHeight="false" outlineLevel="0" collapsed="false">
      <c r="B74" s="243" t="str">
        <f aca="false">IF(Lang="Français","Vitesse max",IF(Lang="English","Max Velocity",""))</f>
        <v>Vitesse max</v>
      </c>
    </row>
    <row r="75" customFormat="false" ht="12" hidden="false" customHeight="false" outlineLevel="0" collapsed="false">
      <c r="B75" s="243" t="str">
        <f aca="false">Abaco!$B$74 &amp; " / " &amp; Abaco!$B$73</f>
        <v>Vitesse max / Masse totale</v>
      </c>
    </row>
    <row r="76" customFormat="false" ht="12" hidden="false" customHeight="false" outlineLevel="0" collapsed="false">
      <c r="B76" s="243" t="str">
        <f aca="false">IF(Lang="Français","Altitude max",IF(Lang="English","Max Altitude",""))</f>
        <v>Altitude max</v>
      </c>
    </row>
    <row r="77" customFormat="false" ht="12" hidden="false" customHeight="false" outlineLevel="0" collapsed="false">
      <c r="B77" s="243" t="str">
        <f aca="false">Abaco!$B$76 &amp; " / " &amp; Abaco!$B$73</f>
        <v>Altitude max / Masse totale</v>
      </c>
    </row>
    <row r="78" customFormat="false" ht="12" hidden="false" customHeight="false" outlineLevel="0" collapsed="false">
      <c r="B78" s="243" t="str">
        <f aca="false">IF(Lang="Français","Temps de culmination",IF(Lang="English","Apogee time",""))</f>
        <v>Temps de culmination</v>
      </c>
    </row>
    <row r="79" customFormat="false" ht="12" hidden="false" customHeight="false" outlineLevel="0" collapsed="false">
      <c r="B79" s="243"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Style="stop" operator="greaterThanOrEqual" showDropDown="false" showErrorMessage="false" showInputMessage="false" sqref="C10:D11" type="none">
      <formula1>0</formula1>
      <formula2>0</formula2>
    </dataValidation>
    <dataValidation allowBlank="false" errorStyle="stop" operator="between" showDropDown="false" showErrorMessage="false" showInputMessage="false" sqref="C12:D12" type="none">
      <formula1>0</formula1>
      <formula2>0</formula2>
    </dataValidation>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9" activeCellId="0" sqref="E49"/>
    </sheetView>
  </sheetViews>
  <sheetFormatPr defaultColWidth="10.6796875" defaultRowHeight="12" zeroHeight="false" outlineLevelRow="0" outlineLevelCol="0"/>
  <cols>
    <col collapsed="false" customWidth="true" hidden="false" outlineLevel="0" max="1" min="1" style="243" width="2.18"/>
    <col collapsed="false" customWidth="true" hidden="false" outlineLevel="0" max="2" min="2" style="243" width="16.27"/>
    <col collapsed="false" customWidth="true" hidden="false" outlineLevel="0" max="4" min="3" style="243" width="13.63"/>
  </cols>
  <sheetData>
    <row r="2" customFormat="false" ht="12" hidden="false" customHeight="false" outlineLevel="0" collapsed="false">
      <c r="C2" s="162" t="s">
        <v>377</v>
      </c>
      <c r="D2" s="162"/>
    </row>
    <row r="3" customFormat="false" ht="12" hidden="false" customHeight="false" outlineLevel="0" collapsed="false">
      <c r="C3" s="162"/>
      <c r="D3" s="162"/>
    </row>
    <row r="5" customFormat="false" ht="12.75" hidden="false" customHeight="false" outlineLevel="0" collapsed="false">
      <c r="C5" s="476" t="str">
        <f aca="false">IF(Lang="Français","Stabilité de fusée à ailerons","Stability of finned rocket")</f>
        <v>Stabilité de fusée à ailerons</v>
      </c>
    </row>
    <row r="6" customFormat="false" ht="12.75" hidden="false" customHeight="false" outlineLevel="0" collapsed="false">
      <c r="C6" s="477"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476" t="str">
        <f aca="false">IF(Lang="Français","Trajectographie de fusée","Rocket Trajectography")</f>
        <v>Trajectographie de fusée</v>
      </c>
    </row>
    <row r="8" customFormat="false" ht="12.75" hidden="false" customHeight="false" outlineLevel="0" collapsed="false">
      <c r="C8" s="477" t="str">
        <f aca="false">IF(Lang="Français","Trajectoire dans un plan par calcul pas à pas","Trajectory in a plane, step by step computation")</f>
        <v>Trajectoire dans un plan par calcul pas à pas</v>
      </c>
    </row>
    <row r="9" customFormat="false" ht="12.75" hidden="false" customHeight="false" outlineLevel="0" collapsed="false">
      <c r="C9" s="477"/>
    </row>
    <row r="10" customFormat="false" ht="12" hidden="false" customHeight="false" outlineLevel="0" collapsed="false">
      <c r="C10" s="478" t="str">
        <f aca="false">IF(Lang="Français","Documentation et équations :","Documentation and equations are aviable in french:")</f>
        <v>Documentation et équations :</v>
      </c>
    </row>
    <row r="11" customFormat="false" ht="12" hidden="false" customHeight="false" outlineLevel="0" collapsed="false">
      <c r="C11" s="243"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 hidden="false" customHeight="false" outlineLevel="0" collapsed="false">
      <c r="C12" s="243" t="str">
        <f aca="false">IF(Lang="Français","Néanmoins, les équations d'intégration du mouvement utilisées sont légèrement différentes !","")</f>
        <v>Néanmoins, les équations d'intégration du mouvement utilisées sont légèrement différentes !</v>
      </c>
    </row>
    <row r="13" customFormat="false" ht="12" hidden="false" customHeight="false" outlineLevel="0" collapsed="false">
      <c r="C13" s="243" t="str">
        <f aca="false">IF(Lang="Français","Logiciels et dossier technique téléchargeables sur :","Softwares and french documentation can be downloaded at:")</f>
        <v>Logiciels et dossier technique téléchargeables sur :</v>
      </c>
      <c r="H13" s="479" t="s">
        <v>378</v>
      </c>
    </row>
    <row r="15" customFormat="false" ht="12" hidden="false" customHeight="false" outlineLevel="0" collapsed="false">
      <c r="C15" s="478" t="str">
        <f aca="false">IF(Lang="Français","Pour les experts :","For experts:")</f>
        <v>Pour les experts :</v>
      </c>
    </row>
    <row r="16" customFormat="false" ht="12" hidden="false" customHeight="false" outlineLevel="0" collapsed="false">
      <c r="C16" s="180"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 hidden="false" customHeight="false" outlineLevel="0" collapsed="false">
      <c r="C17" s="480" t="str">
        <f aca="false">IF(Lang="Français","et faire vos modifications personnelles (ajout de moteur...).","and do your personal modification (adding a motor...)")</f>
        <v>et faire vos modifications personnelles (ajout de moteur...).</v>
      </c>
    </row>
    <row r="18" customFormat="false" ht="12" hidden="false" customHeight="false" outlineLevel="0" collapsed="false">
      <c r="C18" s="180" t="s">
        <v>379</v>
      </c>
    </row>
    <row r="19" customFormat="false" ht="12" hidden="false" customHeight="false" outlineLevel="0" collapsed="false">
      <c r="C19" s="480"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 hidden="false" customHeight="false" outlineLevel="0" collapsed="false">
      <c r="C20" s="480" t="str">
        <f aca="false">IF(Lang="Français","Aucune Macro. Mise en forme conditionnelle, Noms de zone.","No macro. Conditionnal formating, named zones.")</f>
        <v>Aucune Macro. Mise en forme conditionnelle, Noms de zone.</v>
      </c>
    </row>
    <row r="21" customFormat="false" ht="12" hidden="false" customHeight="false" outlineLevel="0" collapsed="false">
      <c r="C21" s="480"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 hidden="false" customHeight="false" outlineLevel="0" collapsed="false">
      <c r="C22" s="480" t="str">
        <f aca="false">IF(Lang="Français","Les unités sont réglés dans le Format de la cellule.","Units are set in cell number Format")</f>
        <v>Les unités sont réglés dans le Format de la cellule.</v>
      </c>
      <c r="H22" s="479" t="s">
        <v>380</v>
      </c>
    </row>
    <row r="23" customFormat="false" ht="12" hidden="false" customHeight="false" outlineLevel="0" collapsed="false">
      <c r="C23" s="480" t="str">
        <f aca="false">IF(Lang="Français","Vous pouvez proposer vos améliorations en envoyant votre fichier à : ","Send all remarks and improvements proposals to:")</f>
        <v>Vous pouvez proposer vos améliorations en envoyant votre fichier à : </v>
      </c>
      <c r="H23" s="479"/>
    </row>
    <row r="25" customFormat="false" ht="12" hidden="false" customHeight="false" outlineLevel="0" collapsed="false">
      <c r="C25" s="478" t="str">
        <f aca="false">IF(Lang="Français","Licence :","License:")</f>
        <v>Licence :</v>
      </c>
      <c r="D25" s="481"/>
    </row>
    <row r="26" customFormat="false" ht="12" hidden="false" customHeight="false" outlineLevel="0" collapsed="false">
      <c r="C26" s="243" t="str">
        <f aca="false">IF(Lang="Français","Ce logiciel est placé sous la licence Creative Commons BY-SA","This software is placed under Creative Commons licence BY-SA")</f>
        <v>Ce logiciel est placé sous la licence Creative Commons BY-SA</v>
      </c>
      <c r="H26" s="479" t="s">
        <v>381</v>
      </c>
    </row>
    <row r="28" customFormat="false" ht="12" hidden="false" customHeight="false" outlineLevel="0" collapsed="false">
      <c r="C28" s="478" t="str">
        <f aca="false">IF(Lang="Français","Compatibilité :","Compatibility:")</f>
        <v>Compatibilité :</v>
      </c>
    </row>
    <row r="29" customFormat="false" ht="12" hidden="false" customHeight="false" outlineLevel="0" collapsed="false">
      <c r="C29" s="243" t="s">
        <v>382</v>
      </c>
    </row>
    <row r="30" customFormat="false" ht="12" hidden="false" customHeight="false" outlineLevel="0" collapsed="false">
      <c r="C30" s="243" t="s">
        <v>383</v>
      </c>
    </row>
    <row r="31" customFormat="false" ht="12" hidden="false" customHeight="false" outlineLevel="0" collapsed="false">
      <c r="C31" s="482" t="s">
        <v>384</v>
      </c>
    </row>
    <row r="33" customFormat="false" ht="12" hidden="false" customHeight="false" outlineLevel="0" collapsed="false">
      <c r="C33" s="478" t="str">
        <f aca="false">IF(Lang="Français","Historique :","History:")</f>
        <v>Historique :</v>
      </c>
    </row>
    <row r="34" customFormat="false" ht="12" hidden="false" customHeight="false" outlineLevel="0" collapsed="false">
      <c r="C34" s="243" t="s">
        <v>385</v>
      </c>
      <c r="D34" s="243" t="s">
        <v>386</v>
      </c>
      <c r="E34" s="483" t="s">
        <v>387</v>
      </c>
      <c r="F34" s="243" t="str">
        <f aca="false">IF(Lang="Français","Essais personnels, héritage d'une feuille de calcul de Vincent Girard, ESO","Personnel tests")</f>
        <v>Essais personnels, héritage d'une feuille de calcul de Vincent Girard, ESO</v>
      </c>
    </row>
    <row r="35" customFormat="false" ht="12" hidden="false" customHeight="false" outlineLevel="0" collapsed="false">
      <c r="C35" s="243" t="s">
        <v>388</v>
      </c>
      <c r="D35" s="243" t="s">
        <v>386</v>
      </c>
      <c r="E35" s="481" t="n">
        <v>39483</v>
      </c>
      <c r="F35" s="243"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 hidden="false" customHeight="false" outlineLevel="0" collapsed="false">
      <c r="C36" s="243" t="s">
        <v>389</v>
      </c>
      <c r="D36" s="243" t="s">
        <v>386</v>
      </c>
      <c r="E36" s="481" t="n">
        <v>39507</v>
      </c>
      <c r="F36" s="243"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 hidden="false" customHeight="false" outlineLevel="0" collapsed="false">
      <c r="C37" s="243" t="s">
        <v>390</v>
      </c>
      <c r="D37" s="243" t="s">
        <v>386</v>
      </c>
      <c r="E37" s="481" t="n">
        <v>39694</v>
      </c>
      <c r="F37" s="243" t="str">
        <f aca="false">IF(Lang="Français","Mise en forme","Formatting")</f>
        <v>Mise en forme</v>
      </c>
    </row>
    <row r="38" customFormat="false" ht="12" hidden="false" customHeight="false" outlineLevel="0" collapsed="false">
      <c r="C38" s="243" t="s">
        <v>391</v>
      </c>
      <c r="D38" s="243" t="s">
        <v>386</v>
      </c>
      <c r="E38" s="481" t="n">
        <v>39643</v>
      </c>
      <c r="F38" s="243" t="str">
        <f aca="false">IF(Lang="Français","Essais personnels, héritage d'une feuille de calcul de Félicien Roux, ESO","Personal tests")</f>
        <v>Essais personnels, héritage d'une feuille de calcul de Félicien Roux, ESO</v>
      </c>
    </row>
    <row r="39" customFormat="false" ht="12" hidden="false" customHeight="false" outlineLevel="0" collapsed="false">
      <c r="C39" s="243" t="s">
        <v>392</v>
      </c>
      <c r="D39" s="243" t="s">
        <v>386</v>
      </c>
      <c r="E39" s="481" t="n">
        <v>39755</v>
      </c>
      <c r="F39" s="243" t="str">
        <f aca="false">IF(Lang="Français","Réécriture équations, traduction, érgonomie","Equations, traduction, ergonomy")</f>
        <v>Réécriture équations, traduction, érgonomie</v>
      </c>
    </row>
    <row r="40" customFormat="false" ht="12" hidden="false" customHeight="false" outlineLevel="0" collapsed="false">
      <c r="C40" s="243" t="s">
        <v>393</v>
      </c>
      <c r="D40" s="243" t="s">
        <v>386</v>
      </c>
      <c r="E40" s="481" t="n">
        <v>39756</v>
      </c>
      <c r="F40" s="243" t="str">
        <f aca="false">IF(Lang="Français","Conditions Initiales pour vol 2e étage, 1ère publication","Initial Conditions, 1st publication")</f>
        <v>Conditions Initiales pour vol 2e étage, 1ère publication</v>
      </c>
    </row>
    <row r="41" customFormat="false" ht="12" hidden="false" customHeight="false" outlineLevel="0" collapsed="false">
      <c r="C41" s="243" t="s">
        <v>394</v>
      </c>
      <c r="D41" s="243" t="s">
        <v>386</v>
      </c>
      <c r="E41" s="481" t="n">
        <v>40658</v>
      </c>
      <c r="F41" s="243" t="s">
        <v>395</v>
      </c>
    </row>
    <row r="42" customFormat="false" ht="12" hidden="false" customHeight="false" outlineLevel="0" collapsed="false">
      <c r="C42" s="243" t="s">
        <v>396</v>
      </c>
      <c r="D42" s="243" t="s">
        <v>386</v>
      </c>
      <c r="E42" s="481" t="n">
        <v>40868</v>
      </c>
      <c r="F42" s="243" t="str">
        <f aca="false">IF(Lang="Français","Fusion Stabilito+Trajecto, mise en forme, Ctrl, RC, H2O, Abaco","Merge Stabilito+Trajecto, formatting, Ctrl, RC, H2O, Abaco")</f>
        <v>Fusion Stabilito+Trajecto, mise en forme, Ctrl, RC, H2O, Abaco</v>
      </c>
    </row>
    <row r="43" customFormat="false" ht="12" hidden="false" customHeight="false" outlineLevel="0" collapsed="false">
      <c r="C43" s="243" t="s">
        <v>397</v>
      </c>
      <c r="D43" s="243" t="s">
        <v>386</v>
      </c>
      <c r="E43" s="481" t="n">
        <v>41194</v>
      </c>
      <c r="F43" s="243" t="s">
        <v>398</v>
      </c>
    </row>
    <row r="44" customFormat="false" ht="12" hidden="false" customHeight="false" outlineLevel="0" collapsed="false">
      <c r="C44" s="243" t="s">
        <v>399</v>
      </c>
      <c r="D44" s="243" t="s">
        <v>386</v>
      </c>
      <c r="E44" s="481" t="n">
        <v>41329</v>
      </c>
      <c r="F44" s="243" t="s">
        <v>400</v>
      </c>
    </row>
    <row r="45" customFormat="false" ht="12" hidden="false" customHeight="false" outlineLevel="0" collapsed="false">
      <c r="C45" s="243" t="s">
        <v>401</v>
      </c>
      <c r="D45" s="243" t="s">
        <v>402</v>
      </c>
      <c r="E45" s="481" t="n">
        <v>41947</v>
      </c>
      <c r="F45" s="243" t="s">
        <v>403</v>
      </c>
    </row>
    <row r="46" customFormat="false" ht="12" hidden="false" customHeight="false" outlineLevel="0" collapsed="false">
      <c r="C46" s="243" t="s">
        <v>404</v>
      </c>
      <c r="D46" s="243" t="s">
        <v>402</v>
      </c>
      <c r="E46" s="481" t="n">
        <v>41965</v>
      </c>
      <c r="F46" s="243" t="s">
        <v>405</v>
      </c>
    </row>
    <row r="47" customFormat="false" ht="12" hidden="false" customHeight="false" outlineLevel="0" collapsed="false">
      <c r="C47" s="243" t="s">
        <v>406</v>
      </c>
      <c r="D47" s="243" t="s">
        <v>402</v>
      </c>
      <c r="E47" s="481" t="n">
        <v>43048</v>
      </c>
      <c r="F47" s="243" t="s">
        <v>407</v>
      </c>
    </row>
    <row r="48" customFormat="false" ht="12" hidden="false" customHeight="false" outlineLevel="0" collapsed="false">
      <c r="C48" s="243" t="s">
        <v>408</v>
      </c>
      <c r="D48" s="243" t="s">
        <v>402</v>
      </c>
      <c r="E48" s="481" t="n">
        <v>44160</v>
      </c>
      <c r="F48" s="243" t="s">
        <v>409</v>
      </c>
    </row>
    <row r="49" customFormat="false" ht="12" hidden="false" customHeight="false" outlineLevel="0" collapsed="false">
      <c r="E49" s="481"/>
    </row>
    <row r="51" customFormat="false" ht="12" hidden="false" customHeight="false" outlineLevel="0" collapsed="false">
      <c r="C51" s="478" t="str">
        <f aca="false">IF(Lang="Français","Paramètres de référence :","Reference parameters:")</f>
        <v>Paramètres de référence :</v>
      </c>
    </row>
    <row r="52" customFormat="false" ht="12" hidden="false" customHeight="false" outlineLevel="0" collapsed="false">
      <c r="C52" s="484" t="str">
        <f aca="false">IF(Lang="Français","Gravité g :","Gravity g")</f>
        <v>Gravité g :</v>
      </c>
      <c r="E52" s="484" t="n">
        <v>9.81</v>
      </c>
      <c r="F52" s="484" t="s">
        <v>177</v>
      </c>
    </row>
    <row r="53" customFormat="false" ht="12" hidden="false" customHeight="false" outlineLevel="0" collapsed="false">
      <c r="C53" s="484" t="str">
        <f aca="false">IF(Lang="Français","Masse volumique de l'air ρ :","Air density ρ")</f>
        <v>Masse volumique de l'air ρ :</v>
      </c>
      <c r="E53" s="485" t="n">
        <v>1.225</v>
      </c>
      <c r="F53" s="484" t="s">
        <v>333</v>
      </c>
    </row>
    <row r="54" customFormat="false" ht="12" hidden="false" customHeight="false" outlineLevel="0" collapsed="false">
      <c r="C54" s="480"/>
    </row>
    <row r="55" customFormat="false" ht="12" hidden="false" customHeight="false" outlineLevel="0" collapsed="false">
      <c r="C55" s="480"/>
    </row>
    <row r="56" customFormat="false" ht="12" hidden="false" customHeight="false" outlineLevel="0" collapsed="false">
      <c r="C56" s="480"/>
    </row>
    <row r="57" customFormat="false" ht="12" hidden="false" customHeight="false" outlineLevel="0" collapsed="false">
      <c r="C57" s="480"/>
    </row>
    <row r="58" customFormat="false" ht="12" hidden="false" customHeight="false" outlineLevel="0" collapsed="false">
      <c r="C58" s="480"/>
    </row>
    <row r="59" customFormat="false" ht="12" hidden="false" customHeight="false" outlineLevel="0" collapsed="false">
      <c r="C59" s="480"/>
    </row>
  </sheetData>
  <sheetProtection sheet="true" password="c6ac"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H4" activeCellId="0" sqref="H4"/>
    </sheetView>
  </sheetViews>
  <sheetFormatPr defaultColWidth="11.6328125" defaultRowHeight="12" zeroHeight="false" outlineLevelRow="0" outlineLevelCol="0"/>
  <cols>
    <col collapsed="false" customWidth="true" hidden="false" outlineLevel="0" max="2" min="1" style="243" width="2.18"/>
    <col collapsed="false" customWidth="true" hidden="false" outlineLevel="0" max="3" min="3" style="243" width="12.63"/>
    <col collapsed="false" customWidth="true" hidden="false" outlineLevel="0" max="4" min="4" style="243" width="21"/>
    <col collapsed="false" customWidth="true" hidden="false" outlineLevel="0" max="7" min="7" style="243" width="26.63"/>
    <col collapsed="false" customWidth="true" hidden="false" outlineLevel="0" max="9" min="8" style="243" width="6.73"/>
    <col collapsed="false" customWidth="true" hidden="false" outlineLevel="0" max="10" min="10" style="243" width="10"/>
    <col collapsed="false" customWidth="true" hidden="false" outlineLevel="0" max="11" min="11" style="243" width="13"/>
    <col collapsed="false" customWidth="true" hidden="false" outlineLevel="0" max="12" min="12" style="243" width="21.27"/>
    <col collapsed="false" customWidth="true" hidden="false" outlineLevel="0" max="14" min="14" style="243" width="2.18"/>
    <col collapsed="false" customWidth="true" hidden="false" outlineLevel="0" max="19" min="18" style="243" width="16.27"/>
  </cols>
  <sheetData>
    <row r="1" customFormat="false" ht="13.5" hidden="false" customHeight="false" outlineLevel="0" collapsed="false">
      <c r="O1" s="171"/>
      <c r="P1" s="480"/>
      <c r="Q1" s="480"/>
      <c r="R1" s="480"/>
      <c r="S1" s="480"/>
      <c r="T1" s="480"/>
      <c r="U1" s="480"/>
    </row>
    <row r="2" customFormat="false" ht="13.5" hidden="false" customHeight="false" outlineLevel="0" collapsed="false">
      <c r="B2" s="486"/>
      <c r="C2" s="444"/>
      <c r="D2" s="444"/>
      <c r="E2" s="444"/>
      <c r="F2" s="444"/>
      <c r="G2" s="444"/>
      <c r="H2" s="444"/>
      <c r="I2" s="444"/>
      <c r="J2" s="444"/>
      <c r="K2" s="444"/>
      <c r="L2" s="444"/>
      <c r="M2" s="444"/>
      <c r="N2" s="445"/>
      <c r="O2" s="171"/>
      <c r="P2" s="480"/>
      <c r="Q2" s="480"/>
      <c r="R2" s="480"/>
      <c r="S2" s="480"/>
      <c r="T2" s="480"/>
      <c r="U2" s="480"/>
    </row>
    <row r="3" customFormat="false" ht="15.75" hidden="false" customHeight="true" outlineLevel="0" collapsed="false">
      <c r="B3" s="240"/>
      <c r="C3" s="180"/>
      <c r="D3" s="161" t="s">
        <v>410</v>
      </c>
      <c r="E3" s="180"/>
      <c r="F3" s="180"/>
      <c r="G3" s="180"/>
      <c r="H3" s="180"/>
      <c r="I3" s="180"/>
      <c r="J3" s="180"/>
      <c r="K3" s="180"/>
      <c r="L3" s="180"/>
      <c r="M3" s="180"/>
      <c r="N3" s="446"/>
      <c r="O3" s="171"/>
      <c r="P3" s="487" t="s">
        <v>411</v>
      </c>
      <c r="Q3" s="488" t="n">
        <f aca="false">Long_ogive</f>
        <v>199</v>
      </c>
      <c r="R3" s="480"/>
      <c r="S3" s="480"/>
      <c r="T3" s="480"/>
      <c r="U3" s="480"/>
    </row>
    <row r="4" customFormat="false" ht="15.75" hidden="false" customHeight="true" outlineLevel="0" collapsed="false">
      <c r="B4" s="240"/>
      <c r="C4" s="180"/>
      <c r="D4" s="161"/>
      <c r="E4" s="180"/>
      <c r="F4" s="180"/>
      <c r="G4" s="180"/>
      <c r="H4" s="180"/>
      <c r="I4" s="180"/>
      <c r="J4" s="180"/>
      <c r="K4" s="180"/>
      <c r="L4" s="180"/>
      <c r="M4" s="180"/>
      <c r="N4" s="446"/>
      <c r="O4" s="171"/>
      <c r="P4" s="487"/>
      <c r="Q4" s="363"/>
      <c r="R4" s="480"/>
      <c r="S4" s="480"/>
      <c r="T4" s="480"/>
      <c r="U4" s="480"/>
    </row>
    <row r="5" customFormat="false" ht="15.75" hidden="false" customHeight="true" outlineLevel="0" collapsed="false">
      <c r="B5" s="240"/>
      <c r="C5" s="180"/>
      <c r="D5" s="480" t="s">
        <v>412</v>
      </c>
      <c r="E5" s="180" t="str">
        <f aca="false">Propu</f>
        <v>Pandora (Pro24-6G BS)</v>
      </c>
      <c r="F5" s="180"/>
      <c r="G5" s="180" t="s">
        <v>413</v>
      </c>
      <c r="H5" s="180" t="n">
        <f aca="false">MasseSans</f>
        <v>1.4</v>
      </c>
      <c r="I5" s="180"/>
      <c r="J5" s="180"/>
      <c r="K5" s="180"/>
      <c r="L5" s="180"/>
      <c r="M5" s="180"/>
      <c r="N5" s="446"/>
      <c r="O5" s="171"/>
      <c r="P5" s="487"/>
      <c r="Q5" s="363"/>
      <c r="R5" s="480"/>
      <c r="S5" s="480"/>
      <c r="T5" s="480"/>
      <c r="U5" s="480"/>
    </row>
    <row r="6" customFormat="false" ht="12.75" hidden="false" customHeight="false" outlineLevel="0" collapsed="false">
      <c r="B6" s="240"/>
      <c r="D6" s="180" t="s">
        <v>414</v>
      </c>
      <c r="E6" s="161" t="str">
        <f aca="false">Trajecto!H32</f>
        <v>Vert</v>
      </c>
      <c r="G6" s="180" t="s">
        <v>415</v>
      </c>
      <c r="H6" s="180" t="n">
        <f aca="false">D_ref</f>
        <v>59</v>
      </c>
      <c r="I6" s="180"/>
      <c r="J6" s="180"/>
      <c r="K6" s="180"/>
      <c r="L6" s="180"/>
      <c r="M6" s="180"/>
      <c r="N6" s="446"/>
      <c r="O6" s="171"/>
      <c r="P6" s="487"/>
      <c r="Q6" s="363"/>
      <c r="R6" s="480"/>
      <c r="S6" s="480"/>
      <c r="T6" s="480"/>
      <c r="U6" s="480"/>
    </row>
    <row r="7" customFormat="false" ht="12.75" hidden="false" customHeight="false" outlineLevel="0" collapsed="false">
      <c r="B7" s="240"/>
      <c r="D7" s="180" t="s">
        <v>416</v>
      </c>
      <c r="E7" s="161" t="str">
        <f aca="false">Trajecto!H33</f>
        <v>Blanc</v>
      </c>
      <c r="G7" s="243" t="s">
        <v>159</v>
      </c>
      <c r="H7" s="243" t="n">
        <f aca="false">Cx</f>
        <v>0.5</v>
      </c>
      <c r="I7" s="180"/>
      <c r="J7" s="180"/>
      <c r="K7" s="180"/>
      <c r="L7" s="180"/>
      <c r="M7" s="180"/>
      <c r="N7" s="446"/>
      <c r="O7" s="171"/>
      <c r="P7" s="487"/>
      <c r="Q7" s="363"/>
      <c r="R7" s="480"/>
      <c r="S7" s="480"/>
      <c r="T7" s="480"/>
      <c r="U7" s="480"/>
    </row>
    <row r="8" customFormat="false" ht="12.75" hidden="false" customHeight="false" outlineLevel="0" collapsed="false">
      <c r="B8" s="240"/>
      <c r="D8" s="180" t="s">
        <v>417</v>
      </c>
      <c r="E8" s="161" t="n">
        <f aca="false">S_para</f>
        <v>0.260205</v>
      </c>
      <c r="G8" s="180" t="s">
        <v>418</v>
      </c>
      <c r="H8" s="180" t="n">
        <f aca="false">L_rampe</f>
        <v>2.5</v>
      </c>
      <c r="I8" s="180"/>
      <c r="J8" s="180"/>
      <c r="K8" s="180"/>
      <c r="L8" s="180"/>
      <c r="M8" s="180"/>
      <c r="N8" s="446"/>
      <c r="O8" s="171"/>
      <c r="P8" s="487"/>
      <c r="Q8" s="363"/>
      <c r="R8" s="480"/>
      <c r="S8" s="480"/>
      <c r="T8" s="480"/>
      <c r="U8" s="480"/>
    </row>
    <row r="9" customFormat="false" ht="12.75" hidden="false" customHeight="false" outlineLevel="0" collapsed="false">
      <c r="B9" s="240"/>
      <c r="D9" s="180" t="s">
        <v>419</v>
      </c>
      <c r="E9" s="161"/>
      <c r="G9" s="180" t="s">
        <v>420</v>
      </c>
      <c r="H9" s="489" t="str">
        <f aca="false">Forme_ogive</f>
        <v>Ogivale (pointue)</v>
      </c>
      <c r="I9" s="180"/>
      <c r="J9" s="180"/>
      <c r="K9" s="180"/>
      <c r="L9" s="180"/>
      <c r="M9" s="180"/>
      <c r="N9" s="446"/>
      <c r="O9" s="171"/>
      <c r="P9" s="487"/>
      <c r="Q9" s="363"/>
      <c r="R9" s="480"/>
      <c r="S9" s="480"/>
      <c r="T9" s="480"/>
      <c r="U9" s="480"/>
    </row>
    <row r="10" customFormat="false" ht="12.75" hidden="false" customHeight="false" outlineLevel="0" collapsed="false">
      <c r="B10" s="240"/>
      <c r="C10" s="180"/>
      <c r="D10" s="180"/>
      <c r="E10" s="180"/>
      <c r="F10" s="164"/>
      <c r="G10" s="171"/>
      <c r="H10" s="180"/>
      <c r="I10" s="180"/>
      <c r="J10" s="180"/>
      <c r="K10" s="180"/>
      <c r="L10" s="180"/>
      <c r="M10" s="180"/>
      <c r="N10" s="446"/>
      <c r="O10" s="490"/>
      <c r="P10" s="480"/>
      <c r="Q10" s="363"/>
      <c r="R10" s="480"/>
      <c r="S10" s="480"/>
      <c r="T10" s="480"/>
      <c r="U10" s="480"/>
    </row>
    <row r="11" customFormat="false" ht="13.5" hidden="false" customHeight="false" outlineLevel="0" collapsed="false">
      <c r="B11" s="240"/>
      <c r="C11" s="491"/>
      <c r="D11" s="492" t="s">
        <v>421</v>
      </c>
      <c r="E11" s="493" t="n">
        <f aca="false">MasseSans</f>
        <v>1.4</v>
      </c>
      <c r="F11" s="494" t="s">
        <v>422</v>
      </c>
      <c r="G11" s="494" t="s">
        <v>423</v>
      </c>
      <c r="H11" s="495" t="n">
        <f aca="false">Vsortie_de_rampe</f>
        <v>23.6096320586357</v>
      </c>
      <c r="I11" s="495"/>
      <c r="J11" s="496"/>
      <c r="K11" s="180"/>
      <c r="L11" s="180"/>
      <c r="M11" s="180"/>
      <c r="N11" s="446"/>
      <c r="O11" s="180"/>
      <c r="P11" s="480"/>
      <c r="Q11" s="363"/>
      <c r="R11" s="480"/>
      <c r="S11" s="480"/>
      <c r="T11" s="480"/>
      <c r="U11" s="497" t="str">
        <f aca="false">IF(RIGHT(Nb_diam,1)=",", "", X_j)</f>
        <v/>
      </c>
    </row>
    <row r="12" customFormat="false" ht="13.5" hidden="false" customHeight="false" outlineLevel="0" collapsed="false">
      <c r="B12" s="240"/>
      <c r="C12" s="491"/>
      <c r="D12" s="498"/>
      <c r="E12" s="499"/>
      <c r="F12" s="171" t="s">
        <v>422</v>
      </c>
      <c r="G12" s="171" t="s">
        <v>424</v>
      </c>
      <c r="H12" s="500" t="n">
        <f aca="false">Finesse</f>
        <v>20.3389830508475</v>
      </c>
      <c r="I12" s="500"/>
      <c r="J12" s="496"/>
      <c r="K12" s="180"/>
      <c r="L12" s="180"/>
      <c r="M12" s="180"/>
      <c r="N12" s="446"/>
      <c r="O12" s="171"/>
      <c r="P12" s="487" t="s">
        <v>425</v>
      </c>
      <c r="Q12" s="488" t="n">
        <f aca="false">D_og</f>
        <v>59</v>
      </c>
      <c r="R12" s="480"/>
      <c r="S12" s="480"/>
      <c r="T12" s="480"/>
      <c r="U12" s="363"/>
    </row>
    <row r="13" customFormat="false" ht="12.75" hidden="false" customHeight="false" outlineLevel="0" collapsed="false">
      <c r="B13" s="240"/>
      <c r="C13" s="491"/>
      <c r="D13" s="498" t="s">
        <v>159</v>
      </c>
      <c r="E13" s="499" t="n">
        <f aca="false">Cx</f>
        <v>0.5</v>
      </c>
      <c r="F13" s="171" t="s">
        <v>422</v>
      </c>
      <c r="G13" s="171" t="s">
        <v>426</v>
      </c>
      <c r="H13" s="500" t="n">
        <f aca="false">Cn</f>
        <v>21.4975242818324</v>
      </c>
      <c r="I13" s="500"/>
      <c r="J13" s="496"/>
      <c r="K13" s="180"/>
      <c r="L13" s="180"/>
      <c r="M13" s="180"/>
      <c r="N13" s="446"/>
      <c r="O13" s="171"/>
      <c r="P13" s="480"/>
      <c r="Q13" s="363"/>
      <c r="R13" s="480"/>
      <c r="S13" s="480"/>
      <c r="T13" s="480"/>
      <c r="U13" s="497" t="str">
        <f aca="false">IF(RIGHT(Nb_diam,1)=",", "", X_r)</f>
        <v/>
      </c>
    </row>
    <row r="14" customFormat="false" ht="12.75" hidden="false" customHeight="false" outlineLevel="0" collapsed="false">
      <c r="B14" s="240"/>
      <c r="C14" s="363"/>
      <c r="D14" s="498" t="s">
        <v>427</v>
      </c>
      <c r="E14" s="499" t="n">
        <f aca="false">L_rampe</f>
        <v>2.5</v>
      </c>
      <c r="F14" s="171" t="s">
        <v>422</v>
      </c>
      <c r="G14" s="171" t="s">
        <v>428</v>
      </c>
      <c r="H14" s="501" t="n">
        <f aca="false">MS_min</f>
        <v>3.94843001324688</v>
      </c>
      <c r="I14" s="502" t="n">
        <f aca="false">MS_max</f>
        <v>4.17001758949287</v>
      </c>
      <c r="J14" s="496"/>
      <c r="K14" s="496"/>
      <c r="L14" s="180"/>
      <c r="M14" s="180"/>
      <c r="N14" s="446"/>
      <c r="O14" s="180"/>
      <c r="P14" s="480"/>
      <c r="Q14" s="363"/>
      <c r="R14" s="480"/>
      <c r="S14" s="480"/>
      <c r="T14" s="480"/>
      <c r="U14" s="363"/>
    </row>
    <row r="15" customFormat="false" ht="12.75" hidden="false" customHeight="false" outlineLevel="0" collapsed="false">
      <c r="B15" s="240"/>
      <c r="C15" s="363"/>
      <c r="D15" s="498" t="s">
        <v>429</v>
      </c>
      <c r="E15" s="499" t="n">
        <f aca="false">ep_ail</f>
        <v>2</v>
      </c>
      <c r="F15" s="171" t="s">
        <v>422</v>
      </c>
      <c r="G15" s="171" t="s">
        <v>430</v>
      </c>
      <c r="H15" s="501" t="n">
        <f aca="false">MS_Cn_min</f>
        <v>84.8814700848907</v>
      </c>
      <c r="I15" s="502" t="n">
        <f aca="false">MS_Cn_max</f>
        <v>89.6450543857911</v>
      </c>
      <c r="J15" s="496"/>
      <c r="K15" s="496"/>
      <c r="L15" s="180"/>
      <c r="M15" s="180"/>
      <c r="N15" s="446"/>
      <c r="O15" s="180"/>
      <c r="P15" s="480"/>
      <c r="Q15" s="363"/>
      <c r="R15" s="480"/>
      <c r="S15" s="480"/>
      <c r="T15" s="480"/>
    </row>
    <row r="16" customFormat="false" ht="12.75" hidden="false" customHeight="false" outlineLevel="0" collapsed="false">
      <c r="B16" s="240"/>
      <c r="C16" s="363"/>
      <c r="D16" s="498" t="s">
        <v>431</v>
      </c>
      <c r="E16" s="499" t="n">
        <f aca="false">Q_ail</f>
        <v>4</v>
      </c>
      <c r="F16" s="171" t="s">
        <v>432</v>
      </c>
      <c r="G16" s="171" t="s">
        <v>433</v>
      </c>
      <c r="H16" s="501" t="n">
        <f aca="false">V_para</f>
        <v>9.55838417995523</v>
      </c>
      <c r="I16" s="500" t="n">
        <f aca="false">V_satellite</f>
        <v>10.9600387307524</v>
      </c>
      <c r="J16" s="496"/>
      <c r="K16" s="180"/>
      <c r="L16" s="180"/>
      <c r="M16" s="180"/>
      <c r="N16" s="446"/>
      <c r="O16" s="180"/>
      <c r="P16" s="480"/>
      <c r="Q16" s="363"/>
      <c r="R16" s="480"/>
      <c r="S16" s="480"/>
      <c r="T16" s="480"/>
      <c r="U16" s="497" t="str">
        <f aca="false">IF(RIGHT(Nb_diam,1)=",", "", l_j)</f>
        <v/>
      </c>
    </row>
    <row r="17" customFormat="false" ht="12.75" hidden="false" customHeight="false" outlineLevel="0" collapsed="false">
      <c r="B17" s="240"/>
      <c r="C17" s="363"/>
      <c r="D17" s="498" t="s">
        <v>420</v>
      </c>
      <c r="E17" s="503" t="str">
        <f aca="false">Forme_ogive</f>
        <v>Ogivale (pointue)</v>
      </c>
      <c r="F17" s="171" t="s">
        <v>434</v>
      </c>
      <c r="G17" s="171" t="s">
        <v>435</v>
      </c>
      <c r="H17" s="500" t="n">
        <f aca="false">T_para</f>
        <v>12</v>
      </c>
      <c r="I17" s="500"/>
      <c r="J17" s="504"/>
      <c r="K17" s="180"/>
      <c r="L17" s="180"/>
      <c r="M17" s="180"/>
      <c r="N17" s="446"/>
      <c r="O17" s="180"/>
      <c r="P17" s="505" t="s">
        <v>436</v>
      </c>
      <c r="Q17" s="497" t="str">
        <f aca="false">IF(RIGHT(Nb_diam,1)=",", "", D2j)</f>
        <v/>
      </c>
      <c r="R17" s="480"/>
      <c r="S17" s="480"/>
      <c r="T17" s="480"/>
      <c r="U17" s="363"/>
    </row>
    <row r="18" customFormat="false" ht="12.75" hidden="false" customHeight="false" outlineLevel="0" collapsed="false">
      <c r="B18" s="240"/>
      <c r="C18" s="363"/>
      <c r="D18" s="498" t="s">
        <v>437</v>
      </c>
      <c r="E18" s="506" t="n">
        <f aca="false">XpropuRef-Long_propu</f>
        <v>972</v>
      </c>
      <c r="F18" s="363" t="s">
        <v>434</v>
      </c>
      <c r="G18" s="363" t="s">
        <v>438</v>
      </c>
      <c r="H18" s="507" t="n">
        <f aca="false">T_para-Combustion-Depotage</f>
        <v>11.03</v>
      </c>
      <c r="I18" s="507"/>
      <c r="J18" s="180"/>
      <c r="K18" s="180"/>
      <c r="L18" s="180"/>
      <c r="M18" s="180"/>
      <c r="N18" s="446"/>
      <c r="O18" s="180"/>
      <c r="P18" s="480"/>
      <c r="Q18" s="363"/>
      <c r="R18" s="480"/>
      <c r="S18" s="480"/>
    </row>
    <row r="19" customFormat="false" ht="12.75" hidden="false" customHeight="false" outlineLevel="0" collapsed="false">
      <c r="B19" s="240"/>
      <c r="C19" s="508"/>
      <c r="D19" s="509"/>
      <c r="E19" s="510"/>
      <c r="F19" s="511" t="s">
        <v>439</v>
      </c>
      <c r="G19" s="512" t="s">
        <v>440</v>
      </c>
      <c r="H19" s="513" t="n">
        <f aca="false">Portee_balistique</f>
        <v>211.791153319536</v>
      </c>
      <c r="I19" s="513"/>
      <c r="J19" s="180"/>
      <c r="K19" s="180"/>
      <c r="L19" s="180"/>
      <c r="M19" s="180"/>
      <c r="N19" s="446"/>
      <c r="O19" s="180"/>
      <c r="P19" s="480"/>
      <c r="Q19" s="363"/>
      <c r="R19" s="480"/>
      <c r="S19" s="480"/>
      <c r="T19" s="480"/>
    </row>
    <row r="20" customFormat="false" ht="12.75" hidden="false" customHeight="false" outlineLevel="0" collapsed="false">
      <c r="B20" s="240"/>
      <c r="C20" s="363"/>
      <c r="D20" s="171"/>
      <c r="E20" s="171"/>
      <c r="H20" s="514"/>
      <c r="I20" s="514"/>
      <c r="J20" s="180"/>
      <c r="K20" s="180"/>
      <c r="L20" s="180"/>
      <c r="M20" s="180"/>
      <c r="N20" s="446"/>
      <c r="O20" s="180"/>
      <c r="P20" s="480"/>
      <c r="Q20" s="363"/>
      <c r="R20" s="480"/>
      <c r="S20" s="480"/>
      <c r="T20" s="480"/>
      <c r="U20" s="497" t="str">
        <f aca="false">IF(RIGHT(Nb_diam,1)=",", "", l_r)</f>
        <v/>
      </c>
    </row>
    <row r="21" customFormat="false" ht="12.75" hidden="false" customHeight="false" outlineLevel="0" collapsed="false">
      <c r="B21" s="240"/>
      <c r="C21" s="363"/>
      <c r="D21" s="171"/>
      <c r="E21" s="515"/>
      <c r="F21" s="164"/>
      <c r="G21" s="171"/>
      <c r="H21" s="514"/>
      <c r="I21" s="514"/>
      <c r="J21" s="180"/>
      <c r="K21" s="180"/>
      <c r="L21" s="180"/>
      <c r="M21" s="180"/>
      <c r="N21" s="446"/>
      <c r="O21" s="487"/>
      <c r="P21" s="363"/>
      <c r="Q21" s="480"/>
      <c r="R21" s="480"/>
      <c r="S21" s="480"/>
      <c r="T21" s="516"/>
      <c r="U21" s="363"/>
    </row>
    <row r="22" customFormat="false" ht="12.75" hidden="false" customHeight="false" outlineLevel="0" collapsed="false">
      <c r="B22" s="240"/>
      <c r="C22" s="517" t="s">
        <v>441</v>
      </c>
      <c r="D22" s="517" t="s">
        <v>442</v>
      </c>
      <c r="E22" s="518"/>
      <c r="F22" s="519" t="s">
        <v>443</v>
      </c>
      <c r="G22" s="517" t="s">
        <v>444</v>
      </c>
      <c r="I22" s="520"/>
      <c r="J22" s="521" t="s">
        <v>3</v>
      </c>
      <c r="K22" s="517" t="s">
        <v>4</v>
      </c>
      <c r="N22" s="446"/>
      <c r="O22" s="487"/>
      <c r="P22" s="363"/>
      <c r="Q22" s="480"/>
      <c r="R22" s="480"/>
      <c r="S22" s="480"/>
      <c r="T22" s="516"/>
      <c r="U22" s="363"/>
    </row>
    <row r="23" customFormat="false" ht="12.75" hidden="false" customHeight="false" outlineLevel="0" collapsed="false">
      <c r="B23" s="240"/>
      <c r="C23" s="517" t="s">
        <v>445</v>
      </c>
      <c r="D23" s="518" t="n">
        <f aca="false">XcgSans</f>
        <v>800</v>
      </c>
      <c r="E23" s="518" t="s">
        <v>175</v>
      </c>
      <c r="F23" s="519" t="n">
        <f aca="false">m_ail</f>
        <v>109</v>
      </c>
      <c r="G23" s="517" t="n">
        <f aca="false">m_can</f>
        <v>70</v>
      </c>
      <c r="I23" s="520" t="s">
        <v>446</v>
      </c>
      <c r="J23" s="519" t="n">
        <f aca="false">l_j</f>
        <v>50</v>
      </c>
      <c r="K23" s="517" t="n">
        <f aca="false">l_r</f>
        <v>50</v>
      </c>
      <c r="N23" s="446"/>
      <c r="O23" s="487"/>
      <c r="P23" s="363"/>
      <c r="Q23" s="480"/>
      <c r="R23" s="480"/>
      <c r="S23" s="480"/>
      <c r="T23" s="516"/>
      <c r="U23" s="363"/>
    </row>
    <row r="24" customFormat="false" ht="12.75" hidden="false" customHeight="false" outlineLevel="0" collapsed="false">
      <c r="B24" s="240"/>
      <c r="C24" s="517" t="s">
        <v>447</v>
      </c>
      <c r="D24" s="517" t="n">
        <f aca="false">Long_tot</f>
        <v>1200</v>
      </c>
      <c r="E24" s="518" t="s">
        <v>448</v>
      </c>
      <c r="F24" s="519" t="n">
        <f aca="false">n_ail</f>
        <v>59</v>
      </c>
      <c r="G24" s="517" t="n">
        <f aca="false">n_can</f>
        <v>10</v>
      </c>
      <c r="I24" s="520" t="s">
        <v>449</v>
      </c>
      <c r="J24" s="519" t="n">
        <f aca="false">D1j</f>
        <v>59</v>
      </c>
      <c r="K24" s="517" t="n">
        <f aca="false">D1r</f>
        <v>80</v>
      </c>
      <c r="N24" s="446"/>
      <c r="O24" s="487"/>
      <c r="P24" s="363"/>
      <c r="Q24" s="480"/>
      <c r="R24" s="480"/>
      <c r="S24" s="480"/>
      <c r="T24" s="516"/>
      <c r="U24" s="363"/>
    </row>
    <row r="25" customFormat="false" ht="12.75" hidden="false" customHeight="false" outlineLevel="0" collapsed="false">
      <c r="B25" s="240"/>
      <c r="C25" s="517" t="s">
        <v>450</v>
      </c>
      <c r="D25" s="517" t="n">
        <f aca="false">XpropuRef</f>
        <v>1200</v>
      </c>
      <c r="E25" s="518" t="s">
        <v>451</v>
      </c>
      <c r="F25" s="519" t="n">
        <f aca="false">p_ail</f>
        <v>109</v>
      </c>
      <c r="G25" s="517" t="n">
        <f aca="false">p_can</f>
        <v>40</v>
      </c>
      <c r="I25" s="520" t="s">
        <v>452</v>
      </c>
      <c r="J25" s="519" t="n">
        <f aca="false">D2j</f>
        <v>80</v>
      </c>
      <c r="K25" s="517" t="n">
        <f aca="false">D2r</f>
        <v>59</v>
      </c>
      <c r="N25" s="446"/>
      <c r="O25" s="487"/>
      <c r="P25" s="363"/>
      <c r="Q25" s="480"/>
      <c r="R25" s="480"/>
      <c r="S25" s="480"/>
      <c r="T25" s="516"/>
      <c r="U25" s="363"/>
    </row>
    <row r="26" customFormat="false" ht="12.75" hidden="false" customHeight="false" outlineLevel="0" collapsed="false">
      <c r="B26" s="240"/>
      <c r="C26" s="517" t="s">
        <v>453</v>
      </c>
      <c r="D26" s="517" t="n">
        <f aca="false">D_ref</f>
        <v>59</v>
      </c>
      <c r="E26" s="518" t="s">
        <v>454</v>
      </c>
      <c r="F26" s="519" t="n">
        <f aca="false">E_ail</f>
        <v>99</v>
      </c>
      <c r="G26" s="517" t="n">
        <f aca="false">E_can</f>
        <v>50</v>
      </c>
      <c r="I26" s="520" t="s">
        <v>455</v>
      </c>
      <c r="J26" s="519" t="n">
        <f aca="false">X_j</f>
        <v>300</v>
      </c>
      <c r="K26" s="517" t="n">
        <f aca="false">X_r</f>
        <v>500</v>
      </c>
      <c r="N26" s="446"/>
      <c r="O26" s="487"/>
      <c r="P26" s="363"/>
      <c r="Q26" s="480"/>
      <c r="R26" s="480"/>
      <c r="S26" s="480"/>
      <c r="T26" s="516"/>
      <c r="U26" s="363"/>
    </row>
    <row r="27" customFormat="false" ht="12.75" hidden="false" customHeight="false" outlineLevel="0" collapsed="false">
      <c r="B27" s="240"/>
      <c r="C27" s="517" t="s">
        <v>456</v>
      </c>
      <c r="D27" s="517" t="n">
        <f aca="false">Long_ogive</f>
        <v>199</v>
      </c>
      <c r="E27" s="518" t="s">
        <v>457</v>
      </c>
      <c r="F27" s="519" t="n">
        <f aca="false">X_ail</f>
        <v>1200</v>
      </c>
      <c r="G27" s="517" t="n">
        <f aca="false">X_can</f>
        <v>700</v>
      </c>
      <c r="H27" s="514"/>
      <c r="I27" s="164"/>
      <c r="J27" s="161"/>
      <c r="N27" s="446"/>
      <c r="O27" s="487"/>
      <c r="P27" s="363"/>
      <c r="Q27" s="480"/>
      <c r="R27" s="480"/>
      <c r="S27" s="480"/>
      <c r="T27" s="516"/>
      <c r="U27" s="363"/>
    </row>
    <row r="28" customFormat="false" ht="13.5" hidden="false" customHeight="false" outlineLevel="0" collapsed="false">
      <c r="B28" s="240"/>
      <c r="C28" s="180"/>
      <c r="D28" s="180"/>
      <c r="E28" s="522"/>
      <c r="F28" s="180"/>
      <c r="G28" s="180"/>
      <c r="H28" s="180"/>
      <c r="I28" s="180"/>
      <c r="J28" s="180"/>
      <c r="K28" s="180"/>
      <c r="L28" s="180"/>
      <c r="M28" s="180"/>
      <c r="N28" s="446"/>
      <c r="O28" s="161"/>
      <c r="P28" s="171"/>
      <c r="Q28" s="161"/>
      <c r="R28" s="480"/>
      <c r="S28" s="480"/>
      <c r="T28" s="480"/>
      <c r="U28" s="363"/>
    </row>
    <row r="29" customFormat="false" ht="13.5" hidden="false" customHeight="false" outlineLevel="0" collapsed="false">
      <c r="B29" s="240"/>
      <c r="C29" s="523" t="s">
        <v>458</v>
      </c>
      <c r="D29" s="523" t="s">
        <v>459</v>
      </c>
      <c r="E29" s="523" t="s">
        <v>460</v>
      </c>
      <c r="F29" s="523"/>
      <c r="G29" s="523"/>
      <c r="H29" s="524" t="s">
        <v>461</v>
      </c>
      <c r="I29" s="524"/>
      <c r="J29" s="524"/>
      <c r="K29" s="524"/>
      <c r="L29" s="523" t="s">
        <v>462</v>
      </c>
      <c r="M29" s="523" t="s">
        <v>463</v>
      </c>
      <c r="N29" s="446"/>
      <c r="O29" s="487" t="s">
        <v>464</v>
      </c>
      <c r="P29" s="488" t="n">
        <f aca="false">n_ail</f>
        <v>59</v>
      </c>
      <c r="Q29" s="161"/>
      <c r="R29" s="480"/>
      <c r="S29" s="480"/>
      <c r="T29" s="480"/>
      <c r="U29" s="363" t="s">
        <v>465</v>
      </c>
    </row>
    <row r="30" customFormat="false" ht="13.5" hidden="false" customHeight="false" outlineLevel="0" collapsed="false">
      <c r="B30" s="240"/>
      <c r="C30" s="523"/>
      <c r="D30" s="523"/>
      <c r="E30" s="523"/>
      <c r="F30" s="523"/>
      <c r="G30" s="523"/>
      <c r="H30" s="524" t="s">
        <v>466</v>
      </c>
      <c r="I30" s="524"/>
      <c r="J30" s="524" t="s">
        <v>467</v>
      </c>
      <c r="K30" s="525" t="s">
        <v>468</v>
      </c>
      <c r="L30" s="523"/>
      <c r="M30" s="523"/>
      <c r="N30" s="446"/>
      <c r="P30" s="363"/>
      <c r="R30" s="480"/>
      <c r="S30" s="480"/>
      <c r="T30" s="505" t="s">
        <v>469</v>
      </c>
      <c r="U30" s="497" t="n">
        <f aca="false">p_can</f>
        <v>40</v>
      </c>
    </row>
    <row r="31" customFormat="false" ht="13.5" hidden="false" customHeight="false" outlineLevel="0" collapsed="false">
      <c r="B31" s="240"/>
      <c r="C31" s="526" t="n">
        <f aca="false">Beta_rampe</f>
        <v>80</v>
      </c>
      <c r="D31" s="527" t="n">
        <f aca="false">Portee_balistique</f>
        <v>211.791153319536</v>
      </c>
      <c r="E31" s="528" t="n">
        <f aca="false">T_para+Dt_para</f>
        <v>37.3784970828171</v>
      </c>
      <c r="F31" s="528"/>
      <c r="G31" s="528"/>
      <c r="H31" s="529" t="n">
        <f aca="false">Altitude_culmi</f>
        <v>315.77942584937</v>
      </c>
      <c r="I31" s="529"/>
      <c r="J31" s="528" t="n">
        <f aca="false">Temps_culmi</f>
        <v>7.99999999999999</v>
      </c>
      <c r="K31" s="530" t="n">
        <f aca="false">Vit_culmi</f>
        <v>13.1952141491521</v>
      </c>
      <c r="L31" s="527" t="n">
        <f aca="false">Acc_max</f>
        <v>144.450610706871</v>
      </c>
      <c r="M31" s="530" t="n">
        <f aca="false">Vit_max</f>
        <v>81.6261368570002</v>
      </c>
      <c r="N31" s="446"/>
      <c r="O31" s="487" t="s">
        <v>470</v>
      </c>
      <c r="P31" s="488" t="n">
        <f aca="false">ep_ail</f>
        <v>2</v>
      </c>
      <c r="Q31" s="161"/>
      <c r="R31" s="480"/>
      <c r="S31" s="480"/>
      <c r="T31" s="505" t="s">
        <v>471</v>
      </c>
      <c r="U31" s="497" t="n">
        <f aca="false">m_can</f>
        <v>70</v>
      </c>
    </row>
    <row r="32" customFormat="false" ht="13.5" hidden="false" customHeight="false" outlineLevel="0" collapsed="false">
      <c r="B32" s="240"/>
      <c r="C32" s="531"/>
      <c r="D32" s="532"/>
      <c r="E32" s="501"/>
      <c r="F32" s="501"/>
      <c r="G32" s="501"/>
      <c r="H32" s="533"/>
      <c r="I32" s="533"/>
      <c r="J32" s="501"/>
      <c r="K32" s="534"/>
      <c r="L32" s="532"/>
      <c r="M32" s="534"/>
      <c r="N32" s="446"/>
      <c r="O32" s="487" t="s">
        <v>472</v>
      </c>
      <c r="P32" s="535" t="n">
        <f aca="false">Q_ail</f>
        <v>4</v>
      </c>
      <c r="Q32" s="161"/>
      <c r="R32" s="480"/>
      <c r="S32" s="480"/>
      <c r="T32" s="505" t="s">
        <v>464</v>
      </c>
      <c r="U32" s="497" t="n">
        <f aca="false">n_can</f>
        <v>10</v>
      </c>
    </row>
    <row r="33" customFormat="false" ht="13.5" hidden="false" customHeight="false" outlineLevel="0" collapsed="false">
      <c r="B33" s="240"/>
      <c r="C33" s="180"/>
      <c r="D33" s="536"/>
      <c r="E33" s="537"/>
      <c r="F33" s="537"/>
      <c r="G33" s="537"/>
      <c r="H33" s="538"/>
      <c r="I33" s="538"/>
      <c r="J33" s="537"/>
      <c r="K33" s="539"/>
      <c r="L33" s="536"/>
      <c r="M33" s="539"/>
      <c r="N33" s="446"/>
      <c r="O33" s="161"/>
      <c r="Q33" s="161"/>
      <c r="R33" s="480"/>
      <c r="S33" s="480"/>
      <c r="T33" s="505" t="s">
        <v>473</v>
      </c>
      <c r="U33" s="497" t="n">
        <f aca="false">E_can</f>
        <v>50</v>
      </c>
    </row>
    <row r="34" customFormat="false" ht="13.5" hidden="false" customHeight="false" outlineLevel="0" collapsed="false">
      <c r="B34" s="451"/>
      <c r="C34" s="452"/>
      <c r="D34" s="540"/>
      <c r="E34" s="540"/>
      <c r="F34" s="540"/>
      <c r="G34" s="540"/>
      <c r="H34" s="540"/>
      <c r="I34" s="540"/>
      <c r="J34" s="540"/>
      <c r="K34" s="540"/>
      <c r="L34" s="540"/>
      <c r="M34" s="540"/>
      <c r="N34" s="453"/>
      <c r="O34" s="161"/>
      <c r="P34" s="487" t="s">
        <v>473</v>
      </c>
      <c r="Q34" s="488" t="n">
        <f aca="false">E_ail</f>
        <v>99</v>
      </c>
      <c r="T34" s="505" t="s">
        <v>470</v>
      </c>
      <c r="U34" s="497" t="n">
        <f aca="false">ep_can</f>
        <v>2</v>
      </c>
    </row>
    <row r="35" customFormat="false" ht="12.75" hidden="false" customHeight="false" outlineLevel="0" collapsed="false">
      <c r="B35" s="180"/>
      <c r="C35" s="180"/>
      <c r="D35" s="480"/>
      <c r="E35" s="480"/>
      <c r="F35" s="480"/>
      <c r="G35" s="480"/>
      <c r="H35" s="480"/>
      <c r="I35" s="480"/>
      <c r="J35" s="480"/>
      <c r="K35" s="480"/>
      <c r="L35" s="480"/>
      <c r="M35" s="480"/>
      <c r="N35" s="180"/>
      <c r="O35" s="161"/>
      <c r="P35" s="171"/>
      <c r="Q35" s="171"/>
      <c r="R35" s="180"/>
      <c r="S35" s="180"/>
      <c r="T35" s="505" t="s">
        <v>472</v>
      </c>
      <c r="U35" s="497" t="n">
        <f aca="false">Q_can</f>
        <v>4</v>
      </c>
    </row>
    <row r="36" customFormat="false" ht="13.5" hidden="false" customHeight="false" outlineLevel="0" collapsed="false">
      <c r="T36" s="161"/>
      <c r="U36" s="363"/>
    </row>
    <row r="37" customFormat="false" ht="12.75" hidden="false" customHeight="false" outlineLevel="0" collapsed="false">
      <c r="B37" s="486"/>
      <c r="C37" s="444"/>
      <c r="D37" s="444"/>
      <c r="E37" s="444"/>
      <c r="F37" s="444"/>
      <c r="G37" s="444"/>
      <c r="H37" s="444"/>
      <c r="I37" s="444"/>
      <c r="J37" s="444"/>
      <c r="K37" s="444"/>
      <c r="L37" s="444"/>
      <c r="M37" s="444"/>
      <c r="N37" s="445"/>
      <c r="T37" s="161"/>
    </row>
    <row r="38" customFormat="false" ht="12.75" hidden="false" customHeight="false" outlineLevel="0" collapsed="false">
      <c r="B38" s="240"/>
      <c r="C38" s="180"/>
      <c r="D38" s="161" t="s">
        <v>474</v>
      </c>
      <c r="E38" s="180"/>
      <c r="F38" s="180"/>
      <c r="G38" s="180"/>
      <c r="H38" s="180"/>
      <c r="I38" s="180"/>
      <c r="J38" s="180"/>
      <c r="K38" s="180"/>
      <c r="L38" s="180"/>
      <c r="M38" s="180"/>
      <c r="N38" s="446"/>
    </row>
    <row r="39" customFormat="false" ht="12.75" hidden="false" customHeight="false" outlineLevel="0" collapsed="false">
      <c r="B39" s="240"/>
      <c r="C39" s="180"/>
      <c r="D39" s="161"/>
      <c r="E39" s="180"/>
      <c r="F39" s="180"/>
      <c r="G39" s="180"/>
      <c r="H39" s="180"/>
      <c r="I39" s="180"/>
      <c r="J39" s="180"/>
      <c r="K39" s="180"/>
      <c r="L39" s="180"/>
      <c r="M39" s="180"/>
      <c r="N39" s="446"/>
    </row>
    <row r="40" customFormat="false" ht="12.75" hidden="false" customHeight="false" outlineLevel="0" collapsed="false">
      <c r="B40" s="240"/>
      <c r="C40" s="180"/>
      <c r="D40" s="492" t="s">
        <v>475</v>
      </c>
      <c r="E40" s="494" t="n">
        <f aca="false">D_ref</f>
        <v>59</v>
      </c>
      <c r="F40" s="541"/>
      <c r="G40" s="541"/>
      <c r="H40" s="370" t="s">
        <v>476</v>
      </c>
      <c r="I40" s="370" t="s">
        <v>477</v>
      </c>
      <c r="J40" s="542" t="s">
        <v>478</v>
      </c>
      <c r="K40" s="180"/>
      <c r="L40" s="180"/>
      <c r="M40" s="180"/>
      <c r="N40" s="446"/>
    </row>
    <row r="41" customFormat="false" ht="12.75" hidden="false" customHeight="false" outlineLevel="0" collapsed="false">
      <c r="B41" s="240"/>
      <c r="C41" s="180"/>
      <c r="D41" s="498" t="s">
        <v>479</v>
      </c>
      <c r="E41" s="171" t="n">
        <f aca="false">Long_ogive</f>
        <v>199</v>
      </c>
      <c r="F41" s="161"/>
      <c r="G41" s="161" t="s">
        <v>480</v>
      </c>
      <c r="H41" s="171" t="n">
        <f aca="false">MasseSans</f>
        <v>1.4</v>
      </c>
      <c r="I41" s="171" t="n">
        <f aca="false">MasseVide</f>
        <v>1.4843</v>
      </c>
      <c r="J41" s="499" t="n">
        <f aca="false">MassePlein</f>
        <v>1.5599</v>
      </c>
      <c r="K41" s="180"/>
      <c r="L41" s="180"/>
      <c r="M41" s="180"/>
      <c r="N41" s="446"/>
    </row>
    <row r="42" customFormat="false" ht="12.75" hidden="false" customHeight="false" outlineLevel="0" collapsed="false">
      <c r="B42" s="240"/>
      <c r="C42" s="180"/>
      <c r="D42" s="498" t="s">
        <v>481</v>
      </c>
      <c r="E42" s="171" t="n">
        <f aca="false">X_ail-m_ail</f>
        <v>1091</v>
      </c>
      <c r="F42" s="543"/>
      <c r="G42" s="543" t="s">
        <v>482</v>
      </c>
      <c r="H42" s="515" t="n">
        <f aca="false">XcgSans</f>
        <v>800</v>
      </c>
      <c r="I42" s="515" t="n">
        <f aca="false">XcgVide</f>
        <v>816.243212288621</v>
      </c>
      <c r="J42" s="544" t="n">
        <f aca="false">XcgPlein</f>
        <v>829.316879287134</v>
      </c>
      <c r="K42" s="180"/>
      <c r="L42" s="180"/>
      <c r="M42" s="180"/>
      <c r="N42" s="446"/>
    </row>
    <row r="43" customFormat="false" ht="12.75" hidden="false" customHeight="false" outlineLevel="0" collapsed="false">
      <c r="B43" s="240"/>
      <c r="C43" s="180"/>
      <c r="D43" s="498" t="str">
        <f aca="false">IF(Lang="Français","Emplanture 'm'",IF(Lang="English","Root edge  'm'",""))</f>
        <v>Emplanture 'm'</v>
      </c>
      <c r="E43" s="499" t="n">
        <f aca="false">m_ail</f>
        <v>109</v>
      </c>
      <c r="F43" s="180"/>
      <c r="G43" s="180"/>
      <c r="H43" s="180"/>
      <c r="I43" s="180"/>
      <c r="J43" s="180"/>
      <c r="K43" s="180"/>
      <c r="L43" s="180"/>
      <c r="M43" s="180"/>
      <c r="N43" s="446"/>
    </row>
    <row r="44" customFormat="false" ht="12.75" hidden="false" customHeight="false" outlineLevel="0" collapsed="false">
      <c r="B44" s="240"/>
      <c r="C44" s="180"/>
      <c r="D44" s="498" t="str">
        <f aca="false">IF(Lang="Français","Saumon      'n'",IF(Lang="English","Tip edge    'n'",""))</f>
        <v>Saumon      'n'</v>
      </c>
      <c r="E44" s="499" t="n">
        <f aca="false">n_ail</f>
        <v>59</v>
      </c>
      <c r="F44" s="494" t="s">
        <v>483</v>
      </c>
      <c r="G44" s="494" t="s">
        <v>484</v>
      </c>
      <c r="H44" s="495" t="n">
        <f aca="false">Vsortie_de_rampe</f>
        <v>23.6096320586357</v>
      </c>
      <c r="I44" s="495"/>
      <c r="J44" s="180"/>
      <c r="K44" s="180"/>
      <c r="L44" s="180"/>
      <c r="M44" s="180"/>
      <c r="N44" s="446"/>
    </row>
    <row r="45" customFormat="false" ht="12.75" hidden="false" customHeight="false" outlineLevel="0" collapsed="false">
      <c r="B45" s="240"/>
      <c r="C45" s="180"/>
      <c r="D45" s="498" t="str">
        <f aca="false">IF(Lang="Français","Flèche        'p'",IF(Lang="English","Offset         'p'",""))</f>
        <v>Flèche        'p'</v>
      </c>
      <c r="E45" s="499" t="n">
        <f aca="false">p_ail</f>
        <v>109</v>
      </c>
      <c r="F45" s="171" t="s">
        <v>485</v>
      </c>
      <c r="G45" s="171" t="s">
        <v>486</v>
      </c>
      <c r="H45" s="500" t="n">
        <f aca="false">Finesse</f>
        <v>20.3389830508475</v>
      </c>
      <c r="I45" s="500"/>
      <c r="J45" s="180"/>
      <c r="K45" s="180"/>
      <c r="L45" s="180"/>
      <c r="M45" s="180"/>
      <c r="N45" s="446"/>
    </row>
    <row r="46" customFormat="false" ht="12.75" hidden="false" customHeight="false" outlineLevel="0" collapsed="false">
      <c r="B46" s="240"/>
      <c r="C46" s="180"/>
      <c r="D46" s="498" t="str">
        <f aca="false">IF(Lang="Français","Envergure   'E'",IF(Lang="English","Span          'E'",""))</f>
        <v>Envergure   'E'</v>
      </c>
      <c r="E46" s="499" t="n">
        <f aca="false">E_ail</f>
        <v>99</v>
      </c>
      <c r="F46" s="171" t="s">
        <v>487</v>
      </c>
      <c r="G46" s="171" t="s">
        <v>488</v>
      </c>
      <c r="H46" s="500" t="n">
        <f aca="false">Cn</f>
        <v>21.4975242818324</v>
      </c>
      <c r="I46" s="500"/>
      <c r="J46" s="180"/>
      <c r="K46" s="180"/>
      <c r="L46" s="180"/>
      <c r="M46" s="180"/>
      <c r="N46" s="446"/>
    </row>
    <row r="47" customFormat="false" ht="12.75" hidden="false" customHeight="false" outlineLevel="0" collapsed="false">
      <c r="B47" s="240"/>
      <c r="C47" s="180"/>
      <c r="D47" s="498" t="s">
        <v>429</v>
      </c>
      <c r="E47" s="499" t="n">
        <f aca="false">ep_ail</f>
        <v>2</v>
      </c>
      <c r="F47" s="171" t="s">
        <v>489</v>
      </c>
      <c r="G47" s="171" t="s">
        <v>490</v>
      </c>
      <c r="H47" s="501" t="n">
        <f aca="false">MS_min</f>
        <v>3.94843001324688</v>
      </c>
      <c r="I47" s="502" t="n">
        <f aca="false">MS_max</f>
        <v>4.17001758949287</v>
      </c>
      <c r="J47" s="180"/>
      <c r="K47" s="180"/>
      <c r="L47" s="180"/>
      <c r="M47" s="180"/>
      <c r="N47" s="446"/>
    </row>
    <row r="48" customFormat="false" ht="12.75" hidden="false" customHeight="false" outlineLevel="0" collapsed="false">
      <c r="B48" s="240"/>
      <c r="C48" s="180"/>
      <c r="D48" s="498" t="s">
        <v>431</v>
      </c>
      <c r="E48" s="499" t="n">
        <f aca="false">Q_ail</f>
        <v>4</v>
      </c>
      <c r="F48" s="512" t="s">
        <v>491</v>
      </c>
      <c r="G48" s="512" t="s">
        <v>492</v>
      </c>
      <c r="H48" s="545" t="n">
        <f aca="false">MS_Cn_min</f>
        <v>84.8814700848907</v>
      </c>
      <c r="I48" s="546" t="n">
        <f aca="false">MS_Cn_max</f>
        <v>89.6450543857911</v>
      </c>
      <c r="J48" s="180"/>
      <c r="K48" s="180"/>
      <c r="L48" s="180"/>
      <c r="M48" s="180"/>
      <c r="N48" s="446"/>
    </row>
    <row r="49" customFormat="false" ht="12.75" hidden="false" customHeight="false" outlineLevel="0" collapsed="false">
      <c r="B49" s="240"/>
      <c r="C49" s="180"/>
      <c r="D49" s="498" t="s">
        <v>437</v>
      </c>
      <c r="E49" s="499" t="n">
        <f aca="false">XpropuRef-Long_propu</f>
        <v>972</v>
      </c>
      <c r="F49" s="180"/>
      <c r="G49" s="180"/>
      <c r="H49" s="180"/>
      <c r="I49" s="180"/>
      <c r="J49" s="180"/>
      <c r="K49" s="180"/>
      <c r="L49" s="180"/>
      <c r="M49" s="180"/>
      <c r="N49" s="446"/>
    </row>
    <row r="50" customFormat="false" ht="12.75" hidden="false" customHeight="false" outlineLevel="0" collapsed="false">
      <c r="B50" s="240"/>
      <c r="C50" s="180"/>
      <c r="D50" s="498" t="s">
        <v>420</v>
      </c>
      <c r="E50" s="503" t="str">
        <f aca="false">Forme_ogive</f>
        <v>Ogivale (pointue)</v>
      </c>
      <c r="F50" s="487" t="s">
        <v>93</v>
      </c>
      <c r="G50" s="492" t="s">
        <v>159</v>
      </c>
      <c r="H50" s="494" t="n">
        <f aca="false">Cx</f>
        <v>0.5</v>
      </c>
      <c r="I50" s="541"/>
      <c r="J50" s="547"/>
      <c r="K50" s="180"/>
      <c r="L50" s="180"/>
      <c r="M50" s="180"/>
      <c r="N50" s="446"/>
    </row>
    <row r="51" customFormat="false" ht="12.75" hidden="false" customHeight="false" outlineLevel="0" collapsed="false">
      <c r="B51" s="240"/>
      <c r="C51" s="180"/>
      <c r="D51" s="498" t="s">
        <v>493</v>
      </c>
      <c r="E51" s="499" t="n">
        <f aca="false">Long_tot</f>
        <v>1200</v>
      </c>
      <c r="F51" s="180"/>
      <c r="G51" s="498" t="s">
        <v>494</v>
      </c>
      <c r="H51" s="171" t="n">
        <f aca="false">Sref</f>
        <v>0.00352597100678652</v>
      </c>
      <c r="I51" s="180"/>
      <c r="J51" s="548"/>
      <c r="K51" s="180"/>
      <c r="L51" s="180"/>
      <c r="M51" s="180"/>
      <c r="N51" s="446"/>
    </row>
    <row r="52" customFormat="false" ht="12.75" hidden="false" customHeight="false" outlineLevel="0" collapsed="false">
      <c r="B52" s="240"/>
      <c r="C52" s="180"/>
      <c r="D52" s="498" t="s">
        <v>495</v>
      </c>
      <c r="E52" s="499" t="n">
        <f aca="false">MAX(D_ref,D_ail,D_og,(RIGHT(Nb_diam,1)=",")*MAX(D1j,D1r,D2j,D2r))</f>
        <v>80</v>
      </c>
      <c r="F52" s="180"/>
      <c r="G52" s="498" t="s">
        <v>496</v>
      </c>
      <c r="H52" s="171" t="n">
        <f aca="false">Beta_rampe</f>
        <v>80</v>
      </c>
      <c r="I52" s="171" t="n">
        <v>80</v>
      </c>
      <c r="J52" s="499" t="n">
        <v>90</v>
      </c>
      <c r="K52" s="180"/>
      <c r="L52" s="180"/>
      <c r="M52" s="180"/>
      <c r="N52" s="446"/>
    </row>
    <row r="53" customFormat="false" ht="12.75" hidden="false" customHeight="false" outlineLevel="0" collapsed="false">
      <c r="B53" s="240"/>
      <c r="C53" s="180"/>
      <c r="D53" s="549" t="s">
        <v>497</v>
      </c>
      <c r="E53" s="550" t="n">
        <f aca="false">E_ail*2+D_ail</f>
        <v>257</v>
      </c>
      <c r="F53" s="180"/>
      <c r="G53" s="551" t="s">
        <v>498</v>
      </c>
      <c r="H53" s="501" t="n">
        <f aca="false">Temps_culmi</f>
        <v>7.99999999999999</v>
      </c>
      <c r="I53" s="552"/>
      <c r="J53" s="553"/>
      <c r="K53" s="180"/>
      <c r="L53" s="180"/>
      <c r="M53" s="180"/>
      <c r="N53" s="446"/>
    </row>
    <row r="54" customFormat="false" ht="12.75" hidden="false" customHeight="false" outlineLevel="0" collapsed="false">
      <c r="B54" s="240"/>
      <c r="C54" s="180"/>
      <c r="D54" s="180"/>
      <c r="E54" s="180"/>
      <c r="F54" s="180"/>
      <c r="G54" s="551" t="s">
        <v>499</v>
      </c>
      <c r="H54" s="532" t="n">
        <f aca="false">Altitude_culmi</f>
        <v>315.77942584937</v>
      </c>
      <c r="I54" s="552"/>
      <c r="J54" s="553"/>
      <c r="K54" s="180"/>
      <c r="L54" s="180"/>
      <c r="M54" s="180"/>
      <c r="N54" s="446"/>
    </row>
    <row r="55" customFormat="false" ht="12.75" hidden="false" customHeight="false" outlineLevel="0" collapsed="false">
      <c r="B55" s="240"/>
      <c r="C55" s="492" t="s">
        <v>500</v>
      </c>
      <c r="D55" s="554" t="s">
        <v>219</v>
      </c>
      <c r="E55" s="493" t="n">
        <f aca="false">Long_tot</f>
        <v>1200</v>
      </c>
      <c r="F55" s="180"/>
      <c r="G55" s="551" t="s">
        <v>501</v>
      </c>
      <c r="H55" s="534" t="n">
        <f aca="false">Vit_culmi</f>
        <v>13.1952141491521</v>
      </c>
      <c r="I55" s="552"/>
      <c r="J55" s="553"/>
      <c r="K55" s="180"/>
      <c r="L55" s="180"/>
      <c r="M55" s="180"/>
      <c r="N55" s="446"/>
    </row>
    <row r="56" customFormat="false" ht="12.75" hidden="false" customHeight="false" outlineLevel="0" collapsed="false">
      <c r="B56" s="240"/>
      <c r="C56" s="498"/>
      <c r="D56" s="161" t="s">
        <v>502</v>
      </c>
      <c r="E56" s="499" t="n">
        <f aca="false">MAX(D_ref,D_ail,D_og,(RIGHT(Nb_diam,1)=",")*MAX(D1j,D1r,D2j,D2r))</f>
        <v>80</v>
      </c>
      <c r="F56" s="180"/>
      <c r="G56" s="551" t="s">
        <v>459</v>
      </c>
      <c r="H56" s="532" t="n">
        <f aca="false">Portee_balistique</f>
        <v>211.791153319536</v>
      </c>
      <c r="I56" s="552"/>
      <c r="J56" s="553"/>
      <c r="K56" s="180"/>
      <c r="L56" s="180"/>
      <c r="M56" s="180"/>
      <c r="N56" s="446"/>
    </row>
    <row r="57" customFormat="false" ht="12.75" hidden="false" customHeight="false" outlineLevel="0" collapsed="false">
      <c r="B57" s="240"/>
      <c r="C57" s="498"/>
      <c r="D57" s="161" t="s">
        <v>503</v>
      </c>
      <c r="E57" s="499" t="n">
        <f aca="false">E_ail*2+D_ail</f>
        <v>257</v>
      </c>
      <c r="F57" s="180"/>
      <c r="G57" s="551" t="s">
        <v>504</v>
      </c>
      <c r="H57" s="532" t="n">
        <f aca="false">T_balistique</f>
        <v>16.5</v>
      </c>
      <c r="I57" s="552"/>
      <c r="J57" s="553"/>
      <c r="K57" s="180"/>
      <c r="L57" s="180"/>
      <c r="M57" s="180"/>
      <c r="N57" s="446"/>
    </row>
    <row r="58" customFormat="false" ht="12.75" hidden="false" customHeight="false" outlineLevel="0" collapsed="false">
      <c r="B58" s="240"/>
      <c r="C58" s="498"/>
      <c r="D58" s="161" t="s">
        <v>505</v>
      </c>
      <c r="E58" s="499" t="n">
        <f aca="false">MassePlein</f>
        <v>1.5599</v>
      </c>
      <c r="F58" s="180"/>
      <c r="G58" s="551" t="s">
        <v>463</v>
      </c>
      <c r="H58" s="534" t="n">
        <f aca="false">Vit_max</f>
        <v>81.6261368570002</v>
      </c>
      <c r="I58" s="552"/>
      <c r="J58" s="553"/>
      <c r="K58" s="180"/>
      <c r="L58" s="180"/>
      <c r="M58" s="180"/>
      <c r="N58" s="446"/>
    </row>
    <row r="59" customFormat="false" ht="12.75" hidden="false" customHeight="false" outlineLevel="0" collapsed="false">
      <c r="B59" s="240"/>
      <c r="C59" s="549" t="s">
        <v>506</v>
      </c>
      <c r="D59" s="543" t="s">
        <v>431</v>
      </c>
      <c r="E59" s="550" t="n">
        <f aca="false">Q_ail</f>
        <v>4</v>
      </c>
      <c r="F59" s="180"/>
      <c r="G59" s="551" t="s">
        <v>462</v>
      </c>
      <c r="H59" s="532" t="n">
        <f aca="false">Acc_max</f>
        <v>144.450610706871</v>
      </c>
      <c r="I59" s="552"/>
      <c r="J59" s="553"/>
      <c r="K59" s="180"/>
      <c r="L59" s="180"/>
      <c r="M59" s="180"/>
      <c r="N59" s="446"/>
    </row>
    <row r="60" customFormat="false" ht="12" hidden="false" customHeight="false" outlineLevel="0" collapsed="false">
      <c r="B60" s="240"/>
      <c r="C60" s="491"/>
      <c r="D60" s="180"/>
      <c r="E60" s="180"/>
      <c r="F60" s="180"/>
      <c r="G60" s="509" t="s">
        <v>507</v>
      </c>
      <c r="H60" s="555"/>
      <c r="I60" s="555"/>
      <c r="J60" s="510"/>
      <c r="K60" s="180"/>
      <c r="L60" s="180"/>
      <c r="M60" s="180"/>
      <c r="N60" s="446"/>
    </row>
    <row r="61" customFormat="false" ht="12.75" hidden="false" customHeight="false" outlineLevel="0" collapsed="false">
      <c r="B61" s="240"/>
      <c r="C61" s="492"/>
      <c r="D61" s="554"/>
      <c r="E61" s="494" t="s">
        <v>330</v>
      </c>
      <c r="F61" s="493" t="s">
        <v>332</v>
      </c>
      <c r="G61" s="477"/>
      <c r="H61" s="477"/>
      <c r="I61" s="477"/>
      <c r="J61" s="477"/>
      <c r="K61" s="161"/>
      <c r="L61" s="180"/>
      <c r="M61" s="180"/>
      <c r="N61" s="446"/>
    </row>
    <row r="62" customFormat="false" ht="12.75" hidden="false" customHeight="false" outlineLevel="0" collapsed="false">
      <c r="B62" s="240"/>
      <c r="C62" s="498" t="s">
        <v>508</v>
      </c>
      <c r="D62" s="161" t="s">
        <v>509</v>
      </c>
      <c r="E62" s="532" t="n">
        <f aca="false">2*Acc_max*MassePlein</f>
        <v>450.657015283296</v>
      </c>
      <c r="F62" s="556" t="n">
        <f aca="false">E62/9.81</f>
        <v>45.9385336680221</v>
      </c>
      <c r="H62" s="477"/>
      <c r="I62" s="477"/>
      <c r="J62" s="477"/>
      <c r="K62" s="161"/>
      <c r="L62" s="180"/>
      <c r="M62" s="180"/>
      <c r="N62" s="446"/>
    </row>
    <row r="63" customFormat="false" ht="12.75" hidden="false" customHeight="false" outlineLevel="0" collapsed="false">
      <c r="B63" s="240"/>
      <c r="C63" s="498"/>
      <c r="D63" s="161" t="s">
        <v>510</v>
      </c>
      <c r="E63" s="532" t="n">
        <f aca="false">2*Acc_max*Masse_ail</f>
        <v>9.61001022910672</v>
      </c>
      <c r="F63" s="534" t="n">
        <f aca="false">E63/9.81</f>
        <v>0.979613682885497</v>
      </c>
      <c r="G63" s="494" t="s">
        <v>511</v>
      </c>
      <c r="H63" s="557" t="n">
        <f aca="false">S_ail*(ep_ail/1000)*2000</f>
        <v>0.033264</v>
      </c>
      <c r="I63" s="477"/>
      <c r="J63" s="477"/>
      <c r="K63" s="161"/>
      <c r="L63" s="180"/>
      <c r="M63" s="180"/>
      <c r="N63" s="446"/>
    </row>
    <row r="64" customFormat="false" ht="12.75" hidden="false" customHeight="false" outlineLevel="0" collapsed="false">
      <c r="B64" s="240"/>
      <c r="C64" s="549"/>
      <c r="D64" s="543" t="s">
        <v>512</v>
      </c>
      <c r="E64" s="515" t="n">
        <f aca="false">0.104*S_ail*Vit_max^2</f>
        <v>5.76243853437536</v>
      </c>
      <c r="F64" s="558" t="n">
        <f aca="false">E64/9.81</f>
        <v>0.587404539691677</v>
      </c>
      <c r="G64" s="512" t="s">
        <v>513</v>
      </c>
      <c r="H64" s="559" t="n">
        <f aca="false">(E_ail*(m_ail+n_ail)/2)/10^6</f>
        <v>0.008316</v>
      </c>
      <c r="I64" s="477"/>
      <c r="J64" s="477"/>
      <c r="K64" s="477"/>
      <c r="L64" s="180"/>
      <c r="M64" s="180"/>
      <c r="N64" s="446"/>
    </row>
    <row r="65" customFormat="false" ht="12.75" hidden="false" customHeight="false" outlineLevel="0" collapsed="false">
      <c r="B65" s="240"/>
      <c r="C65" s="560" t="s">
        <v>514</v>
      </c>
      <c r="D65" s="561" t="s">
        <v>515</v>
      </c>
      <c r="E65" s="562" t="n">
        <f aca="false">2*Acc_max*H65</f>
        <v>225.328507641648</v>
      </c>
      <c r="F65" s="562" t="n">
        <f aca="false">E65/9.81</f>
        <v>22.969266834011</v>
      </c>
      <c r="G65" s="563" t="s">
        <v>516</v>
      </c>
      <c r="H65" s="564" t="n">
        <f aca="false">E58/2</f>
        <v>0.77995</v>
      </c>
      <c r="I65" s="477"/>
      <c r="J65" s="477"/>
      <c r="K65" s="477"/>
      <c r="L65" s="180"/>
      <c r="M65" s="180"/>
      <c r="N65" s="446"/>
    </row>
    <row r="66" customFormat="false" ht="12.75" hidden="false" customHeight="false" outlineLevel="0" collapsed="false">
      <c r="B66" s="240"/>
      <c r="C66" s="565"/>
      <c r="D66" s="477"/>
      <c r="E66" s="477"/>
      <c r="F66" s="477"/>
      <c r="G66" s="477"/>
      <c r="H66" s="477"/>
      <c r="I66" s="477"/>
      <c r="J66" s="477"/>
      <c r="K66" s="477"/>
      <c r="L66" s="180"/>
      <c r="M66" s="180"/>
      <c r="N66" s="446"/>
    </row>
    <row r="67" customFormat="false" ht="12.75" hidden="false" customHeight="false" outlineLevel="0" collapsed="false">
      <c r="B67" s="240"/>
      <c r="F67" s="492" t="s">
        <v>517</v>
      </c>
      <c r="G67" s="554" t="s">
        <v>518</v>
      </c>
      <c r="H67" s="566" t="n">
        <f aca="false">T_para</f>
        <v>12</v>
      </c>
      <c r="I67" s="495" t="n">
        <f aca="false">Temps_culmi</f>
        <v>7.99999999999999</v>
      </c>
      <c r="J67" s="477"/>
      <c r="K67" s="477"/>
      <c r="L67" s="180"/>
      <c r="M67" s="180"/>
      <c r="N67" s="446"/>
    </row>
    <row r="68" customFormat="false" ht="12.75" hidden="false" customHeight="false" outlineLevel="0" collapsed="false">
      <c r="B68" s="240"/>
      <c r="C68" s="565"/>
      <c r="D68" s="477"/>
      <c r="E68" s="477"/>
      <c r="F68" s="492" t="s">
        <v>519</v>
      </c>
      <c r="G68" s="554" t="s">
        <v>433</v>
      </c>
      <c r="H68" s="566" t="n">
        <f aca="false">V_para</f>
        <v>9.55838417995523</v>
      </c>
      <c r="I68" s="495" t="n">
        <f aca="false">V_satellite</f>
        <v>10.9600387307524</v>
      </c>
      <c r="J68" s="477"/>
      <c r="K68" s="477"/>
      <c r="L68" s="180"/>
      <c r="M68" s="180"/>
      <c r="N68" s="446"/>
    </row>
    <row r="69" customFormat="false" ht="12.75" hidden="false" customHeight="false" outlineLevel="0" collapsed="false">
      <c r="B69" s="240"/>
      <c r="C69" s="565"/>
      <c r="D69" s="477"/>
      <c r="E69" s="477"/>
      <c r="F69" s="498"/>
      <c r="G69" s="161" t="s">
        <v>520</v>
      </c>
      <c r="H69" s="501" t="n">
        <f aca="false">S_para</f>
        <v>0.260205</v>
      </c>
      <c r="I69" s="500" t="n">
        <f aca="false">S_satellite</f>
        <v>0.02</v>
      </c>
      <c r="J69" s="477"/>
      <c r="K69" s="477"/>
      <c r="L69" s="180"/>
      <c r="M69" s="180"/>
      <c r="N69" s="446"/>
    </row>
    <row r="70" customFormat="false" ht="12.75" hidden="false" customHeight="false" outlineLevel="0" collapsed="false">
      <c r="B70" s="240"/>
      <c r="C70" s="516"/>
      <c r="D70" s="161"/>
      <c r="E70" s="180"/>
      <c r="F70" s="498"/>
      <c r="G70" s="161" t="s">
        <v>521</v>
      </c>
      <c r="H70" s="501" t="n">
        <f aca="false">V_ouverture</f>
        <v>38.8853105907693</v>
      </c>
      <c r="I70" s="500" t="n">
        <f aca="false">V_ouv_sat</f>
        <v>49.9330401045551</v>
      </c>
      <c r="L70" s="180"/>
      <c r="M70" s="180"/>
      <c r="N70" s="446"/>
    </row>
    <row r="71" customFormat="false" ht="12.75" hidden="false" customHeight="false" outlineLevel="0" collapsed="false">
      <c r="B71" s="240"/>
      <c r="C71" s="567"/>
      <c r="E71" s="180"/>
      <c r="F71" s="498"/>
      <c r="G71" s="161" t="s">
        <v>480</v>
      </c>
      <c r="H71" s="501" t="n">
        <f aca="false">m_vide</f>
        <v>1.4843</v>
      </c>
      <c r="I71" s="500" t="n">
        <f aca="false">m_satellite</f>
        <v>0.15</v>
      </c>
      <c r="J71" s="180"/>
      <c r="K71" s="180"/>
      <c r="L71" s="180"/>
      <c r="M71" s="180"/>
      <c r="N71" s="446"/>
    </row>
    <row r="72" customFormat="false" ht="12.75" hidden="false" customHeight="false" outlineLevel="0" collapsed="false">
      <c r="B72" s="240"/>
      <c r="C72" s="567"/>
      <c r="E72" s="180"/>
      <c r="F72" s="498"/>
      <c r="G72" s="161" t="s">
        <v>522</v>
      </c>
      <c r="H72" s="533" t="n">
        <f aca="false">1/2*Rho_moyen*S_para*V_ouverture^2</f>
        <v>240.986589184059</v>
      </c>
      <c r="I72" s="568" t="n">
        <f aca="false">1/2*Rho_moyen*S_satellite*V_ouv_sat^2</f>
        <v>30.543029052518</v>
      </c>
      <c r="J72" s="180"/>
      <c r="K72" s="180"/>
      <c r="L72" s="180"/>
      <c r="M72" s="180"/>
      <c r="N72" s="446"/>
    </row>
    <row r="73" customFormat="false" ht="12.75" hidden="false" customHeight="false" outlineLevel="0" collapsed="false">
      <c r="B73" s="240"/>
      <c r="C73" s="180"/>
      <c r="D73" s="161"/>
      <c r="E73" s="180"/>
      <c r="F73" s="549"/>
      <c r="G73" s="543" t="s">
        <v>523</v>
      </c>
      <c r="H73" s="545" t="n">
        <f aca="false">H72/9.81</f>
        <v>24.5654015478143</v>
      </c>
      <c r="I73" s="569" t="n">
        <f aca="false">I72/9.81</f>
        <v>3.11345861901305</v>
      </c>
      <c r="J73" s="180"/>
      <c r="K73" s="180"/>
      <c r="L73" s="180"/>
      <c r="M73" s="180"/>
      <c r="N73" s="446"/>
    </row>
    <row r="74" customFormat="false" ht="12.75" hidden="false" customHeight="false" outlineLevel="0" collapsed="false">
      <c r="B74" s="451"/>
      <c r="C74" s="452"/>
      <c r="D74" s="452"/>
      <c r="E74" s="452"/>
      <c r="F74" s="452"/>
      <c r="G74" s="452"/>
      <c r="H74" s="452"/>
      <c r="I74" s="452"/>
      <c r="J74" s="452"/>
      <c r="K74" s="452"/>
      <c r="L74" s="452"/>
      <c r="M74" s="452"/>
      <c r="N74" s="453"/>
    </row>
    <row r="76" customFormat="false" ht="12.75" hidden="false" customHeight="false" outlineLevel="0" collapsed="false"/>
    <row r="77" customFormat="false" ht="12" hidden="false" customHeight="false" outlineLevel="0" collapsed="false">
      <c r="B77" s="486"/>
      <c r="C77" s="444"/>
      <c r="D77" s="444"/>
      <c r="E77" s="444"/>
      <c r="F77" s="444"/>
      <c r="G77" s="444"/>
      <c r="H77" s="444"/>
      <c r="I77" s="444"/>
      <c r="J77" s="444"/>
      <c r="K77" s="444"/>
      <c r="L77" s="444"/>
      <c r="M77" s="444"/>
      <c r="N77" s="445"/>
    </row>
    <row r="78" customFormat="false" ht="12.75" hidden="false" customHeight="false" outlineLevel="0" collapsed="false">
      <c r="B78" s="240"/>
      <c r="C78" s="180"/>
      <c r="D78" s="161" t="s">
        <v>524</v>
      </c>
      <c r="E78" s="180"/>
      <c r="F78" s="180"/>
      <c r="G78" s="180"/>
      <c r="H78" s="180"/>
      <c r="I78" s="180"/>
      <c r="J78" s="180"/>
      <c r="K78" s="180"/>
      <c r="L78" s="180"/>
      <c r="M78" s="180"/>
      <c r="N78" s="446"/>
    </row>
    <row r="79" customFormat="false" ht="12.75" hidden="false" customHeight="true" outlineLevel="0" collapsed="false">
      <c r="B79" s="240"/>
      <c r="C79" s="180"/>
      <c r="D79" s="180"/>
      <c r="E79" s="480"/>
      <c r="F79" s="480"/>
      <c r="G79" s="570" t="s">
        <v>525</v>
      </c>
      <c r="H79" s="180"/>
      <c r="I79" s="571"/>
      <c r="J79" s="480"/>
      <c r="K79" s="480"/>
      <c r="L79" s="180"/>
      <c r="M79" s="180"/>
      <c r="N79" s="446"/>
    </row>
    <row r="80" customFormat="false" ht="12.75" hidden="false" customHeight="false" outlineLevel="0" collapsed="false">
      <c r="B80" s="240"/>
      <c r="C80" s="492" t="s">
        <v>526</v>
      </c>
      <c r="D80" s="493" t="str">
        <f aca="false">Nom</f>
        <v>Ail et fines’eirb</v>
      </c>
      <c r="E80" s="480"/>
      <c r="F80" s="480"/>
      <c r="G80" s="480"/>
      <c r="H80" s="480"/>
      <c r="I80" s="480"/>
      <c r="J80" s="480"/>
      <c r="K80" s="480"/>
      <c r="L80" s="180"/>
      <c r="M80" s="180"/>
      <c r="N80" s="446"/>
    </row>
    <row r="81" customFormat="false" ht="13.5" hidden="false" customHeight="false" outlineLevel="0" collapsed="false">
      <c r="B81" s="240"/>
      <c r="C81" s="498" t="s">
        <v>6</v>
      </c>
      <c r="D81" s="499" t="str">
        <f aca="false">Club</f>
        <v>Eirspace</v>
      </c>
      <c r="E81" s="480"/>
      <c r="F81" s="480"/>
      <c r="G81" s="480"/>
      <c r="H81" s="480"/>
      <c r="I81" s="480"/>
      <c r="J81" s="480"/>
      <c r="K81" s="480"/>
      <c r="L81" s="180"/>
      <c r="M81" s="180"/>
      <c r="N81" s="446"/>
    </row>
    <row r="82" customFormat="false" ht="13.5" hidden="false" customHeight="false" outlineLevel="0" collapsed="false">
      <c r="B82" s="240"/>
      <c r="C82" s="572" t="s">
        <v>527</v>
      </c>
      <c r="D82" s="499" t="s">
        <v>11</v>
      </c>
      <c r="E82" s="487" t="s">
        <v>411</v>
      </c>
      <c r="F82" s="488" t="n">
        <f aca="false">Long_ogive</f>
        <v>199</v>
      </c>
      <c r="G82" s="480"/>
      <c r="H82" s="480"/>
      <c r="I82" s="480"/>
      <c r="J82" s="480"/>
      <c r="K82" s="480"/>
      <c r="L82" s="180"/>
      <c r="M82" s="180"/>
      <c r="N82" s="446"/>
    </row>
    <row r="83" customFormat="false" ht="12.75" hidden="false" customHeight="false" outlineLevel="0" collapsed="false">
      <c r="B83" s="240"/>
      <c r="C83" s="549" t="s">
        <v>528</v>
      </c>
      <c r="D83" s="573" t="n">
        <f aca="true">TODAY()</f>
        <v>45316</v>
      </c>
      <c r="E83" s="480"/>
      <c r="F83" s="363"/>
      <c r="G83" s="480"/>
      <c r="H83" s="480"/>
      <c r="I83" s="480"/>
      <c r="J83" s="480"/>
      <c r="K83" s="480"/>
      <c r="L83" s="180"/>
      <c r="M83" s="180"/>
      <c r="N83" s="446"/>
    </row>
    <row r="84" customFormat="false" ht="12.75" hidden="false" customHeight="false" outlineLevel="0" collapsed="false">
      <c r="B84" s="240"/>
      <c r="C84" s="180"/>
      <c r="D84" s="180"/>
      <c r="E84" s="480"/>
      <c r="F84" s="363"/>
      <c r="G84" s="480"/>
      <c r="H84" s="480"/>
      <c r="I84" s="480"/>
      <c r="J84" s="497" t="str">
        <f aca="false">IF(RIGHT(Nb_diam,1)=",", "", X_j)</f>
        <v/>
      </c>
      <c r="K84" s="480"/>
      <c r="L84" s="180"/>
      <c r="M84" s="180"/>
      <c r="N84" s="446"/>
    </row>
    <row r="85" customFormat="false" ht="13.5" hidden="false" customHeight="false" outlineLevel="0" collapsed="false">
      <c r="B85" s="240"/>
      <c r="C85" s="492" t="s">
        <v>529</v>
      </c>
      <c r="D85" s="493" t="str">
        <f aca="false">Propu</f>
        <v>Pandora (Pro24-6G BS)</v>
      </c>
      <c r="E85" s="487" t="s">
        <v>425</v>
      </c>
      <c r="F85" s="488" t="n">
        <f aca="false">D_og</f>
        <v>59</v>
      </c>
      <c r="G85" s="480"/>
      <c r="H85" s="480"/>
      <c r="I85" s="480"/>
      <c r="J85" s="363"/>
      <c r="K85" s="480"/>
      <c r="L85" s="180"/>
      <c r="M85" s="180"/>
      <c r="N85" s="446"/>
    </row>
    <row r="86" customFormat="false" ht="12.75" hidden="false" customHeight="false" outlineLevel="0" collapsed="false">
      <c r="B86" s="240"/>
      <c r="C86" s="549" t="s">
        <v>530</v>
      </c>
      <c r="D86" s="550" t="s">
        <v>11</v>
      </c>
      <c r="E86" s="480"/>
      <c r="F86" s="363"/>
      <c r="G86" s="480"/>
      <c r="H86" s="480"/>
      <c r="I86" s="480"/>
      <c r="J86" s="497" t="str">
        <f aca="false">IF(RIGHT(Nb_diam,1)=",", "", X_r)</f>
        <v/>
      </c>
      <c r="K86" s="480"/>
      <c r="L86" s="180"/>
      <c r="M86" s="180"/>
      <c r="N86" s="446"/>
    </row>
    <row r="87" customFormat="false" ht="12" hidden="false" customHeight="false" outlineLevel="0" collapsed="false">
      <c r="B87" s="240"/>
      <c r="C87" s="180"/>
      <c r="D87" s="180"/>
      <c r="E87" s="480"/>
      <c r="F87" s="363"/>
      <c r="G87" s="480"/>
      <c r="H87" s="480"/>
      <c r="I87" s="480"/>
      <c r="J87" s="363"/>
      <c r="K87" s="480"/>
      <c r="L87" s="180"/>
      <c r="M87" s="180"/>
      <c r="N87" s="446"/>
    </row>
    <row r="88" customFormat="false" ht="12" hidden="false" customHeight="false" outlineLevel="0" collapsed="false">
      <c r="B88" s="240"/>
      <c r="C88" s="180"/>
      <c r="D88" s="180"/>
      <c r="E88" s="480"/>
      <c r="F88" s="363"/>
      <c r="G88" s="480"/>
      <c r="H88" s="480"/>
      <c r="I88" s="480"/>
      <c r="J88" s="497" t="str">
        <f aca="false">IF(RIGHT(Nb_diam,1)=",", "", l_j)</f>
        <v/>
      </c>
      <c r="K88" s="480"/>
      <c r="L88" s="180"/>
      <c r="M88" s="180"/>
      <c r="N88" s="446"/>
    </row>
    <row r="89" customFormat="false" ht="12.75" hidden="false" customHeight="false" outlineLevel="0" collapsed="false">
      <c r="B89" s="240"/>
      <c r="C89" s="180"/>
      <c r="D89" s="180"/>
      <c r="E89" s="480"/>
      <c r="F89" s="363"/>
      <c r="G89" s="480"/>
      <c r="H89" s="480"/>
      <c r="I89" s="480"/>
      <c r="J89" s="363"/>
      <c r="K89" s="480"/>
      <c r="L89" s="180"/>
      <c r="M89" s="180"/>
      <c r="N89" s="446"/>
    </row>
    <row r="90" customFormat="false" ht="13.5" hidden="false" customHeight="false" outlineLevel="0" collapsed="false">
      <c r="B90" s="240"/>
      <c r="C90" s="180"/>
      <c r="D90" s="180"/>
      <c r="E90" s="505" t="s">
        <v>436</v>
      </c>
      <c r="F90" s="497" t="str">
        <f aca="false">IF(RIGHT(Nb_diam,1)=",", "", D2j)</f>
        <v/>
      </c>
      <c r="G90" s="480"/>
      <c r="H90" s="480"/>
      <c r="I90" s="480"/>
      <c r="J90" s="488" t="n">
        <f aca="false">X_ail-m_ail</f>
        <v>1091</v>
      </c>
      <c r="K90" s="161"/>
      <c r="L90" s="180"/>
      <c r="M90" s="180"/>
      <c r="N90" s="446"/>
    </row>
    <row r="91" customFormat="false" ht="12" hidden="false" customHeight="false" outlineLevel="0" collapsed="false">
      <c r="B91" s="240"/>
      <c r="C91" s="180"/>
      <c r="D91" s="180"/>
      <c r="E91" s="480"/>
      <c r="F91" s="363"/>
      <c r="G91" s="480"/>
      <c r="H91" s="480"/>
      <c r="I91" s="480"/>
      <c r="J91" s="363"/>
      <c r="K91" s="480"/>
      <c r="L91" s="180"/>
      <c r="M91" s="180"/>
      <c r="N91" s="446"/>
    </row>
    <row r="92" customFormat="false" ht="12" hidden="false" customHeight="false" outlineLevel="0" collapsed="false">
      <c r="B92" s="240"/>
      <c r="C92" s="180"/>
      <c r="D92" s="180"/>
      <c r="E92" s="480"/>
      <c r="F92" s="363"/>
      <c r="G92" s="480"/>
      <c r="H92" s="480"/>
      <c r="I92" s="480"/>
      <c r="J92" s="497" t="str">
        <f aca="false">IF(RIGHT(Nb_diam,1)=",", "", l_r)</f>
        <v/>
      </c>
      <c r="K92" s="480"/>
      <c r="L92" s="180"/>
      <c r="M92" s="180"/>
      <c r="N92" s="446"/>
    </row>
    <row r="93" customFormat="false" ht="12" hidden="false" customHeight="false" outlineLevel="0" collapsed="false">
      <c r="B93" s="240"/>
      <c r="C93" s="180"/>
      <c r="D93" s="180"/>
      <c r="E93" s="480"/>
      <c r="F93" s="363"/>
      <c r="G93" s="480"/>
      <c r="H93" s="480"/>
      <c r="I93" s="480"/>
      <c r="J93" s="363"/>
      <c r="K93" s="480"/>
      <c r="L93" s="180"/>
      <c r="M93" s="180"/>
      <c r="N93" s="446"/>
    </row>
    <row r="94" customFormat="false" ht="12" hidden="false" customHeight="false" outlineLevel="0" collapsed="false">
      <c r="B94" s="240"/>
      <c r="C94" s="180"/>
      <c r="D94" s="180"/>
      <c r="E94" s="505" t="s">
        <v>531</v>
      </c>
      <c r="F94" s="497" t="str">
        <f aca="false">IF(RIGHT(Nb_diam,1)=",", "", D2r)</f>
        <v/>
      </c>
      <c r="G94" s="480"/>
      <c r="H94" s="480"/>
      <c r="I94" s="480"/>
      <c r="J94" s="363"/>
      <c r="K94" s="480"/>
      <c r="L94" s="180"/>
      <c r="M94" s="180"/>
      <c r="N94" s="446"/>
    </row>
    <row r="95" customFormat="false" ht="12" hidden="false" customHeight="false" outlineLevel="0" collapsed="false">
      <c r="B95" s="240"/>
      <c r="C95" s="180"/>
      <c r="D95" s="180"/>
      <c r="E95" s="480"/>
      <c r="F95" s="363"/>
      <c r="G95" s="480"/>
      <c r="H95" s="480"/>
      <c r="I95" s="480"/>
      <c r="J95" s="363"/>
      <c r="K95" s="480"/>
      <c r="L95" s="180"/>
      <c r="M95" s="180"/>
      <c r="N95" s="446"/>
    </row>
    <row r="96" customFormat="false" ht="12.75" hidden="false" customHeight="false" outlineLevel="0" collapsed="false">
      <c r="B96" s="240"/>
      <c r="C96" s="180"/>
      <c r="D96" s="180"/>
      <c r="E96" s="480"/>
      <c r="F96" s="363"/>
      <c r="G96" s="480"/>
      <c r="H96" s="480"/>
      <c r="I96" s="480"/>
      <c r="J96" s="363"/>
      <c r="K96" s="480"/>
      <c r="L96" s="180"/>
      <c r="M96" s="180"/>
      <c r="N96" s="446"/>
    </row>
    <row r="97" customFormat="false" ht="13.5" hidden="false" customHeight="false" outlineLevel="0" collapsed="false">
      <c r="B97" s="240"/>
      <c r="C97" s="180"/>
      <c r="D97" s="180"/>
      <c r="E97" s="487" t="s">
        <v>471</v>
      </c>
      <c r="F97" s="488" t="n">
        <f aca="false">m_ail</f>
        <v>109</v>
      </c>
      <c r="G97" s="480"/>
      <c r="H97" s="480"/>
      <c r="I97" s="480"/>
      <c r="J97" s="488" t="n">
        <f aca="false">p_ail</f>
        <v>109</v>
      </c>
      <c r="K97" s="161"/>
      <c r="L97" s="180"/>
      <c r="M97" s="180"/>
      <c r="N97" s="446"/>
    </row>
    <row r="98" customFormat="false" ht="12" hidden="false" customHeight="false" outlineLevel="0" collapsed="false">
      <c r="B98" s="240"/>
      <c r="C98" s="180"/>
      <c r="D98" s="180"/>
      <c r="E98" s="480"/>
      <c r="F98" s="480"/>
      <c r="G98" s="480"/>
      <c r="H98" s="480"/>
      <c r="I98" s="480"/>
      <c r="J98" s="363"/>
      <c r="K98" s="480"/>
      <c r="L98" s="180"/>
      <c r="M98" s="180"/>
      <c r="N98" s="446"/>
    </row>
    <row r="99" customFormat="false" ht="12" hidden="false" customHeight="false" outlineLevel="0" collapsed="false">
      <c r="B99" s="240"/>
      <c r="C99" s="180"/>
      <c r="D99" s="180"/>
      <c r="E99" s="480"/>
      <c r="F99" s="480"/>
      <c r="G99" s="480"/>
      <c r="H99" s="480"/>
      <c r="I99" s="480"/>
      <c r="J99" s="363"/>
      <c r="K99" s="480"/>
      <c r="L99" s="180"/>
      <c r="M99" s="180"/>
      <c r="N99" s="446"/>
    </row>
    <row r="100" customFormat="false" ht="13.5" hidden="false" customHeight="false" outlineLevel="0" collapsed="false">
      <c r="B100" s="240"/>
      <c r="C100" s="180"/>
      <c r="D100" s="574" t="s">
        <v>532</v>
      </c>
      <c r="E100" s="494" t="n">
        <f aca="false">Q_ail</f>
        <v>4</v>
      </c>
      <c r="F100" s="575"/>
      <c r="G100" s="480"/>
      <c r="H100" s="480"/>
      <c r="I100" s="480"/>
      <c r="J100" s="363"/>
      <c r="K100" s="480"/>
      <c r="L100" s="180"/>
      <c r="M100" s="180"/>
      <c r="N100" s="446"/>
    </row>
    <row r="101" customFormat="false" ht="13.5" hidden="false" customHeight="false" outlineLevel="0" collapsed="false">
      <c r="B101" s="240"/>
      <c r="C101" s="180"/>
      <c r="D101" s="576" t="s">
        <v>533</v>
      </c>
      <c r="E101" s="171" t="n">
        <f aca="false">XpropuRef-Long_propu</f>
        <v>972</v>
      </c>
      <c r="F101" s="577"/>
      <c r="G101" s="480"/>
      <c r="H101" s="480"/>
      <c r="I101" s="480"/>
      <c r="J101" s="488" t="n">
        <f aca="false">n_ail</f>
        <v>59</v>
      </c>
      <c r="K101" s="161"/>
      <c r="L101" s="180"/>
      <c r="M101" s="180"/>
      <c r="N101" s="446"/>
    </row>
    <row r="102" customFormat="false" ht="12.75" hidden="false" customHeight="false" outlineLevel="0" collapsed="false">
      <c r="B102" s="240"/>
      <c r="C102" s="180"/>
      <c r="D102" s="576" t="s">
        <v>534</v>
      </c>
      <c r="E102" s="171" t="n">
        <f aca="false">IF(LEFT(Forme_ogive,4)="Ogiv",1,0)</f>
        <v>1</v>
      </c>
      <c r="F102" s="577" t="s">
        <v>535</v>
      </c>
      <c r="G102" s="480"/>
      <c r="H102" s="480"/>
      <c r="I102" s="480"/>
      <c r="J102" s="363"/>
      <c r="K102" s="480"/>
      <c r="L102" s="180"/>
      <c r="M102" s="180"/>
      <c r="N102" s="446"/>
    </row>
    <row r="103" customFormat="false" ht="12.75" hidden="false" customHeight="false" outlineLevel="0" collapsed="false">
      <c r="B103" s="240"/>
      <c r="C103" s="180"/>
      <c r="D103" s="576"/>
      <c r="E103" s="171" t="n">
        <f aca="false">IF(LEFT(Forme_ogive,3)="Con",1,0)</f>
        <v>0</v>
      </c>
      <c r="F103" s="577" t="s">
        <v>70</v>
      </c>
      <c r="G103" s="480"/>
      <c r="H103" s="480"/>
      <c r="I103" s="480"/>
      <c r="J103" s="363"/>
      <c r="K103" s="480"/>
      <c r="L103" s="180"/>
      <c r="M103" s="180"/>
      <c r="N103" s="446"/>
    </row>
    <row r="104" customFormat="false" ht="13.5" hidden="false" customHeight="false" outlineLevel="0" collapsed="false">
      <c r="B104" s="240"/>
      <c r="C104" s="180"/>
      <c r="D104" s="578"/>
      <c r="E104" s="512" t="n">
        <f aca="false">IF(LEFT(Forme_ogive,5)="Parab",1,0)</f>
        <v>0</v>
      </c>
      <c r="F104" s="559" t="s">
        <v>536</v>
      </c>
      <c r="G104" s="480"/>
      <c r="H104" s="480"/>
      <c r="I104" s="480"/>
      <c r="J104" s="363" t="s">
        <v>537</v>
      </c>
      <c r="K104" s="480"/>
      <c r="L104" s="180"/>
      <c r="M104" s="180"/>
      <c r="N104" s="446"/>
    </row>
    <row r="105" customFormat="false" ht="13.5" hidden="false" customHeight="false" outlineLevel="0" collapsed="false">
      <c r="B105" s="240"/>
      <c r="C105" s="180"/>
      <c r="D105" s="161"/>
      <c r="E105" s="161"/>
      <c r="F105" s="161"/>
      <c r="G105" s="487"/>
      <c r="H105" s="488" t="n">
        <f aca="false">E_ail</f>
        <v>99</v>
      </c>
      <c r="I105" s="487"/>
      <c r="J105" s="488" t="n">
        <f aca="false">ep_ail</f>
        <v>2</v>
      </c>
      <c r="K105" s="480"/>
      <c r="L105" s="180"/>
      <c r="M105" s="180"/>
      <c r="N105" s="446"/>
    </row>
    <row r="106" customFormat="false" ht="12.75" hidden="false" customHeight="false" outlineLevel="0" collapsed="false">
      <c r="B106" s="240"/>
      <c r="C106" s="180"/>
      <c r="D106" s="574"/>
      <c r="E106" s="494" t="s">
        <v>538</v>
      </c>
      <c r="F106" s="493" t="s">
        <v>539</v>
      </c>
      <c r="G106" s="180"/>
      <c r="H106" s="180"/>
      <c r="I106" s="180"/>
      <c r="J106" s="180"/>
      <c r="K106" s="180"/>
      <c r="L106" s="180"/>
      <c r="M106" s="180"/>
      <c r="N106" s="446"/>
    </row>
    <row r="107" customFormat="false" ht="12.75" hidden="false" customHeight="false" outlineLevel="0" collapsed="false">
      <c r="B107" s="240"/>
      <c r="C107" s="180"/>
      <c r="D107" s="576" t="s">
        <v>540</v>
      </c>
      <c r="E107" s="171" t="n">
        <f aca="false">MasseSans</f>
        <v>1.4</v>
      </c>
      <c r="F107" s="499" t="n">
        <f aca="false">MassePlein</f>
        <v>1.5599</v>
      </c>
      <c r="G107" s="180"/>
      <c r="H107" s="180"/>
      <c r="I107" s="180"/>
      <c r="J107" s="180"/>
      <c r="K107" s="180"/>
      <c r="L107" s="180"/>
      <c r="M107" s="180"/>
      <c r="N107" s="446"/>
    </row>
    <row r="108" customFormat="false" ht="12.75" hidden="false" customHeight="false" outlineLevel="0" collapsed="false">
      <c r="B108" s="240"/>
      <c r="C108" s="180"/>
      <c r="D108" s="578" t="s">
        <v>541</v>
      </c>
      <c r="E108" s="512" t="n">
        <f aca="false">XcgSans</f>
        <v>800</v>
      </c>
      <c r="F108" s="550" t="n">
        <f aca="false">XcgPlein</f>
        <v>829.316879287134</v>
      </c>
      <c r="G108" s="180"/>
      <c r="H108" s="180"/>
      <c r="I108" s="180"/>
      <c r="J108" s="180"/>
      <c r="K108" s="180"/>
      <c r="L108" s="180"/>
      <c r="M108" s="180"/>
      <c r="N108" s="446"/>
    </row>
    <row r="109" customFormat="false" ht="12" hidden="false" customHeight="false" outlineLevel="0" collapsed="false">
      <c r="B109" s="240"/>
      <c r="C109" s="180"/>
      <c r="D109" s="180"/>
      <c r="E109" s="180"/>
      <c r="F109" s="180"/>
      <c r="G109" s="180"/>
      <c r="H109" s="180"/>
      <c r="I109" s="180"/>
      <c r="J109" s="180"/>
      <c r="K109" s="180"/>
      <c r="L109" s="180"/>
      <c r="M109" s="180"/>
      <c r="N109" s="446"/>
    </row>
    <row r="110" customFormat="false" ht="12.75" hidden="false" customHeight="false" outlineLevel="0" collapsed="false">
      <c r="B110" s="240"/>
      <c r="C110" s="180"/>
      <c r="D110" s="579" t="s">
        <v>542</v>
      </c>
      <c r="E110" s="580" t="n">
        <f aca="false">MasseVide</f>
        <v>1.4843</v>
      </c>
      <c r="F110" s="180"/>
      <c r="G110" s="574" t="s">
        <v>543</v>
      </c>
      <c r="H110" s="541"/>
      <c r="I110" s="541"/>
      <c r="J110" s="547"/>
      <c r="K110" s="180"/>
      <c r="L110" s="180"/>
      <c r="M110" s="180"/>
      <c r="N110" s="446"/>
    </row>
    <row r="111" customFormat="false" ht="12.75" hidden="false" customHeight="false" outlineLevel="0" collapsed="false">
      <c r="B111" s="240"/>
      <c r="C111" s="180"/>
      <c r="D111" s="180"/>
      <c r="E111" s="180"/>
      <c r="F111" s="180"/>
      <c r="G111" s="498" t="s">
        <v>496</v>
      </c>
      <c r="H111" s="171" t="n">
        <f aca="false">Beta_rampe</f>
        <v>80</v>
      </c>
      <c r="I111" s="171" t="n">
        <v>80</v>
      </c>
      <c r="J111" s="499" t="n">
        <v>90</v>
      </c>
      <c r="K111" s="180"/>
      <c r="L111" s="180"/>
      <c r="M111" s="180"/>
      <c r="N111" s="446"/>
    </row>
    <row r="112" customFormat="false" ht="12.75" hidden="false" customHeight="false" outlineLevel="0" collapsed="false">
      <c r="B112" s="240"/>
      <c r="C112" s="180"/>
      <c r="D112" s="180"/>
      <c r="E112" s="180"/>
      <c r="F112" s="180"/>
      <c r="G112" s="551" t="s">
        <v>498</v>
      </c>
      <c r="H112" s="501" t="n">
        <f aca="false">Temps_culmi</f>
        <v>7.99999999999999</v>
      </c>
      <c r="I112" s="552"/>
      <c r="J112" s="553"/>
      <c r="K112" s="180"/>
      <c r="L112" s="180"/>
      <c r="M112" s="180"/>
      <c r="N112" s="446"/>
    </row>
    <row r="113" customFormat="false" ht="12.75" hidden="false" customHeight="true" outlineLevel="0" collapsed="false">
      <c r="B113" s="240"/>
      <c r="C113" s="180"/>
      <c r="D113" s="570" t="s">
        <v>544</v>
      </c>
      <c r="E113" s="480"/>
      <c r="F113" s="180"/>
      <c r="G113" s="551" t="s">
        <v>499</v>
      </c>
      <c r="H113" s="532" t="n">
        <f aca="false">Altitude_culmi</f>
        <v>315.77942584937</v>
      </c>
      <c r="I113" s="552"/>
      <c r="J113" s="553"/>
      <c r="K113" s="180"/>
      <c r="L113" s="180"/>
      <c r="M113" s="180"/>
      <c r="N113" s="446"/>
    </row>
    <row r="114" customFormat="false" ht="12.75" hidden="false" customHeight="true" outlineLevel="0" collapsed="false">
      <c r="B114" s="240"/>
      <c r="C114" s="180"/>
      <c r="D114" s="480"/>
      <c r="E114" s="480"/>
      <c r="F114" s="570"/>
      <c r="G114" s="551" t="s">
        <v>501</v>
      </c>
      <c r="H114" s="534" t="n">
        <f aca="false">Vit_culmi</f>
        <v>13.1952141491521</v>
      </c>
      <c r="I114" s="552"/>
      <c r="J114" s="553"/>
      <c r="K114" s="180"/>
      <c r="L114" s="180"/>
      <c r="M114" s="180"/>
      <c r="N114" s="446"/>
    </row>
    <row r="115" customFormat="false" ht="12.75" hidden="false" customHeight="false" outlineLevel="0" collapsed="false">
      <c r="B115" s="240"/>
      <c r="C115" s="574" t="s">
        <v>545</v>
      </c>
      <c r="D115" s="554"/>
      <c r="E115" s="581" t="n">
        <v>0.1</v>
      </c>
      <c r="F115" s="180"/>
      <c r="G115" s="551" t="s">
        <v>459</v>
      </c>
      <c r="H115" s="532" t="n">
        <f aca="false">Portee_balistique</f>
        <v>211.791153319536</v>
      </c>
      <c r="I115" s="552"/>
      <c r="J115" s="553"/>
      <c r="K115" s="180"/>
      <c r="L115" s="180"/>
      <c r="M115" s="180"/>
      <c r="N115" s="446"/>
    </row>
    <row r="116" customFormat="false" ht="12.75" hidden="false" customHeight="true" outlineLevel="0" collapsed="false">
      <c r="B116" s="240"/>
      <c r="C116" s="578" t="s">
        <v>546</v>
      </c>
      <c r="D116" s="543"/>
      <c r="E116" s="582" t="n">
        <f aca="false">E_ail*(m_ail+n_ail)/2</f>
        <v>8316</v>
      </c>
      <c r="F116" s="180"/>
      <c r="G116" s="551" t="s">
        <v>463</v>
      </c>
      <c r="H116" s="534" t="n">
        <f aca="false">Vit_max</f>
        <v>81.6261368570002</v>
      </c>
      <c r="I116" s="552"/>
      <c r="J116" s="553"/>
      <c r="K116" s="180"/>
      <c r="L116" s="180"/>
      <c r="M116" s="180"/>
      <c r="N116" s="446"/>
    </row>
    <row r="117" customFormat="false" ht="12.75" hidden="false" customHeight="true" outlineLevel="0" collapsed="false">
      <c r="B117" s="240"/>
      <c r="C117" s="180"/>
      <c r="D117" s="480"/>
      <c r="E117" s="480"/>
      <c r="F117" s="480"/>
      <c r="G117" s="551" t="s">
        <v>462</v>
      </c>
      <c r="H117" s="532" t="n">
        <f aca="false">Acc_max</f>
        <v>144.450610706871</v>
      </c>
      <c r="I117" s="552"/>
      <c r="J117" s="553"/>
      <c r="K117" s="180"/>
      <c r="L117" s="180"/>
      <c r="M117" s="180"/>
      <c r="N117" s="446"/>
    </row>
    <row r="118" customFormat="false" ht="12.75" hidden="false" customHeight="false" outlineLevel="0" collapsed="false">
      <c r="B118" s="240"/>
      <c r="C118" s="574" t="s">
        <v>547</v>
      </c>
      <c r="D118" s="554"/>
      <c r="E118" s="583"/>
      <c r="F118" s="584" t="n">
        <f aca="false">J90/100</f>
        <v>10.91</v>
      </c>
      <c r="G118" s="498" t="s">
        <v>159</v>
      </c>
      <c r="H118" s="171" t="n">
        <f aca="false">Cx</f>
        <v>0.5</v>
      </c>
      <c r="I118" s="552"/>
      <c r="J118" s="553"/>
      <c r="K118" s="180"/>
      <c r="L118" s="180"/>
      <c r="M118" s="180"/>
      <c r="N118" s="446"/>
    </row>
    <row r="119" customFormat="false" ht="12.75" hidden="false" customHeight="false" outlineLevel="0" collapsed="false">
      <c r="B119" s="240"/>
      <c r="C119" s="576" t="s">
        <v>548</v>
      </c>
      <c r="D119" s="161"/>
      <c r="E119" s="585" t="n">
        <f aca="false">2*Acc_max*MasseSans</f>
        <v>404.461709979239</v>
      </c>
      <c r="F119" s="586" t="n">
        <f aca="false">E119/g</f>
        <v>41.2295321079754</v>
      </c>
      <c r="G119" s="509" t="s">
        <v>507</v>
      </c>
      <c r="H119" s="555"/>
      <c r="I119" s="555"/>
      <c r="J119" s="510"/>
      <c r="K119" s="180"/>
      <c r="L119" s="180"/>
      <c r="M119" s="180"/>
      <c r="N119" s="446"/>
    </row>
    <row r="120" customFormat="false" ht="12.75" hidden="false" customHeight="false" outlineLevel="0" collapsed="false">
      <c r="B120" s="240"/>
      <c r="C120" s="576" t="s">
        <v>549</v>
      </c>
      <c r="D120" s="161"/>
      <c r="E120" s="585" t="n">
        <f aca="false">2*Acc_max*E115</f>
        <v>28.8901221413742</v>
      </c>
      <c r="F120" s="586" t="n">
        <f aca="false">E120/g</f>
        <v>2.9449665791411</v>
      </c>
      <c r="G120" s="180"/>
      <c r="H120" s="180"/>
      <c r="I120" s="180"/>
      <c r="J120" s="180"/>
      <c r="K120" s="180"/>
      <c r="L120" s="180"/>
      <c r="M120" s="180"/>
      <c r="N120" s="446"/>
    </row>
    <row r="121" customFormat="false" ht="12.75" hidden="false" customHeight="false" outlineLevel="0" collapsed="false">
      <c r="B121" s="240"/>
      <c r="C121" s="578" t="s">
        <v>550</v>
      </c>
      <c r="D121" s="543"/>
      <c r="E121" s="587" t="n">
        <f aca="false">0.104*E116/1000000*Vit_max^2</f>
        <v>5.76243853437535</v>
      </c>
      <c r="F121" s="588" t="n">
        <f aca="false">E121/g</f>
        <v>0.587404539691677</v>
      </c>
      <c r="G121" s="480"/>
      <c r="H121" s="480"/>
      <c r="I121" s="480"/>
      <c r="J121" s="480"/>
      <c r="K121" s="180"/>
      <c r="L121" s="180"/>
      <c r="M121" s="180"/>
      <c r="N121" s="446"/>
    </row>
    <row r="122" customFormat="false" ht="12.75" hidden="false" customHeight="true" outlineLevel="0" collapsed="false">
      <c r="B122" s="240"/>
      <c r="C122" s="180"/>
      <c r="D122" s="180"/>
      <c r="E122" s="180"/>
      <c r="F122" s="180"/>
      <c r="G122" s="180"/>
      <c r="H122" s="480"/>
      <c r="I122" s="480"/>
      <c r="J122" s="480"/>
      <c r="K122" s="180"/>
      <c r="L122" s="180"/>
      <c r="M122" s="180"/>
      <c r="N122" s="446"/>
    </row>
    <row r="123" customFormat="false" ht="12.75" hidden="false" customHeight="true" outlineLevel="0" collapsed="false">
      <c r="B123" s="240"/>
      <c r="C123" s="180"/>
      <c r="D123" s="180"/>
      <c r="E123" s="180"/>
      <c r="F123" s="180"/>
      <c r="G123" s="570"/>
      <c r="H123" s="570"/>
      <c r="I123" s="570"/>
      <c r="J123" s="480"/>
      <c r="K123" s="180"/>
      <c r="L123" s="180"/>
      <c r="M123" s="180"/>
      <c r="N123" s="446"/>
    </row>
    <row r="124" customFormat="false" ht="12.75" hidden="false" customHeight="true" outlineLevel="0" collapsed="false">
      <c r="B124" s="240"/>
      <c r="C124" s="480"/>
      <c r="D124" s="570" t="s">
        <v>551</v>
      </c>
      <c r="E124" s="571"/>
      <c r="F124" s="180"/>
      <c r="G124" s="180"/>
      <c r="H124" s="180"/>
      <c r="I124" s="180"/>
      <c r="J124" s="480"/>
      <c r="K124" s="480"/>
      <c r="L124" s="180"/>
      <c r="M124" s="180"/>
      <c r="N124" s="446"/>
    </row>
    <row r="125" customFormat="false" ht="12.75" hidden="false" customHeight="false" outlineLevel="0" collapsed="false">
      <c r="B125" s="240"/>
      <c r="C125" s="589" t="s">
        <v>552</v>
      </c>
      <c r="D125" s="180"/>
      <c r="E125" s="180"/>
      <c r="F125" s="180"/>
      <c r="G125" s="180"/>
      <c r="H125" s="180"/>
      <c r="I125" s="180"/>
      <c r="J125" s="480"/>
      <c r="K125" s="480"/>
      <c r="L125" s="180"/>
      <c r="M125" s="180"/>
      <c r="N125" s="446"/>
    </row>
    <row r="126" customFormat="false" ht="12.75" hidden="false" customHeight="false" outlineLevel="0" collapsed="false">
      <c r="B126" s="240"/>
      <c r="C126" s="574" t="s">
        <v>553</v>
      </c>
      <c r="D126" s="554"/>
      <c r="E126" s="590" t="n">
        <v>4</v>
      </c>
      <c r="F126" s="180"/>
      <c r="G126" s="480"/>
      <c r="H126" s="180"/>
      <c r="I126" s="180"/>
      <c r="J126" s="480"/>
      <c r="K126" s="180"/>
      <c r="L126" s="180"/>
      <c r="M126" s="180"/>
      <c r="N126" s="446"/>
    </row>
    <row r="127" customFormat="false" ht="12.75" hidden="false" customHeight="false" outlineLevel="0" collapsed="false">
      <c r="B127" s="240"/>
      <c r="C127" s="578" t="s">
        <v>554</v>
      </c>
      <c r="D127" s="543"/>
      <c r="E127" s="591" t="n">
        <f aca="false">S_para</f>
        <v>0.260205</v>
      </c>
      <c r="F127" s="180"/>
      <c r="G127" s="480"/>
      <c r="H127" s="180"/>
      <c r="I127" s="180"/>
      <c r="J127" s="480"/>
      <c r="K127" s="180"/>
      <c r="L127" s="180"/>
      <c r="M127" s="180"/>
      <c r="N127" s="446"/>
    </row>
    <row r="128" customFormat="false" ht="12.75" hidden="false" customHeight="false" outlineLevel="0" collapsed="false">
      <c r="B128" s="240"/>
      <c r="C128" s="592" t="s">
        <v>555</v>
      </c>
      <c r="D128" s="592"/>
      <c r="E128" s="593" t="n">
        <f aca="false">0.5*Rho_moyen*S_para*Vit_culmi^2</f>
        <v>27.7494651218844</v>
      </c>
      <c r="F128" s="594" t="n">
        <f aca="false">E128/g</f>
        <v>2.82869165360697</v>
      </c>
      <c r="G128" s="180"/>
      <c r="H128" s="480"/>
      <c r="I128" s="480"/>
      <c r="J128" s="480"/>
      <c r="K128" s="480"/>
      <c r="L128" s="180"/>
      <c r="M128" s="180"/>
      <c r="N128" s="446"/>
    </row>
    <row r="129" customFormat="false" ht="12.75" hidden="false" customHeight="false" outlineLevel="0" collapsed="false">
      <c r="B129" s="240"/>
      <c r="C129" s="595" t="s">
        <v>556</v>
      </c>
      <c r="D129" s="595"/>
      <c r="E129" s="587" t="n">
        <f aca="false">E128/E126*2</f>
        <v>13.8747325609422</v>
      </c>
      <c r="F129" s="588" t="n">
        <f aca="false">E129/g</f>
        <v>1.41434582680348</v>
      </c>
      <c r="G129" s="180"/>
      <c r="H129" s="480"/>
      <c r="I129" s="480"/>
      <c r="J129" s="480"/>
      <c r="K129" s="480"/>
      <c r="L129" s="180"/>
      <c r="M129" s="180"/>
      <c r="N129" s="446"/>
    </row>
    <row r="130" customFormat="false" ht="12" hidden="false" customHeight="false" outlineLevel="0" collapsed="false">
      <c r="B130" s="240"/>
      <c r="C130" s="596"/>
      <c r="D130" s="596"/>
      <c r="E130" s="597"/>
      <c r="F130" s="598"/>
      <c r="G130" s="180"/>
      <c r="H130" s="480"/>
      <c r="I130" s="480"/>
      <c r="J130" s="480"/>
      <c r="K130" s="480"/>
      <c r="L130" s="180"/>
      <c r="M130" s="180"/>
      <c r="N130" s="446"/>
    </row>
    <row r="131" customFormat="false" ht="12.75" hidden="false" customHeight="false" outlineLevel="0" collapsed="false">
      <c r="B131" s="240"/>
      <c r="C131" s="589" t="s">
        <v>557</v>
      </c>
      <c r="D131" s="480"/>
      <c r="E131" s="480"/>
      <c r="F131" s="480"/>
      <c r="G131" s="480"/>
      <c r="H131" s="480"/>
      <c r="I131" s="480"/>
      <c r="J131" s="480"/>
      <c r="K131" s="480"/>
      <c r="L131" s="180"/>
      <c r="M131" s="180"/>
      <c r="N131" s="446"/>
    </row>
    <row r="132" customFormat="false" ht="12.75" hidden="false" customHeight="false" outlineLevel="0" collapsed="false">
      <c r="B132" s="240"/>
      <c r="C132" s="592" t="s">
        <v>558</v>
      </c>
      <c r="D132" s="592"/>
      <c r="E132" s="599" t="n">
        <v>1</v>
      </c>
      <c r="F132" s="480"/>
      <c r="G132" s="480"/>
      <c r="H132" s="480"/>
      <c r="I132" s="480"/>
      <c r="J132" s="600"/>
      <c r="K132" s="480"/>
      <c r="L132" s="180"/>
      <c r="M132" s="180"/>
      <c r="N132" s="446"/>
    </row>
    <row r="133" customFormat="false" ht="12.75" hidden="false" customHeight="false" outlineLevel="0" collapsed="false">
      <c r="B133" s="240"/>
      <c r="C133" s="595" t="s">
        <v>559</v>
      </c>
      <c r="D133" s="595"/>
      <c r="E133" s="601" t="n">
        <f aca="false">2*E132*Acc_max/g</f>
        <v>29.449665791411</v>
      </c>
      <c r="F133" s="480"/>
      <c r="G133" s="480"/>
      <c r="H133" s="480"/>
      <c r="I133" s="480"/>
      <c r="J133" s="480"/>
      <c r="K133" s="480"/>
      <c r="L133" s="180"/>
      <c r="M133" s="180"/>
      <c r="N133" s="446"/>
    </row>
    <row r="134" customFormat="false" ht="12.75" hidden="false" customHeight="false" outlineLevel="0" collapsed="false">
      <c r="B134" s="451"/>
      <c r="C134" s="540"/>
      <c r="D134" s="540"/>
      <c r="E134" s="540"/>
      <c r="F134" s="540"/>
      <c r="G134" s="540"/>
      <c r="H134" s="540"/>
      <c r="I134" s="540"/>
      <c r="J134" s="540"/>
      <c r="K134" s="540"/>
      <c r="L134" s="452"/>
      <c r="M134" s="452"/>
      <c r="N134" s="453"/>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F18:I19">
    <cfRule type="expression" priority="2" aboveAverage="0" equalAverage="0" bottom="0" percent="0" rank="0" text="" dxfId="51">
      <formula>IF(Propu="Cariacou",1,0)</formula>
    </cfRule>
  </conditionalFormatting>
  <conditionalFormatting sqref="D18:E18">
    <cfRule type="expression" priority="3" aboveAverage="0" equalAverage="0" bottom="0" percent="0" rank="0" text="" dxfId="52">
      <formula>IF(Propu="Cariacou",0,1)</formula>
    </cfRule>
  </conditionalFormatting>
  <conditionalFormatting sqref="I68:I73 I16">
    <cfRule type="expression" priority="4" aboveAverage="0" equalAverage="0" bottom="0" percent="0" rank="0" text="" dxfId="53">
      <formula>Nb_sat="0 satellite"</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90</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en-US</dc:language>
  <cp:lastModifiedBy/>
  <cp:lastPrinted>2011-11-08T21:12:34Z</cp:lastPrinted>
  <dcterms:modified xsi:type="dcterms:W3CDTF">2024-01-25T17:38:11Z</dcterms:modified>
  <cp:revision>2</cp:revision>
  <dc:subject/>
  <dc:title>StabTraj</dc:title>
</cp:coreProperties>
</file>

<file path=docProps/custom.xml><?xml version="1.0" encoding="utf-8"?>
<Properties xmlns="http://schemas.openxmlformats.org/officeDocument/2006/custom-properties" xmlns:vt="http://schemas.openxmlformats.org/officeDocument/2006/docPropsVTypes"/>
</file>