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autoCompressPictures="0"/>
  <mc:AlternateContent xmlns:mc="http://schemas.openxmlformats.org/markup-compatibility/2006">
    <mc:Choice Requires="x15">
      <x15ac:absPath xmlns:x15ac="http://schemas.microsoft.com/office/spreadsheetml/2010/11/ac" url="C:\Users\fabien.INFO\Box Sync\Clients_FB\CSO\CSO EI IR IS\Simulateur\"/>
    </mc:Choice>
  </mc:AlternateContent>
  <xr:revisionPtr revIDLastSave="0" documentId="13_ncr:1_{C6A4D72C-A82E-4E11-BF3C-D487BC19993E}" xr6:coauthVersionLast="47" xr6:coauthVersionMax="47" xr10:uidLastSave="{00000000-0000-0000-0000-000000000000}"/>
  <workbookProtection workbookAlgorithmName="SHA-512" workbookHashValue="WnHxHPL7ZJmldYA1PL7hElasuy8hAFxp1S7AnQp3fCkXVJf5Sn1QLrJpCeA1rEKBfvZX3EeZU5E+//qBZhqMMQ==" workbookSaltValue="c9eAHbDn+rprSlZBlTt+EA==" workbookSpinCount="100000" lockStructure="1"/>
  <bookViews>
    <workbookView xWindow="-120" yWindow="-120" windowWidth="29040" windowHeight="15840" xr2:uid="{943331EE-B138-4842-9445-DBC8504860AC}"/>
  </bookViews>
  <sheets>
    <sheet name="Avertissement" sheetId="98" r:id="rId1"/>
    <sheet name="simulateur" sheetId="3" r:id="rId2"/>
    <sheet name="             " sheetId="86" state="hidden" r:id="rId3"/>
    <sheet name="EI_IR_cotisations" sheetId="65" state="hidden" r:id="rId4"/>
    <sheet name="EI_IR_retraite_ID" sheetId="45" state="hidden" r:id="rId5"/>
    <sheet name="EI_IR_calcul_IR" sheetId="84" state="hidden" r:id="rId6"/>
    <sheet name="EI_IR_param_IR" sheetId="85" state="hidden" r:id="rId7"/>
    <sheet name="            " sheetId="83" state="hidden" r:id="rId8"/>
    <sheet name="EI_IS_cotisations" sheetId="94" state="hidden" r:id="rId9"/>
    <sheet name="EI_IS_retraite_ID" sheetId="95" state="hidden" r:id="rId10"/>
    <sheet name="EI_IS_calcul_IR" sheetId="96" state="hidden" r:id="rId11"/>
    <sheet name="EI_IS_param_IR" sheetId="97" state="hidden" r:id="rId12"/>
    <sheet name=" " sheetId="15" state="hidden" r:id="rId13"/>
    <sheet name="PARAM IR SOURCE" sheetId="76" state="hidden" r:id="rId14"/>
    <sheet name="Profession" sheetId="93" state="hidden" r:id="rId15"/>
    <sheet name="A VOIR" sheetId="12" state="hidden" r:id="rId16"/>
  </sheets>
  <externalReferences>
    <externalReference r:id="rId17"/>
    <externalReference r:id="rId18"/>
  </externalReferences>
  <definedNames>
    <definedName name="autres_revenus">simulateur!$N$21</definedName>
    <definedName name="benef_avant_cotis_et_rem">simulateur!$H$26</definedName>
    <definedName name="benef_avant_rem">simulateur!$K$26</definedName>
    <definedName name="cotis_facult_is">simulateur!$K$27</definedName>
    <definedName name="cotisations_facultatives">simulateur!$H$27</definedName>
    <definedName name="ID_1">EI_IR_retraite_ID!$E$280</definedName>
    <definedName name="ID_10">EI_IR_retraite_ID!$I$204</definedName>
    <definedName name="ID_11">EI_IR_retraite_ID!$E$352</definedName>
    <definedName name="ID_12">EI_IR_retraite_ID!$I$127</definedName>
    <definedName name="ID_13">EI_IR_retraite_ID!$E$295</definedName>
    <definedName name="ID_14">EI_IR_retraite_ID!$E$79</definedName>
    <definedName name="ID_15">EI_IR_retraite_ID!$K$127</definedName>
    <definedName name="ID_16">EI_IR_retraite_ID!$J$204</definedName>
    <definedName name="ID_2">EI_IR_retraite_ID!$E$57</definedName>
    <definedName name="ID_3">EI_IR_retraite_ID!$E$177</definedName>
    <definedName name="ID_4">EI_IR_retraite_ID!$E$306</definedName>
    <definedName name="ID_5">EI_IR_retraite_ID!$E$336</definedName>
    <definedName name="ID_AC">EI_IR_retraite_ID!$E$9</definedName>
    <definedName name="ID_PLNR">EI_IR_retraite_ID!$E$27</definedName>
    <definedName name="mode_exercice" localSheetId="3">'[1]PARAM ACTIVITE'!$B$2:$B$4</definedName>
    <definedName name="mode_exercice" localSheetId="8">'[1]PARAM ACTIVITE'!$B$2:$B$4</definedName>
    <definedName name="mode_exercice">'[2]PARAM ACTIVITE'!$B$2:$B$4</definedName>
    <definedName name="mode_exercice_pour_liste">'[1]PARAM ACTIVITE'!$G$2:$G$3</definedName>
    <definedName name="nom_cabinet">simulateur!$E$5</definedName>
    <definedName name="nom_ec">simulateur!$L$5</definedName>
    <definedName name="nombre_parts">simulateur!$N$18</definedName>
    <definedName name="Profession">Profession!$B$6:$B$28</definedName>
    <definedName name="profession_du_client">simulateur!#REF!</definedName>
    <definedName name="RB_1_2">EI_IR_retraite_ID!$E$50</definedName>
    <definedName name="RB_2_2">EI_IR_retraite_ID!$E$52</definedName>
    <definedName name="RC_1_11">EI_IR_retraite_ID!$E$354</definedName>
    <definedName name="RC_1_12">EI_IR_retraite_ID!$I$104</definedName>
    <definedName name="RC_1_14">EI_IR_retraite_ID!$E$77</definedName>
    <definedName name="RC_1_15">EI_IR_retraite_ID!$K$104</definedName>
    <definedName name="RC_1_4">EI_IR_retraite_ID!$E$319</definedName>
    <definedName name="RC_2_1">EI_IR_retraite_ID!$E$270</definedName>
    <definedName name="RC_2_10">EI_IR_retraite_ID!$I$201</definedName>
    <definedName name="RC_2_11">EI_IR_retraite_ID!$E$357</definedName>
    <definedName name="RC_2_12">EI_IR_retraite_ID!$E$106</definedName>
    <definedName name="RC_2_13">EI_IR_retraite_ID!$E$289</definedName>
    <definedName name="RC_2_14">EI_IR_retraite_ID!$E$91</definedName>
    <definedName name="RC_2_15">EI_IR_retraite_ID!$K$110</definedName>
    <definedName name="RC_2_16">EI_IR_retraite_ID!$J$201</definedName>
    <definedName name="RC_2_2">EI_IR_retraite_ID!$E$59</definedName>
    <definedName name="RC_2_3">EI_IR_retraite_ID!$E$167</definedName>
    <definedName name="RC_2_4">EI_IR_retraite_ID!$E$309</definedName>
    <definedName name="RC_2_5">EI_IR_retraite_ID!$E$331</definedName>
    <definedName name="RC_2_AC">EI_IR_retraite_ID!$E$12</definedName>
    <definedName name="RC_2_PLNR">EI_IR_retraite_ID!$E$30</definedName>
    <definedName name="RC_3_12">EI_IR_retraite_ID!$I$129</definedName>
    <definedName name="RC_3_15">EI_IR_retraite_ID!$K$129</definedName>
    <definedName name="RC_4_10">EI_IR_retraite_ID!$I$217</definedName>
    <definedName name="RC_4_11">EI_IR_retraite_ID!$E$371</definedName>
    <definedName name="RC_4_12">EI_IR_retraite_ID!#REF!</definedName>
    <definedName name="RC_4_14">EI_IR_retraite_ID!$E$81</definedName>
    <definedName name="RC_4_15">EI_IR_retraite_ID!$K$118</definedName>
    <definedName name="RC_4_16">EI_IR_retraite_ID!$J$217</definedName>
    <definedName name="RC_5_10">EI_IR_retraite_ID!$I$222</definedName>
    <definedName name="RC_5_11">EI_IR_retraite_ID!$E$373</definedName>
    <definedName name="RC_5_12">EI_IR_retraite_ID!$I$122</definedName>
    <definedName name="RC_5_14">EI_IR_retraite_ID!$E$89</definedName>
    <definedName name="RC_5_15">EI_IR_retraite_ID!$K$122</definedName>
    <definedName name="RC_5_16">EI_IR_retraite_ID!$J$222</definedName>
    <definedName name="RC_6_10">EI_IR_retraite_ID!$I$228</definedName>
    <definedName name="RC_6_12">EI_IR_retraite_ID!$E$112</definedName>
    <definedName name="RC_6_15">EI_IR_retraite_ID!$K$116</definedName>
    <definedName name="RC_6_16">EI_IR_retraite_ID!$J$228</definedName>
    <definedName name="remuneration_versee_dirigeant">simulateur!$H$29</definedName>
    <definedName name="salaire_conjoint">simulateur!$N$20</definedName>
    <definedName name="taux_is">'[1]PARAM IS'!$C$4</definedName>
    <definedName name="taux_is_libelle">'[1]PARAM IS'!$C$5</definedName>
    <definedName name="URPS_10">EI_IR_retraite_ID!$I$213</definedName>
    <definedName name="URPS_11">EI_IR_retraite_ID!$E$347</definedName>
    <definedName name="URPS_14">EI_IR_retraite_ID!$E$83</definedName>
    <definedName name="URPS_16">EI_IR_retraite_ID!$J$213</definedName>
    <definedName name="Z_F3382B3E_2434_417D_94F5_767B87B438DD_.wvu.PrintArea" localSheetId="1" hidden="1">simulateur!$B$1:$R$21</definedName>
    <definedName name="Z_F3382B3E_2434_417D_94F5_767B87B438DD_.wvu.Rows" localSheetId="1" hidden="1">simulateur!#REF!,simulateur!#REF!</definedName>
    <definedName name="_xlnm.Print_Area" localSheetId="5">EI_IR_calcul_IR!$B$1:$J$122</definedName>
    <definedName name="_xlnm.Print_Area" localSheetId="3">EI_IR_cotisations!$L$7:$S$75</definedName>
    <definedName name="_xlnm.Print_Area" localSheetId="10">EI_IS_calcul_IR!$B$1:$J$122</definedName>
    <definedName name="_xlnm.Print_Area" localSheetId="8">EI_IS_cotisations!$L$7:$S$75</definedName>
    <definedName name="_xlnm.Print_Area" localSheetId="1">simulateur!$B$1:$O$82</definedName>
    <definedName name="zone01">simulateur!$K$5</definedName>
  </definedNames>
  <calcPr calcId="191029" iterate="1"/>
  <customWorkbookViews>
    <customWorkbookView name="Fabien Bocci - Affichage personnalisé" guid="{F3382B3E-2434-417D-94F5-767B87B438DD}" mergeInterval="0" personalView="1" maximized="1" xWindow="-8" yWindow="-8" windowWidth="1616" windowHeight="886" tabRatio="408" activeSheetId="7"/>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H25" i="96" l="1"/>
  <c r="N78" i="3"/>
  <c r="K78" i="3"/>
  <c r="H28" i="3"/>
  <c r="H78" i="3" s="1"/>
  <c r="E18" i="96" l="1"/>
  <c r="H34" i="3"/>
  <c r="H33" i="3"/>
  <c r="H27" i="84"/>
  <c r="H27" i="96"/>
  <c r="F15" i="96"/>
  <c r="F15" i="84"/>
  <c r="G10" i="94"/>
  <c r="G10" i="65"/>
  <c r="N71" i="3"/>
  <c r="K41" i="3"/>
  <c r="K67" i="3" l="1"/>
  <c r="F10" i="94"/>
  <c r="E48" i="95"/>
  <c r="E80" i="97"/>
  <c r="E82" i="97" s="1"/>
  <c r="D80" i="97"/>
  <c r="D82" i="97" s="1"/>
  <c r="D83" i="97" s="1"/>
  <c r="F37" i="97"/>
  <c r="F36" i="97"/>
  <c r="F35" i="97"/>
  <c r="F33" i="97"/>
  <c r="F32" i="97"/>
  <c r="F31" i="97"/>
  <c r="L27" i="97"/>
  <c r="K27" i="97"/>
  <c r="F27" i="97"/>
  <c r="L26" i="97"/>
  <c r="K26" i="97"/>
  <c r="F26" i="97"/>
  <c r="F23" i="97"/>
  <c r="F22" i="97"/>
  <c r="F11" i="97"/>
  <c r="E11" i="97"/>
  <c r="D11" i="97"/>
  <c r="F10" i="97"/>
  <c r="E10" i="97"/>
  <c r="D10" i="97"/>
  <c r="F9" i="97"/>
  <c r="E9" i="97"/>
  <c r="D9" i="97"/>
  <c r="C10" i="97" s="1"/>
  <c r="F8" i="97"/>
  <c r="E8" i="97"/>
  <c r="D8" i="97"/>
  <c r="C9" i="97" s="1"/>
  <c r="C8" i="97"/>
  <c r="F7" i="97"/>
  <c r="E7" i="97"/>
  <c r="D7" i="97"/>
  <c r="C7" i="97"/>
  <c r="F6" i="97"/>
  <c r="E6" i="97"/>
  <c r="D6" i="97"/>
  <c r="B4" i="97"/>
  <c r="F17" i="96"/>
  <c r="E17" i="96"/>
  <c r="H11" i="96"/>
  <c r="H10" i="96"/>
  <c r="H9" i="96"/>
  <c r="F17" i="97" s="1"/>
  <c r="F349" i="95"/>
  <c r="E334" i="95"/>
  <c r="F334" i="95" s="1"/>
  <c r="E333" i="95"/>
  <c r="D333" i="95"/>
  <c r="D332" i="95"/>
  <c r="E304" i="95"/>
  <c r="E319" i="95" s="1"/>
  <c r="E303" i="95"/>
  <c r="E309" i="95" s="1"/>
  <c r="D292" i="95"/>
  <c r="D291" i="95"/>
  <c r="D290" i="95"/>
  <c r="D278" i="95"/>
  <c r="D277" i="95"/>
  <c r="D276" i="95"/>
  <c r="D275" i="95"/>
  <c r="D274" i="95"/>
  <c r="D273" i="95"/>
  <c r="D272" i="95"/>
  <c r="D271" i="95"/>
  <c r="F252" i="95"/>
  <c r="E247" i="95"/>
  <c r="E248" i="95" s="1"/>
  <c r="E243" i="95"/>
  <c r="D243" i="95" s="1"/>
  <c r="E228" i="95"/>
  <c r="E227" i="95"/>
  <c r="F211" i="95"/>
  <c r="E206" i="95"/>
  <c r="E207" i="95" s="1"/>
  <c r="E202" i="95"/>
  <c r="D202" i="95" s="1"/>
  <c r="F184" i="95"/>
  <c r="F185" i="95" s="1"/>
  <c r="F182" i="95"/>
  <c r="F180" i="95"/>
  <c r="D175" i="95"/>
  <c r="D174" i="95"/>
  <c r="D173" i="95"/>
  <c r="D172" i="95"/>
  <c r="D171" i="95"/>
  <c r="D170" i="95"/>
  <c r="D169" i="95"/>
  <c r="D168" i="95"/>
  <c r="E153" i="95"/>
  <c r="F151" i="95"/>
  <c r="E146" i="95"/>
  <c r="G145" i="95"/>
  <c r="E145" i="95"/>
  <c r="F114" i="95"/>
  <c r="E109" i="95"/>
  <c r="G108" i="95"/>
  <c r="E108" i="95"/>
  <c r="D93" i="95"/>
  <c r="F92" i="95"/>
  <c r="H92" i="95" s="1"/>
  <c r="D92" i="95"/>
  <c r="E88" i="95"/>
  <c r="G85" i="95"/>
  <c r="E34" i="95"/>
  <c r="F33" i="95"/>
  <c r="H33" i="95" s="1"/>
  <c r="E27" i="95"/>
  <c r="E17" i="95"/>
  <c r="E16" i="95"/>
  <c r="H15" i="95"/>
  <c r="F15" i="95"/>
  <c r="E9" i="95"/>
  <c r="Y31" i="94"/>
  <c r="Z31" i="94" s="1"/>
  <c r="Z30" i="94"/>
  <c r="R29" i="94"/>
  <c r="Q29" i="94"/>
  <c r="H18" i="94"/>
  <c r="D34" i="94" s="1"/>
  <c r="Q16" i="94"/>
  <c r="Q15" i="94"/>
  <c r="W9" i="94"/>
  <c r="AE4" i="94"/>
  <c r="AD4" i="94"/>
  <c r="E322" i="95" l="1"/>
  <c r="F20" i="97"/>
  <c r="F19" i="97"/>
  <c r="I52" i="97" s="1"/>
  <c r="AE55" i="94"/>
  <c r="N31" i="94"/>
  <c r="F18" i="94"/>
  <c r="N38" i="94"/>
  <c r="AE51" i="94"/>
  <c r="P20" i="94"/>
  <c r="AE50" i="94"/>
  <c r="AE20" i="94"/>
  <c r="AE46" i="94"/>
  <c r="AE43" i="94"/>
  <c r="AE47" i="94"/>
  <c r="N13" i="95"/>
  <c r="O21" i="95" s="1"/>
  <c r="N37" i="94"/>
  <c r="AE48" i="94"/>
  <c r="P43" i="94"/>
  <c r="AE52" i="94"/>
  <c r="D77" i="97"/>
  <c r="E81" i="97"/>
  <c r="D81" i="97"/>
  <c r="Z16" i="94"/>
  <c r="Z29" i="94"/>
  <c r="Z15" i="94"/>
  <c r="E19" i="96"/>
  <c r="H17" i="96"/>
  <c r="D334" i="95"/>
  <c r="F18" i="96"/>
  <c r="F19" i="96" s="1"/>
  <c r="P42" i="94"/>
  <c r="AE49" i="94"/>
  <c r="AE42" i="94"/>
  <c r="I64" i="97" l="1"/>
  <c r="I63" i="97"/>
  <c r="H19" i="96"/>
  <c r="O16" i="95"/>
  <c r="P16" i="95" s="1"/>
  <c r="O22" i="95"/>
  <c r="O20" i="95"/>
  <c r="O18" i="95"/>
  <c r="O24" i="95"/>
  <c r="O19" i="95"/>
  <c r="P19" i="95" s="1"/>
  <c r="O15" i="95"/>
  <c r="P15" i="95" s="1"/>
  <c r="O17" i="95"/>
  <c r="O23" i="95"/>
  <c r="Q21" i="95"/>
  <c r="P21" i="95"/>
  <c r="Q16" i="95" l="1"/>
  <c r="P50" i="94"/>
  <c r="P23" i="95"/>
  <c r="Q17" i="95"/>
  <c r="P17" i="95"/>
  <c r="P24" i="95"/>
  <c r="P18" i="95"/>
  <c r="Q18" i="95"/>
  <c r="P47" i="94" s="1"/>
  <c r="P20" i="95"/>
  <c r="Q20" i="95"/>
  <c r="P49" i="94" s="1"/>
  <c r="P22" i="95"/>
  <c r="H30" i="96" l="1"/>
  <c r="N74" i="3"/>
  <c r="H41" i="3"/>
  <c r="A11" i="93" l="1"/>
  <c r="A12" i="93"/>
  <c r="A13" i="93"/>
  <c r="A14" i="93"/>
  <c r="A15" i="93"/>
  <c r="A16" i="93"/>
  <c r="A17" i="93"/>
  <c r="A18" i="93"/>
  <c r="A19" i="93"/>
  <c r="A20" i="93"/>
  <c r="A21" i="93"/>
  <c r="A22" i="93"/>
  <c r="A23" i="93"/>
  <c r="A24" i="93"/>
  <c r="A25" i="93"/>
  <c r="A26" i="93"/>
  <c r="A27" i="93"/>
  <c r="A28" i="93"/>
  <c r="A10" i="93"/>
  <c r="E13" i="3"/>
  <c r="AE4" i="65"/>
  <c r="AD4" i="65"/>
  <c r="B4" i="85"/>
  <c r="F211" i="45"/>
  <c r="F252" i="45"/>
  <c r="F349" i="45"/>
  <c r="E304" i="45"/>
  <c r="E303" i="45"/>
  <c r="E243" i="45"/>
  <c r="D243" i="45" s="1"/>
  <c r="E247" i="45"/>
  <c r="E248" i="45" s="1"/>
  <c r="F151" i="45"/>
  <c r="E146" i="45"/>
  <c r="E145" i="45"/>
  <c r="E153" i="45"/>
  <c r="L4" i="94" l="1"/>
  <c r="U4" i="94"/>
  <c r="AE55" i="65"/>
  <c r="N31" i="65"/>
  <c r="L4" i="65"/>
  <c r="U4" i="65"/>
  <c r="AE43" i="65"/>
  <c r="N38" i="65"/>
  <c r="N37" i="65"/>
  <c r="AE50" i="65"/>
  <c r="AE46" i="65"/>
  <c r="N13" i="45"/>
  <c r="AE52" i="65"/>
  <c r="AE42" i="65"/>
  <c r="AE20" i="65"/>
  <c r="AE47" i="65"/>
  <c r="AE49" i="65"/>
  <c r="AE51" i="65"/>
  <c r="AE48" i="65"/>
  <c r="G145" i="45"/>
  <c r="O20" i="45" l="1"/>
  <c r="P20" i="45" s="1"/>
  <c r="O16" i="45"/>
  <c r="O17" i="45"/>
  <c r="P17" i="45" s="1"/>
  <c r="O22" i="45"/>
  <c r="O19" i="45"/>
  <c r="P19" i="45" s="1"/>
  <c r="O24" i="45"/>
  <c r="O23" i="45"/>
  <c r="P23" i="45" s="1"/>
  <c r="O15" i="45"/>
  <c r="O21" i="45"/>
  <c r="O18" i="45"/>
  <c r="P18" i="45" s="1"/>
  <c r="Q20" i="45" l="1"/>
  <c r="P49" i="65" s="1"/>
  <c r="Q16" i="45"/>
  <c r="P16" i="45"/>
  <c r="P15" i="45"/>
  <c r="P24" i="45"/>
  <c r="Q21" i="45"/>
  <c r="P50" i="65" s="1"/>
  <c r="P21" i="45"/>
  <c r="P22" i="45"/>
  <c r="E80" i="85"/>
  <c r="E82" i="85" s="1"/>
  <c r="D80" i="85"/>
  <c r="D82" i="85" s="1"/>
  <c r="D83" i="85" s="1"/>
  <c r="H30" i="84"/>
  <c r="F17" i="84"/>
  <c r="H11" i="84"/>
  <c r="F19" i="85" s="1"/>
  <c r="H10" i="84"/>
  <c r="H9" i="84"/>
  <c r="F17" i="85" s="1"/>
  <c r="F32" i="85"/>
  <c r="D7" i="85"/>
  <c r="C8" i="85" s="1"/>
  <c r="E85" i="76"/>
  <c r="E87" i="76" s="1"/>
  <c r="D85" i="76"/>
  <c r="D87" i="76" s="1"/>
  <c r="D88" i="76" s="1"/>
  <c r="L54" i="76"/>
  <c r="L53" i="76"/>
  <c r="L24" i="76"/>
  <c r="K24" i="76"/>
  <c r="K22" i="76"/>
  <c r="B4" i="76"/>
  <c r="K42" i="3"/>
  <c r="P42" i="65" l="1"/>
  <c r="E8" i="85"/>
  <c r="D11" i="85"/>
  <c r="K27" i="85"/>
  <c r="E6" i="85"/>
  <c r="D9" i="85"/>
  <c r="C10" i="85" s="1"/>
  <c r="L27" i="85"/>
  <c r="F6" i="85"/>
  <c r="E9" i="85"/>
  <c r="F31" i="85"/>
  <c r="F8" i="85"/>
  <c r="F9" i="85"/>
  <c r="F23" i="85"/>
  <c r="F18" i="84" s="1"/>
  <c r="F19" i="84" s="1"/>
  <c r="E11" i="85"/>
  <c r="F20" i="85"/>
  <c r="F20" i="76"/>
  <c r="F17" i="76"/>
  <c r="D86" i="76" s="1"/>
  <c r="F19" i="76"/>
  <c r="E7" i="85"/>
  <c r="F11" i="85"/>
  <c r="F26" i="85"/>
  <c r="F33" i="85"/>
  <c r="F37" i="85" s="1"/>
  <c r="D6" i="85"/>
  <c r="F7" i="85"/>
  <c r="D10" i="85"/>
  <c r="K26" i="85"/>
  <c r="F35" i="85"/>
  <c r="E10" i="85"/>
  <c r="L26" i="85"/>
  <c r="F36" i="85"/>
  <c r="F10" i="85"/>
  <c r="F22" i="85"/>
  <c r="I52" i="85" s="1"/>
  <c r="F27" i="85"/>
  <c r="D8" i="85"/>
  <c r="E81" i="85"/>
  <c r="D77" i="85"/>
  <c r="D81" i="85"/>
  <c r="I64" i="85" l="1"/>
  <c r="I63" i="85"/>
  <c r="E86" i="76"/>
  <c r="D82" i="76"/>
  <c r="C7" i="85"/>
  <c r="C9" i="85"/>
  <c r="E27" i="45" l="1"/>
  <c r="F114" i="45"/>
  <c r="G85" i="45"/>
  <c r="H18" i="65"/>
  <c r="Y31" i="65"/>
  <c r="Z31" i="65" s="1"/>
  <c r="R29" i="65"/>
  <c r="Q29" i="65"/>
  <c r="H11" i="65"/>
  <c r="F11" i="65"/>
  <c r="Q16" i="65"/>
  <c r="Z15" i="65"/>
  <c r="Q15" i="65"/>
  <c r="W9" i="65"/>
  <c r="F15" i="45"/>
  <c r="H15" i="45" s="1"/>
  <c r="E16" i="45"/>
  <c r="E9" i="45"/>
  <c r="F33" i="45"/>
  <c r="H33" i="45" s="1"/>
  <c r="E34" i="45"/>
  <c r="E228" i="45"/>
  <c r="E227" i="45"/>
  <c r="E206" i="45"/>
  <c r="E207" i="45" s="1"/>
  <c r="E202" i="45"/>
  <c r="E334" i="45"/>
  <c r="F334" i="45" s="1"/>
  <c r="E333" i="45"/>
  <c r="D333" i="45" s="1"/>
  <c r="E319" i="45"/>
  <c r="Q18" i="45" s="1"/>
  <c r="P47" i="65" s="1"/>
  <c r="E309" i="45"/>
  <c r="F92" i="45"/>
  <c r="H92" i="45" s="1"/>
  <c r="E109" i="45"/>
  <c r="E108" i="45"/>
  <c r="D332" i="45"/>
  <c r="D292" i="45"/>
  <c r="D291" i="45"/>
  <c r="D290" i="45"/>
  <c r="D278" i="45"/>
  <c r="D277" i="45"/>
  <c r="D276" i="45"/>
  <c r="D275" i="45"/>
  <c r="D274" i="45"/>
  <c r="D273" i="45"/>
  <c r="D272" i="45"/>
  <c r="D271" i="45"/>
  <c r="D175" i="45"/>
  <c r="F184" i="45"/>
  <c r="F185" i="45" s="1"/>
  <c r="D174" i="45"/>
  <c r="D173" i="45"/>
  <c r="F182" i="45"/>
  <c r="D172" i="45"/>
  <c r="D171" i="45"/>
  <c r="F180" i="45"/>
  <c r="D170" i="45"/>
  <c r="D169" i="45"/>
  <c r="D168" i="45"/>
  <c r="E88" i="45"/>
  <c r="D93" i="45"/>
  <c r="D92" i="45"/>
  <c r="F18" i="65" l="1"/>
  <c r="D34" i="65"/>
  <c r="Z16" i="65"/>
  <c r="Z29" i="65"/>
  <c r="Z30" i="65"/>
  <c r="E17" i="45"/>
  <c r="F10" i="65"/>
  <c r="D202" i="45"/>
  <c r="E322" i="45"/>
  <c r="G108" i="45"/>
  <c r="D334" i="45"/>
  <c r="F23" i="65" l="1"/>
  <c r="N6" i="76" l="1"/>
  <c r="P6" i="76"/>
  <c r="C7" i="76"/>
  <c r="N7" i="76"/>
  <c r="P7" i="76"/>
  <c r="C8" i="76"/>
  <c r="N8" i="76"/>
  <c r="P8" i="76"/>
  <c r="C9" i="76"/>
  <c r="N9" i="76"/>
  <c r="P9" i="76"/>
  <c r="C10" i="76"/>
  <c r="N10" i="76"/>
  <c r="P10" i="76"/>
  <c r="F37" i="76"/>
  <c r="I52" i="76"/>
  <c r="I63" i="76"/>
  <c r="I64" i="76"/>
  <c r="E17" i="84" l="1"/>
  <c r="H17" i="84" s="1"/>
  <c r="E18" i="84" l="1"/>
  <c r="E19" i="84" s="1"/>
  <c r="H19" i="84" s="1"/>
  <c r="H6" i="76" l="1"/>
  <c r="I6" i="76"/>
  <c r="H7" i="76"/>
  <c r="I7" i="76"/>
  <c r="H8" i="76"/>
  <c r="I8" i="76"/>
  <c r="H9" i="76"/>
  <c r="I9" i="76"/>
  <c r="H10" i="76"/>
  <c r="I10" i="76"/>
  <c r="H11" i="76"/>
  <c r="I11" i="76"/>
  <c r="F18" i="76"/>
  <c r="I65" i="76" s="1"/>
  <c r="I66" i="76" s="1"/>
  <c r="H47" i="76"/>
  <c r="I47" i="76"/>
  <c r="J47" i="76"/>
  <c r="H48" i="76"/>
  <c r="I48" i="76" s="1"/>
  <c r="J48" i="76"/>
  <c r="E82" i="76"/>
  <c r="D83" i="76"/>
  <c r="D89" i="76" s="1"/>
  <c r="I50" i="76" l="1"/>
  <c r="I54" i="76" s="1"/>
  <c r="I56" i="76"/>
  <c r="I57" i="76" l="1"/>
  <c r="I59" i="76"/>
  <c r="I61" i="76" s="1"/>
  <c r="I67" i="76" l="1"/>
  <c r="I68" i="76" s="1"/>
  <c r="P43" i="65"/>
  <c r="Q17" i="45"/>
  <c r="P20" i="65" l="1"/>
  <c r="D35" i="94" l="1"/>
  <c r="Q23" i="45" l="1"/>
  <c r="P52" i="65" s="1"/>
  <c r="Q23" i="95" l="1"/>
  <c r="P52" i="94" s="1"/>
  <c r="Q15" i="45"/>
  <c r="P55" i="65" s="1"/>
  <c r="Q15" i="95"/>
  <c r="P55" i="94" s="1"/>
  <c r="Y55" i="65" l="1"/>
  <c r="Y55" i="94"/>
  <c r="P32" i="65" l="1"/>
  <c r="P32" i="94"/>
  <c r="Q22" i="45"/>
  <c r="P51" i="65" s="1"/>
  <c r="Q24" i="45"/>
  <c r="N20" i="65" s="1"/>
  <c r="Q22" i="95"/>
  <c r="P51" i="94" s="1"/>
  <c r="Q24" i="95"/>
  <c r="N20" i="94" s="1"/>
  <c r="Q19" i="45"/>
  <c r="Y46" i="65" s="1"/>
  <c r="Y74" i="65" s="1"/>
  <c r="Q19" i="95"/>
  <c r="P48" i="65" l="1"/>
  <c r="P46" i="65" s="1"/>
  <c r="N74" i="65" s="1"/>
  <c r="Y46" i="94"/>
  <c r="Y74" i="94" s="1"/>
  <c r="P48" i="94"/>
  <c r="P46" i="94" s="1"/>
  <c r="N74" i="94" s="1"/>
  <c r="H20" i="84" l="1"/>
  <c r="I22" i="84"/>
  <c r="H29" i="84"/>
  <c r="H38" i="84"/>
  <c r="H40" i="84"/>
  <c r="H42" i="84"/>
  <c r="I42" i="84"/>
  <c r="J42" i="84"/>
  <c r="H51" i="84"/>
  <c r="G53" i="84"/>
  <c r="I53" i="84"/>
  <c r="J53" i="84"/>
  <c r="H61" i="84"/>
  <c r="H66" i="84"/>
  <c r="H69" i="84"/>
  <c r="I69" i="84"/>
  <c r="H12" i="65"/>
  <c r="H14" i="65"/>
  <c r="N14" i="65"/>
  <c r="W14" i="65"/>
  <c r="F15" i="65"/>
  <c r="G15" i="65"/>
  <c r="H15" i="65"/>
  <c r="N15" i="65"/>
  <c r="R15" i="65"/>
  <c r="W15" i="65"/>
  <c r="AA15" i="65"/>
  <c r="N16" i="65"/>
  <c r="R16" i="65"/>
  <c r="W16" i="65"/>
  <c r="AA16" i="65"/>
  <c r="F17" i="65"/>
  <c r="G17" i="65"/>
  <c r="N18" i="65"/>
  <c r="W18" i="65"/>
  <c r="F19" i="65"/>
  <c r="G19" i="65"/>
  <c r="H19" i="65"/>
  <c r="F21" i="65"/>
  <c r="G21" i="65"/>
  <c r="H21" i="65"/>
  <c r="F24" i="65"/>
  <c r="R25" i="65"/>
  <c r="AA25" i="65"/>
  <c r="N27" i="65"/>
  <c r="N28" i="65"/>
  <c r="R28" i="65"/>
  <c r="AA28" i="65"/>
  <c r="N29" i="65"/>
  <c r="W29" i="65"/>
  <c r="X29" i="65"/>
  <c r="AA29" i="65"/>
  <c r="W30" i="65"/>
  <c r="X30" i="65"/>
  <c r="AA30" i="65"/>
  <c r="W31" i="65"/>
  <c r="X31" i="65"/>
  <c r="AA31" i="65"/>
  <c r="D32" i="65"/>
  <c r="W32" i="65"/>
  <c r="D33" i="65"/>
  <c r="D35" i="65"/>
  <c r="O37" i="65"/>
  <c r="P37" i="65"/>
  <c r="X37" i="65"/>
  <c r="Y37" i="65"/>
  <c r="O38" i="65"/>
  <c r="P38" i="65"/>
  <c r="X38" i="65"/>
  <c r="Y38" i="65"/>
  <c r="N39" i="65"/>
  <c r="W39" i="65"/>
  <c r="Y40" i="65"/>
  <c r="Z40" i="65"/>
  <c r="P44" i="65"/>
  <c r="N61" i="65"/>
  <c r="P61" i="65"/>
  <c r="W61" i="65"/>
  <c r="Y61" i="65"/>
  <c r="N62" i="65"/>
  <c r="P62" i="65"/>
  <c r="W62" i="65"/>
  <c r="Y62" i="65"/>
  <c r="P64" i="65"/>
  <c r="Y64" i="65"/>
  <c r="N70" i="65"/>
  <c r="Y70" i="65"/>
  <c r="N71" i="65"/>
  <c r="Y71" i="65"/>
  <c r="N72" i="65"/>
  <c r="Y72" i="65"/>
  <c r="N73" i="65"/>
  <c r="Y73" i="65"/>
  <c r="N75" i="65"/>
  <c r="Y75" i="65"/>
  <c r="N76" i="65"/>
  <c r="N77" i="65"/>
  <c r="H6" i="85"/>
  <c r="I6" i="85"/>
  <c r="H7" i="85"/>
  <c r="I7" i="85"/>
  <c r="H8" i="85"/>
  <c r="I8" i="85"/>
  <c r="H9" i="85"/>
  <c r="I9" i="85"/>
  <c r="H10" i="85"/>
  <c r="I10" i="85"/>
  <c r="H11" i="85"/>
  <c r="I11" i="85"/>
  <c r="F18" i="85"/>
  <c r="H47" i="85"/>
  <c r="I47" i="85"/>
  <c r="J47" i="85"/>
  <c r="H48" i="85"/>
  <c r="I48" i="85"/>
  <c r="J48" i="85"/>
  <c r="I50" i="85"/>
  <c r="I54" i="85"/>
  <c r="I56" i="85"/>
  <c r="I57" i="85"/>
  <c r="I59" i="85"/>
  <c r="I61" i="85"/>
  <c r="I65" i="85"/>
  <c r="I66" i="85"/>
  <c r="I67" i="85"/>
  <c r="I68" i="85"/>
  <c r="E77" i="85"/>
  <c r="D78" i="85"/>
  <c r="D84" i="85"/>
  <c r="E6" i="45"/>
  <c r="E12" i="45"/>
  <c r="F16" i="45"/>
  <c r="H16" i="45"/>
  <c r="F17" i="45"/>
  <c r="H17" i="45"/>
  <c r="F18" i="45"/>
  <c r="H18" i="45"/>
  <c r="E20" i="45"/>
  <c r="E25" i="45"/>
  <c r="E30" i="45"/>
  <c r="F34" i="45"/>
  <c r="H34" i="45"/>
  <c r="H35" i="45"/>
  <c r="E38" i="45"/>
  <c r="E47" i="45"/>
  <c r="E52" i="45"/>
  <c r="E59" i="45"/>
  <c r="L62" i="45"/>
  <c r="K63" i="45"/>
  <c r="L63" i="45"/>
  <c r="K64" i="45"/>
  <c r="L64" i="45"/>
  <c r="K65" i="45"/>
  <c r="L65" i="45"/>
  <c r="K66" i="45"/>
  <c r="L66" i="45"/>
  <c r="K67" i="45"/>
  <c r="L67" i="45"/>
  <c r="K68" i="45"/>
  <c r="L68" i="45"/>
  <c r="E71" i="45"/>
  <c r="E75" i="45"/>
  <c r="E83" i="45"/>
  <c r="F85" i="45"/>
  <c r="E89" i="45"/>
  <c r="E91" i="45"/>
  <c r="F93" i="45"/>
  <c r="H93" i="45"/>
  <c r="H94" i="45"/>
  <c r="E96" i="45"/>
  <c r="E101" i="45"/>
  <c r="E106" i="45"/>
  <c r="G109" i="45"/>
  <c r="E112" i="45"/>
  <c r="E119" i="45"/>
  <c r="E132" i="45"/>
  <c r="E138" i="45"/>
  <c r="E143" i="45"/>
  <c r="G146" i="45"/>
  <c r="E149" i="45"/>
  <c r="E160" i="45"/>
  <c r="E165" i="45"/>
  <c r="E167" i="45"/>
  <c r="E177" i="45"/>
  <c r="E189" i="45"/>
  <c r="E196" i="45"/>
  <c r="E201" i="45"/>
  <c r="E204" i="45"/>
  <c r="E209" i="45"/>
  <c r="E219" i="45"/>
  <c r="E225" i="45"/>
  <c r="E231" i="45"/>
  <c r="E237" i="45"/>
  <c r="E242" i="45"/>
  <c r="E245" i="45"/>
  <c r="E250" i="45"/>
  <c r="E259" i="45"/>
  <c r="E263" i="45"/>
  <c r="E268" i="45"/>
  <c r="E270" i="45"/>
  <c r="E282" i="45"/>
  <c r="E287" i="45"/>
  <c r="E289" i="45"/>
  <c r="E297" i="45"/>
  <c r="E302" i="45"/>
  <c r="E327" i="45"/>
  <c r="E331" i="45"/>
  <c r="F333" i="45"/>
  <c r="E339" i="45"/>
  <c r="E345" i="45"/>
  <c r="E347" i="45"/>
  <c r="E357" i="45"/>
  <c r="E373" i="45"/>
  <c r="E376" i="45"/>
  <c r="H20" i="96"/>
  <c r="K20" i="96"/>
  <c r="L20" i="96"/>
  <c r="M20" i="96"/>
  <c r="I22" i="96"/>
  <c r="H29" i="96"/>
  <c r="P35" i="96"/>
  <c r="P36" i="96"/>
  <c r="H38" i="96"/>
  <c r="P39" i="96"/>
  <c r="H40" i="96"/>
  <c r="P40" i="96"/>
  <c r="H42" i="96"/>
  <c r="I42" i="96"/>
  <c r="J42" i="96"/>
  <c r="H51" i="96"/>
  <c r="G53" i="96"/>
  <c r="I53" i="96"/>
  <c r="J53" i="96"/>
  <c r="H61" i="96"/>
  <c r="H66" i="96"/>
  <c r="H69" i="96"/>
  <c r="I69" i="96"/>
  <c r="F11" i="94"/>
  <c r="G11" i="94"/>
  <c r="H11" i="94"/>
  <c r="H14" i="94"/>
  <c r="N14" i="94"/>
  <c r="W14" i="94"/>
  <c r="F15" i="94"/>
  <c r="G15" i="94"/>
  <c r="H15" i="94"/>
  <c r="N15" i="94"/>
  <c r="R15" i="94"/>
  <c r="W15" i="94"/>
  <c r="AA15" i="94"/>
  <c r="N16" i="94"/>
  <c r="R16" i="94"/>
  <c r="W16" i="94"/>
  <c r="AA16" i="94"/>
  <c r="F17" i="94"/>
  <c r="G17" i="94"/>
  <c r="N18" i="94"/>
  <c r="W18" i="94"/>
  <c r="F19" i="94"/>
  <c r="G19" i="94"/>
  <c r="H19" i="94"/>
  <c r="G20" i="94"/>
  <c r="F21" i="94"/>
  <c r="G21" i="94"/>
  <c r="H21" i="94"/>
  <c r="F23" i="94"/>
  <c r="F24" i="94"/>
  <c r="R25" i="94"/>
  <c r="AA25" i="94"/>
  <c r="N27" i="94"/>
  <c r="N28" i="94"/>
  <c r="R28" i="94"/>
  <c r="AA28" i="94"/>
  <c r="N29" i="94"/>
  <c r="W29" i="94"/>
  <c r="X29" i="94"/>
  <c r="AA29" i="94"/>
  <c r="W30" i="94"/>
  <c r="X30" i="94"/>
  <c r="AA30" i="94"/>
  <c r="W31" i="94"/>
  <c r="X31" i="94"/>
  <c r="AA31" i="94"/>
  <c r="D32" i="94"/>
  <c r="W32" i="94"/>
  <c r="D33" i="94"/>
  <c r="O37" i="94"/>
  <c r="P37" i="94"/>
  <c r="X37" i="94"/>
  <c r="Y37" i="94"/>
  <c r="O38" i="94"/>
  <c r="P38" i="94"/>
  <c r="X38" i="94"/>
  <c r="Y38" i="94"/>
  <c r="N39" i="94"/>
  <c r="W39" i="94"/>
  <c r="Y40" i="94"/>
  <c r="Z40" i="94"/>
  <c r="P44" i="94"/>
  <c r="N61" i="94"/>
  <c r="P61" i="94"/>
  <c r="W61" i="94"/>
  <c r="Y61" i="94"/>
  <c r="N62" i="94"/>
  <c r="P62" i="94"/>
  <c r="W62" i="94"/>
  <c r="Y62" i="94"/>
  <c r="P64" i="94"/>
  <c r="Y64" i="94"/>
  <c r="N70" i="94"/>
  <c r="Y70" i="94"/>
  <c r="N71" i="94"/>
  <c r="Y71" i="94"/>
  <c r="N72" i="94"/>
  <c r="Y72" i="94"/>
  <c r="N73" i="94"/>
  <c r="Y73" i="94"/>
  <c r="N75" i="94"/>
  <c r="Y75" i="94"/>
  <c r="N76" i="94"/>
  <c r="N77" i="94"/>
  <c r="H6" i="97"/>
  <c r="I6" i="97"/>
  <c r="H7" i="97"/>
  <c r="I7" i="97"/>
  <c r="H8" i="97"/>
  <c r="I8" i="97"/>
  <c r="H9" i="97"/>
  <c r="I9" i="97"/>
  <c r="H10" i="97"/>
  <c r="I10" i="97"/>
  <c r="H11" i="97"/>
  <c r="I11" i="97"/>
  <c r="F18" i="97"/>
  <c r="H47" i="97"/>
  <c r="I47" i="97"/>
  <c r="J47" i="97"/>
  <c r="H48" i="97"/>
  <c r="I48" i="97"/>
  <c r="J48" i="97"/>
  <c r="I50" i="97"/>
  <c r="I54" i="97"/>
  <c r="I56" i="97"/>
  <c r="I57" i="97"/>
  <c r="I59" i="97"/>
  <c r="I61" i="97"/>
  <c r="I65" i="97"/>
  <c r="I66" i="97"/>
  <c r="I67" i="97"/>
  <c r="I68" i="97"/>
  <c r="E77" i="97"/>
  <c r="D78" i="97"/>
  <c r="D84" i="97"/>
  <c r="E6" i="95"/>
  <c r="E12" i="95"/>
  <c r="F16" i="95"/>
  <c r="H16" i="95"/>
  <c r="F17" i="95"/>
  <c r="H17" i="95"/>
  <c r="F18" i="95"/>
  <c r="H18" i="95"/>
  <c r="E20" i="95"/>
  <c r="E25" i="95"/>
  <c r="E30" i="95"/>
  <c r="F34" i="95"/>
  <c r="H34" i="95"/>
  <c r="H35" i="95"/>
  <c r="E38" i="95"/>
  <c r="E47" i="95"/>
  <c r="E52" i="95"/>
  <c r="E59" i="95"/>
  <c r="L62" i="95"/>
  <c r="K63" i="95"/>
  <c r="L63" i="95"/>
  <c r="K64" i="95"/>
  <c r="L64" i="95"/>
  <c r="K65" i="95"/>
  <c r="L65" i="95"/>
  <c r="K66" i="95"/>
  <c r="L66" i="95"/>
  <c r="K67" i="95"/>
  <c r="L67" i="95"/>
  <c r="K68" i="95"/>
  <c r="L68" i="95"/>
  <c r="E71" i="95"/>
  <c r="E75" i="95"/>
  <c r="E83" i="95"/>
  <c r="F85" i="95"/>
  <c r="E89" i="95"/>
  <c r="E91" i="95"/>
  <c r="F93" i="95"/>
  <c r="H93" i="95"/>
  <c r="H94" i="95"/>
  <c r="E96" i="95"/>
  <c r="E101" i="95"/>
  <c r="E106" i="95"/>
  <c r="G109" i="95"/>
  <c r="E112" i="95"/>
  <c r="E119" i="95"/>
  <c r="E132" i="95"/>
  <c r="E138" i="95"/>
  <c r="E143" i="95"/>
  <c r="G146" i="95"/>
  <c r="E149" i="95"/>
  <c r="E160" i="95"/>
  <c r="E165" i="95"/>
  <c r="E167" i="95"/>
  <c r="E177" i="95"/>
  <c r="E189" i="95"/>
  <c r="E196" i="95"/>
  <c r="E201" i="95"/>
  <c r="E204" i="95"/>
  <c r="E209" i="95"/>
  <c r="E219" i="95"/>
  <c r="E225" i="95"/>
  <c r="E231" i="95"/>
  <c r="E237" i="95"/>
  <c r="E242" i="95"/>
  <c r="E245" i="95"/>
  <c r="E250" i="95"/>
  <c r="E259" i="95"/>
  <c r="E263" i="95"/>
  <c r="E268" i="95"/>
  <c r="E270" i="95"/>
  <c r="E282" i="95"/>
  <c r="E287" i="95"/>
  <c r="E289" i="95"/>
  <c r="E297" i="95"/>
  <c r="E302" i="95"/>
  <c r="E327" i="95"/>
  <c r="E331" i="95"/>
  <c r="F333" i="95"/>
  <c r="E339" i="95"/>
  <c r="E345" i="95"/>
  <c r="E347" i="95"/>
  <c r="E357" i="95"/>
  <c r="E373" i="95"/>
  <c r="E376" i="95"/>
  <c r="K28" i="3"/>
  <c r="K29" i="3"/>
  <c r="H31" i="3"/>
  <c r="H32" i="3"/>
  <c r="H43" i="3"/>
  <c r="K43" i="3"/>
  <c r="H44" i="3"/>
  <c r="K44" i="3"/>
  <c r="H46" i="3"/>
  <c r="H48" i="3"/>
  <c r="K48" i="3"/>
  <c r="K52" i="3"/>
  <c r="K53" i="3"/>
  <c r="K56" i="3"/>
  <c r="K57" i="3"/>
  <c r="K59" i="3"/>
  <c r="H61" i="3"/>
  <c r="K61" i="3"/>
  <c r="H65" i="3"/>
  <c r="K65" i="3"/>
  <c r="N65" i="3"/>
  <c r="H66" i="3"/>
  <c r="K66" i="3"/>
  <c r="N66" i="3"/>
  <c r="H68" i="3"/>
  <c r="K68" i="3"/>
  <c r="N68" i="3"/>
  <c r="H69" i="3"/>
  <c r="K69" i="3"/>
  <c r="N69" i="3"/>
  <c r="H71" i="3"/>
  <c r="K71" i="3"/>
  <c r="H72" i="3"/>
  <c r="K72" i="3"/>
  <c r="N72" i="3"/>
  <c r="K76" i="3"/>
  <c r="N76" i="3"/>
  <c r="H80" i="3"/>
  <c r="K80" i="3"/>
  <c r="N80" i="3"/>
  <c r="H82" i="3"/>
  <c r="K82" i="3"/>
  <c r="N8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Fabien Bocci</author>
  </authors>
  <commentList>
    <comment ref="H17" authorId="0" shapeId="0" xr:uid="{00000000-0006-0000-0200-000001000000}">
      <text>
        <r>
          <rPr>
            <b/>
            <sz val="9"/>
            <color indexed="81"/>
            <rFont val="Tahoma"/>
            <family val="2"/>
          </rPr>
          <t>CSO :</t>
        </r>
        <r>
          <rPr>
            <sz val="9"/>
            <color indexed="81"/>
            <rFont val="Tahoma"/>
            <family val="2"/>
          </rPr>
          <t xml:space="preserve">
</t>
        </r>
        <r>
          <rPr>
            <b/>
            <sz val="9"/>
            <color indexed="81"/>
            <rFont val="Tahoma"/>
            <family val="2"/>
          </rPr>
          <t>Pour les Chirurgiens-Dentistes :</t>
        </r>
        <r>
          <rPr>
            <sz val="9"/>
            <color indexed="81"/>
            <rFont val="Tahoma"/>
            <family val="2"/>
          </rPr>
          <t xml:space="preserve"> Dès lors que vous saisissez un montant dans cette cellule, ce montant entre en compte dans le calcul des cotisations sociales.
Le calcul ne s'effectue plus avec le taux spécifique de 0,11% des revenus mais sur le taux urssaf normal.</t>
        </r>
      </text>
    </comment>
    <comment ref="H18" authorId="0" shapeId="0" xr:uid="{00000000-0006-0000-0200-000002000000}">
      <text>
        <r>
          <rPr>
            <b/>
            <sz val="9"/>
            <color indexed="81"/>
            <rFont val="Tahoma"/>
            <family val="2"/>
          </rPr>
          <t>CSO : 
Pour les avocats
Renseigner C1/C2/C3/C3+
en fonction de la classe choisie par le client
A défaut, c’est la classe C1 qui est utilisée pour les calculs</t>
        </r>
      </text>
    </comment>
    <comment ref="H19" authorId="0" shapeId="0" xr:uid="{00000000-0006-0000-0200-000003000000}">
      <text>
        <r>
          <rPr>
            <b/>
            <sz val="9"/>
            <color indexed="81"/>
            <rFont val="Tahoma"/>
            <family val="2"/>
          </rPr>
          <t>CSO : 
Pour les notaires
Renseigner la classe 1 à 8
en fonction de la classe choisie par le client</t>
        </r>
      </text>
    </comment>
    <comment ref="H20" authorId="0" shapeId="0" xr:uid="{D2DA42DE-572D-4FBD-9C15-2545632354DF}">
      <text>
        <r>
          <rPr>
            <b/>
            <sz val="9"/>
            <color indexed="81"/>
            <rFont val="Tahoma"/>
            <family val="2"/>
          </rPr>
          <t>CSO : 
Pour les notaires
Renseigner le montant des recettes qui serviront de base au calcul de la cotisation section C</t>
        </r>
      </text>
    </comment>
    <comment ref="K20" authorId="0" shapeId="0" xr:uid="{70DCEB24-DE8F-4C62-92F5-7C62A3F0B9A3}">
      <text>
        <r>
          <rPr>
            <b/>
            <sz val="9"/>
            <color indexed="81"/>
            <rFont val="Tahoma"/>
            <family val="2"/>
          </rPr>
          <t>CNO</t>
        </r>
        <r>
          <rPr>
            <sz val="9"/>
            <color indexed="81"/>
            <rFont val="Tahoma"/>
            <family val="2"/>
          </rPr>
          <t xml:space="preserve">
Avant abattement forfaitaire pour frais de 10 %</t>
        </r>
      </text>
    </comment>
    <comment ref="K21" authorId="0" shapeId="0" xr:uid="{E136503A-E13C-4831-BBDE-E16D07CDCB32}">
      <text>
        <r>
          <rPr>
            <b/>
            <sz val="9"/>
            <color indexed="81"/>
            <rFont val="Tahoma"/>
            <family val="2"/>
          </rPr>
          <t xml:space="preserve">CNO : </t>
        </r>
        <r>
          <rPr>
            <sz val="9"/>
            <color indexed="81"/>
            <rFont val="Tahoma"/>
            <family val="2"/>
          </rPr>
          <t xml:space="preserve">
revenus fonciers, etc.</t>
        </r>
      </text>
    </comment>
    <comment ref="D28" authorId="0" shapeId="0" xr:uid="{813AB5C7-053C-420E-ACDD-EBF29A727136}">
      <text>
        <r>
          <rPr>
            <b/>
            <sz val="9"/>
            <color indexed="81"/>
            <rFont val="Tahoma"/>
            <family val="2"/>
          </rPr>
          <t xml:space="preserve">CNO
</t>
        </r>
        <r>
          <rPr>
            <sz val="9"/>
            <color indexed="81"/>
            <rFont val="Tahoma"/>
            <family val="2"/>
          </rPr>
          <t xml:space="preserve">Par hypothèse =&gt; équivalent à la rémunération du dirigeant + dividendes bruts
</t>
        </r>
      </text>
    </comment>
    <comment ref="D29" authorId="0" shapeId="0" xr:uid="{ECAE7A1B-CDFD-402A-AA3D-1F4F7151C483}">
      <text>
        <r>
          <rPr>
            <b/>
            <sz val="9"/>
            <color indexed="81"/>
            <rFont val="Tahoma"/>
            <family val="2"/>
          </rPr>
          <t>CNO</t>
        </r>
        <r>
          <rPr>
            <sz val="9"/>
            <color indexed="81"/>
            <rFont val="Tahoma"/>
            <family val="2"/>
          </rPr>
          <t xml:space="preserve">
ll convient de porter le montant net à percevoir, les cotisations sociales étant par hypothèse prises en charge par l’entreprise. La rémunération qui entrera dans l’assiette de l’IR du dirigeant sera majorée de la fraction non déductible de la CSG. </t>
        </r>
      </text>
    </comment>
    <comment ref="H61" authorId="0" shapeId="0" xr:uid="{E6D0420C-71D6-40D6-A802-0B69B0EFEAB6}">
      <text>
        <r>
          <rPr>
            <b/>
            <sz val="9"/>
            <color indexed="81"/>
            <rFont val="Tahoma"/>
            <family val="2"/>
          </rPr>
          <t>CNO</t>
        </r>
        <r>
          <rPr>
            <sz val="9"/>
            <color indexed="81"/>
            <rFont val="Tahoma"/>
            <family val="2"/>
          </rPr>
          <t xml:space="preserve">
Après réintégration des prélèvements sociaux non déductibles </t>
        </r>
      </text>
    </comment>
    <comment ref="K61" authorId="0" shapeId="0" xr:uid="{A8E0F6B1-4B1A-40DB-BB09-7934673D6E63}">
      <text>
        <r>
          <rPr>
            <b/>
            <sz val="9"/>
            <color indexed="81"/>
            <rFont val="Tahoma"/>
            <family val="2"/>
          </rPr>
          <t>CNO</t>
        </r>
        <r>
          <rPr>
            <sz val="9"/>
            <color indexed="81"/>
            <rFont val="Tahoma"/>
            <family val="2"/>
          </rPr>
          <t xml:space="preserve">
Après déduction de l’IS </t>
        </r>
      </text>
    </comment>
    <comment ref="K71" authorId="0" shapeId="0" xr:uid="{61B176A3-FAF8-4957-BF57-73326B1875C4}">
      <text>
        <r>
          <rPr>
            <b/>
            <sz val="9"/>
            <color indexed="81"/>
            <rFont val="Tahoma"/>
            <family val="2"/>
          </rPr>
          <t>CNO</t>
        </r>
        <r>
          <rPr>
            <sz val="9"/>
            <color indexed="81"/>
            <rFont val="Tahoma"/>
            <family val="2"/>
          </rPr>
          <t xml:space="preserve">
Après déduction de la CSG déductible sur les dividendes soumis au barème progressif, qui ne sera effectivement déductible que l’année suivante</t>
        </r>
      </text>
    </comment>
    <comment ref="H80" authorId="0" shapeId="0" xr:uid="{BC8E6E72-3ABE-47B1-A1A1-03B860B73C6B}">
      <text>
        <r>
          <rPr>
            <b/>
            <sz val="9"/>
            <color indexed="81"/>
            <rFont val="Tahoma"/>
            <family val="2"/>
          </rPr>
          <t>CNO :</t>
        </r>
        <r>
          <rPr>
            <sz val="9"/>
            <color indexed="81"/>
            <rFont val="Tahoma"/>
            <family val="2"/>
          </rPr>
          <t xml:space="preserve">
Prélèvement de l'exploitant
+ salaire conjoint
+ autres revenus
- IR</t>
        </r>
      </text>
    </comment>
    <comment ref="K80" authorId="0" shapeId="0" xr:uid="{44606B66-F94E-4C2D-881A-2066917891E0}">
      <text>
        <r>
          <rPr>
            <b/>
            <sz val="9"/>
            <color indexed="81"/>
            <rFont val="Tahoma"/>
            <family val="2"/>
          </rPr>
          <t>CNO :</t>
        </r>
        <r>
          <rPr>
            <sz val="9"/>
            <color indexed="81"/>
            <rFont val="Tahoma"/>
            <family val="2"/>
          </rPr>
          <t xml:space="preserve">
+ Rémunération versée au dirigeant
+ dividendes versés
+ salaire conjoint
+ autres revenus
- IR
- Prélèvements sociaux sur dividendes</t>
        </r>
      </text>
    </comment>
    <comment ref="N80" authorId="0" shapeId="0" xr:uid="{6EABCB82-8C74-458D-B981-9A71FE098546}">
      <text>
        <r>
          <rPr>
            <b/>
            <sz val="9"/>
            <color indexed="81"/>
            <rFont val="Tahoma"/>
            <family val="2"/>
          </rPr>
          <t>CNO :</t>
        </r>
        <r>
          <rPr>
            <sz val="9"/>
            <color indexed="81"/>
            <rFont val="Tahoma"/>
            <family val="2"/>
          </rPr>
          <t xml:space="preserve">
+ Rémunération versée au dirigeant
+ Dividendes versés
+ salaire conjoint
+ autres revenus
- IR
- Flat tax
- Prélèvements sociaux sur dividendes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tc={ADE8D7FA-1EEF-4982-B76F-1B1D06E61019}</author>
    <author>Fabien Bocci</author>
    <author>tc={EC1DFD7F-7D3E-436B-9712-E307F4267030}</author>
    <author>phg</author>
  </authors>
  <commentList>
    <comment ref="E57" authorId="0" shapeId="0" xr:uid="{ADE8D7FA-1EEF-4982-B76F-1B1D06E6101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5ème année et plus</t>
      </text>
    </comment>
    <comment ref="E81" authorId="1" shapeId="0" xr:uid="{28CA4DC5-28A1-4391-87F9-D5B3B98910FE}">
      <text>
        <r>
          <rPr>
            <b/>
            <sz val="9"/>
            <color indexed="81"/>
            <rFont val="Tahoma"/>
            <family val="2"/>
          </rPr>
          <t>Fabien Bocci:</t>
        </r>
        <r>
          <rPr>
            <sz val="9"/>
            <color indexed="81"/>
            <rFont val="Tahoma"/>
            <family val="2"/>
          </rPr>
          <t xml:space="preserve">
"praticiens conventionnés ASV"
197  avant modification</t>
        </r>
      </text>
    </comment>
    <comment ref="E88" authorId="1" shapeId="0" xr:uid="{A64ABB00-1762-480F-9489-E0DF0234BDF7}">
      <text>
        <r>
          <rPr>
            <b/>
            <sz val="9"/>
            <color indexed="81"/>
            <rFont val="Tahoma"/>
            <family val="2"/>
          </rPr>
          <t>Fabien Bocci:</t>
        </r>
        <r>
          <rPr>
            <sz val="9"/>
            <color indexed="81"/>
            <rFont val="Tahoma"/>
            <family val="2"/>
          </rPr>
          <t xml:space="preserve">
0,4% pris en charge à 60% par l'assurance maladie</t>
        </r>
      </text>
    </comment>
    <comment ref="E202" authorId="1" shapeId="0" xr:uid="{3ACD2593-C5E5-4068-AA0F-16D63AAD759D}">
      <text>
        <r>
          <rPr>
            <b/>
            <sz val="9"/>
            <color indexed="81"/>
            <rFont val="Tahoma"/>
            <family val="2"/>
          </rPr>
          <t>Fabien Bocci:</t>
        </r>
        <r>
          <rPr>
            <sz val="9"/>
            <color indexed="81"/>
            <rFont val="Tahoma"/>
            <family val="2"/>
          </rPr>
          <t xml:space="preserve">
dans la limite de 3,5PASS
PENSER A VERIFIER LE TAUX ET LA VALEUR</t>
        </r>
      </text>
    </comment>
    <comment ref="F205" authorId="1" shapeId="0" xr:uid="{E01015CC-50C5-416C-B2C6-0C0C210F04DB}">
      <text>
        <r>
          <rPr>
            <b/>
            <sz val="9"/>
            <color indexed="81"/>
            <rFont val="Tahoma"/>
            <family val="2"/>
          </rPr>
          <t>Fabien Bocci:</t>
        </r>
        <r>
          <rPr>
            <sz val="9"/>
            <color indexed="81"/>
            <rFont val="Tahoma"/>
            <family val="2"/>
          </rPr>
          <t xml:space="preserve">
OK montant 2017
pour des revenus &lt; 41 136 € (1 PASS)</t>
        </r>
      </text>
    </comment>
    <comment ref="F206" authorId="1" shapeId="0" xr:uid="{7F540348-AF0A-474D-ABEC-323CAFB11D1F}">
      <text>
        <r>
          <rPr>
            <b/>
            <sz val="9"/>
            <color indexed="81"/>
            <rFont val="Tahoma"/>
            <family val="2"/>
          </rPr>
          <t>Fabien Bocci:</t>
        </r>
        <r>
          <rPr>
            <sz val="9"/>
            <color indexed="81"/>
            <rFont val="Tahoma"/>
            <family val="2"/>
          </rPr>
          <t xml:space="preserve">
OK montant 2017
pour des revenus ≥ 41 136 € (1 PASS) et &lt; 123 408 € (3 PASS)</t>
        </r>
      </text>
    </comment>
    <comment ref="F207" authorId="1" shapeId="0" xr:uid="{B50DDF51-5981-4B7C-B26D-E0770E55EF1D}">
      <text>
        <r>
          <rPr>
            <b/>
            <sz val="9"/>
            <color indexed="81"/>
            <rFont val="Tahoma"/>
            <family val="2"/>
          </rPr>
          <t>Fabien Bocci:</t>
        </r>
        <r>
          <rPr>
            <sz val="9"/>
            <color indexed="81"/>
            <rFont val="Tahoma"/>
            <family val="2"/>
          </rPr>
          <t xml:space="preserve">
OK montant 2017
pour des revenus ≥ 123 408 € (3 PASS)</t>
        </r>
      </text>
    </comment>
    <comment ref="E220" authorId="1" shapeId="0" xr:uid="{BAD6EF0D-DD5C-42DD-BAB7-5951DBDA5E36}">
      <text>
        <r>
          <rPr>
            <b/>
            <sz val="9"/>
            <color indexed="81"/>
            <rFont val="Tahoma"/>
            <family val="2"/>
          </rPr>
          <t>Fabien Bocci:</t>
        </r>
        <r>
          <rPr>
            <sz val="9"/>
            <color indexed="81"/>
            <rFont val="Tahoma"/>
            <family val="2"/>
          </rPr>
          <t xml:space="preserve">
Pour les secteurs 1
</t>
        </r>
      </text>
    </comment>
    <comment ref="E221" authorId="1" shapeId="0" xr:uid="{85FB4017-BAE1-4E2E-9DCF-F984384A4A34}">
      <text>
        <r>
          <rPr>
            <b/>
            <sz val="9"/>
            <color indexed="81"/>
            <rFont val="Tahoma"/>
            <family val="2"/>
          </rPr>
          <t>Fabien Bocci:</t>
        </r>
        <r>
          <rPr>
            <sz val="9"/>
            <color indexed="81"/>
            <rFont val="Tahoma"/>
            <family val="2"/>
          </rPr>
          <t xml:space="preserve">
taux ajustement sur le revenu conventionnel
Secteur 2</t>
        </r>
      </text>
    </comment>
    <comment ref="D225" authorId="2" shapeId="0" xr:uid="{EC1DFD7F-7D3E-436B-9712-E307F426703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nouveauté mai 2021</t>
      </text>
    </comment>
    <comment ref="E243" authorId="1" shapeId="0" xr:uid="{E27C20F8-89D4-435B-85AC-039E6A66710F}">
      <text>
        <r>
          <rPr>
            <b/>
            <sz val="9"/>
            <color indexed="81"/>
            <rFont val="Tahoma"/>
            <family val="2"/>
          </rPr>
          <t>Fabien Bocci:</t>
        </r>
        <r>
          <rPr>
            <sz val="9"/>
            <color indexed="81"/>
            <rFont val="Tahoma"/>
            <family val="2"/>
          </rPr>
          <t xml:space="preserve">
dans la limite de 3,5PASS
PENSER A VERIFIER LE TAUX ET LA VALEUR</t>
        </r>
      </text>
    </comment>
    <comment ref="F243" authorId="1" shapeId="0" xr:uid="{1B4061AF-C7EA-4D41-B8B6-FC23ED332CBC}">
      <text>
        <r>
          <rPr>
            <b/>
            <sz val="9"/>
            <color indexed="81"/>
            <rFont val="Tahoma"/>
            <family val="2"/>
          </rPr>
          <t>Fabien Bocci:</t>
        </r>
        <r>
          <rPr>
            <sz val="9"/>
            <color indexed="81"/>
            <rFont val="Tahoma"/>
            <family val="2"/>
          </rPr>
          <t xml:space="preserve">
complémentaire vieillesse dans la limite de 3,5PASS</t>
        </r>
      </text>
    </comment>
    <comment ref="F246" authorId="1" shapeId="0" xr:uid="{84E04D84-1F9A-4E92-AA7D-535893839F0A}">
      <text>
        <r>
          <rPr>
            <b/>
            <sz val="9"/>
            <color indexed="81"/>
            <rFont val="Tahoma"/>
            <family val="2"/>
          </rPr>
          <t>Fabien Bocci:</t>
        </r>
        <r>
          <rPr>
            <sz val="9"/>
            <color indexed="81"/>
            <rFont val="Tahoma"/>
            <family val="2"/>
          </rPr>
          <t xml:space="preserve">
OK montant 2017
pour des revenus &lt; 41 136 € (1 PASS)</t>
        </r>
      </text>
    </comment>
    <comment ref="F247" authorId="1" shapeId="0" xr:uid="{BF8F9094-F7B4-4B40-872A-22FD4C51DED4}">
      <text>
        <r>
          <rPr>
            <b/>
            <sz val="9"/>
            <color indexed="81"/>
            <rFont val="Tahoma"/>
            <family val="2"/>
          </rPr>
          <t>Fabien Bocci:</t>
        </r>
        <r>
          <rPr>
            <sz val="9"/>
            <color indexed="81"/>
            <rFont val="Tahoma"/>
            <family val="2"/>
          </rPr>
          <t xml:space="preserve">
OK montant 2017
pour des revenus ≥ 41 136 € (1 PASS) et &lt; 123 408 € (3 PASS)</t>
        </r>
      </text>
    </comment>
    <comment ref="F248" authorId="1" shapeId="0" xr:uid="{551AADC1-6130-4D20-AA5C-D9FCFCDA29AA}">
      <text>
        <r>
          <rPr>
            <b/>
            <sz val="9"/>
            <color indexed="81"/>
            <rFont val="Tahoma"/>
            <family val="2"/>
          </rPr>
          <t>Fabien Bocci:</t>
        </r>
        <r>
          <rPr>
            <sz val="9"/>
            <color indexed="81"/>
            <rFont val="Tahoma"/>
            <family val="2"/>
          </rPr>
          <t xml:space="preserve">
OK montant 2017
pour des revenus ≥ 123 408 € (3 PASS)</t>
        </r>
      </text>
    </comment>
    <comment ref="E260" authorId="1" shapeId="0" xr:uid="{E7DE85BF-9F20-4288-BA16-303D42C7C7AA}">
      <text>
        <r>
          <rPr>
            <b/>
            <sz val="9"/>
            <color indexed="81"/>
            <rFont val="Tahoma"/>
            <family val="2"/>
          </rPr>
          <t>Fabien Bocci:</t>
        </r>
        <r>
          <rPr>
            <sz val="9"/>
            <color indexed="81"/>
            <rFont val="Tahoma"/>
            <family val="2"/>
          </rPr>
          <t xml:space="preserve">
taux ajustement sur le revenu conventionnel
Secteur 2</t>
        </r>
      </text>
    </comment>
    <comment ref="E320" authorId="3" shapeId="0" xr:uid="{61A823A2-C6A0-4DAC-8686-1C36EF86987D}">
      <text>
        <r>
          <rPr>
            <b/>
            <sz val="8"/>
            <color indexed="81"/>
            <rFont val="Tahoma"/>
            <family val="2"/>
          </rPr>
          <t>Fabien Bocci :
La cotisation de la Section C est calculée au taux de 4 % sur la moyenne des produits de base réalisés par l’Office au cours des trois années précédant l’année antérieure à celle du recouvrement, soit pour 2019 sur la moyenne des produits 2015 à 2017, limitée au plafond de 1 145 454 €. ».
Avril 2019 - Thoma Sillas : Le taux de cotisation de retraite complémentaire de la section C indiqué à la cellule K48 est fixé à 4,10 %. C’est effectivement le taux fixé par le décret n° 2018-1033, mais la documentation de la CPRN indique qu’ils appliquent 4 % depuis janvier et qu’un décret rectificatif devrait prochainement valider ce nouveau taux.</t>
        </r>
        <r>
          <rPr>
            <sz val="8"/>
            <color indexed="81"/>
            <rFont val="Tahoma"/>
            <family val="2"/>
          </rPr>
          <t xml:space="preserve">
</t>
        </r>
      </text>
    </comment>
    <comment ref="E354" authorId="1" shapeId="0" xr:uid="{740CF6FB-1D7D-424D-A7F6-1CEC4665C830}">
      <text>
        <r>
          <rPr>
            <b/>
            <sz val="9"/>
            <color indexed="81"/>
            <rFont val="Tahoma"/>
            <family val="2"/>
          </rPr>
          <t>Fabien Bocci:</t>
        </r>
        <r>
          <rPr>
            <sz val="9"/>
            <color indexed="81"/>
            <rFont val="Tahoma"/>
            <family val="2"/>
          </rPr>
          <t xml:space="preserve">
retraite par répartition</t>
        </r>
      </text>
    </comment>
    <comment ref="L356" authorId="1" shapeId="0" xr:uid="{31F9D779-5283-40EA-BB2D-C20682AE0A5F}">
      <text>
        <r>
          <rPr>
            <b/>
            <sz val="9"/>
            <color indexed="81"/>
            <rFont val="Tahoma"/>
            <family val="2"/>
          </rPr>
          <t>Fabien Bocci:</t>
        </r>
        <r>
          <rPr>
            <sz val="9"/>
            <color indexed="81"/>
            <rFont val="Tahoma"/>
            <family val="2"/>
          </rPr>
          <t xml:space="preserve">
Cotisation forfaitaire 
=&gt; part du biologiste uniquement
</t>
        </r>
      </text>
    </comment>
    <comment ref="E357" authorId="1" shapeId="0" xr:uid="{0728875B-A136-4004-BABB-AED6C5881D66}">
      <text>
        <r>
          <rPr>
            <b/>
            <sz val="9"/>
            <color indexed="81"/>
            <rFont val="Tahoma"/>
            <family val="2"/>
          </rPr>
          <t>Fabien Bocci:</t>
        </r>
        <r>
          <rPr>
            <sz val="9"/>
            <color indexed="81"/>
            <rFont val="Tahoma"/>
            <family val="2"/>
          </rPr>
          <t xml:space="preserve">
retraite par répartition</t>
        </r>
      </text>
    </comment>
    <comment ref="F358" authorId="1" shapeId="0" xr:uid="{0B3D25CB-511C-49EC-9CC6-8F7F04490D9E}">
      <text>
        <r>
          <rPr>
            <b/>
            <sz val="9"/>
            <color indexed="81"/>
            <rFont val="Tahoma"/>
            <family val="2"/>
          </rPr>
          <t>Fabien Bocci:</t>
        </r>
        <r>
          <rPr>
            <sz val="9"/>
            <color indexed="81"/>
            <rFont val="Tahoma"/>
            <family val="2"/>
          </rPr>
          <t xml:space="preserve">
par capitalisation</t>
        </r>
      </text>
    </comment>
    <comment ref="D371" authorId="1" shapeId="0" xr:uid="{9A06C430-E325-496F-AA77-727C0F10033E}">
      <text>
        <r>
          <rPr>
            <b/>
            <sz val="9"/>
            <color indexed="81"/>
            <rFont val="Tahoma"/>
            <family val="2"/>
          </rPr>
          <t>Fabien Bocci:</t>
        </r>
        <r>
          <rPr>
            <sz val="9"/>
            <color indexed="81"/>
            <rFont val="Tahoma"/>
            <family val="2"/>
          </rPr>
          <t xml:space="preserve">
Cotisation forfaitaire 
=&gt; part du biologiste uniquement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Fabien Bocci</author>
  </authors>
  <commentList>
    <comment ref="I59" authorId="0" shapeId="0" xr:uid="{A8E3CCE8-8AB5-465B-AABA-75775ED3BE8A}">
      <text>
        <r>
          <rPr>
            <b/>
            <sz val="9"/>
            <color indexed="81"/>
            <rFont val="Tahoma"/>
            <family val="2"/>
          </rPr>
          <t>Fabien Bocci:</t>
        </r>
        <r>
          <rPr>
            <sz val="9"/>
            <color indexed="81"/>
            <rFont val="Tahoma"/>
            <family val="2"/>
          </rPr>
          <t xml:space="preserve">
Modifier les limites de la décote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tc={F19EC074-19EC-4CE7-B7A1-A18549930899}</author>
    <author>Fabien Bocci</author>
    <author>tc={566A1EB7-5ABD-40E6-8172-6787B23551C3}</author>
    <author>phg</author>
  </authors>
  <commentList>
    <comment ref="E57" authorId="0" shapeId="0" xr:uid="{F19EC074-19EC-4CE7-B7A1-A1854993089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5ème année et plus</t>
      </text>
    </comment>
    <comment ref="E81" authorId="1" shapeId="0" xr:uid="{2C9207C2-F23C-468E-BE3D-84E8A975C9DD}">
      <text>
        <r>
          <rPr>
            <b/>
            <sz val="9"/>
            <color indexed="81"/>
            <rFont val="Tahoma"/>
            <family val="2"/>
          </rPr>
          <t>Fabien Bocci:</t>
        </r>
        <r>
          <rPr>
            <sz val="9"/>
            <color indexed="81"/>
            <rFont val="Tahoma"/>
            <family val="2"/>
          </rPr>
          <t xml:space="preserve">
"praticiens conventionnés ASV"
197  avant modification</t>
        </r>
      </text>
    </comment>
    <comment ref="E88" authorId="1" shapeId="0" xr:uid="{99D45EDF-133D-434C-BFCF-8625B416C785}">
      <text>
        <r>
          <rPr>
            <b/>
            <sz val="9"/>
            <color indexed="81"/>
            <rFont val="Tahoma"/>
            <family val="2"/>
          </rPr>
          <t>Fabien Bocci:</t>
        </r>
        <r>
          <rPr>
            <sz val="9"/>
            <color indexed="81"/>
            <rFont val="Tahoma"/>
            <family val="2"/>
          </rPr>
          <t xml:space="preserve">
0,4% pris en charge à 60% par l'assurance maladie</t>
        </r>
      </text>
    </comment>
    <comment ref="E202" authorId="1" shapeId="0" xr:uid="{D079BCA9-F6EF-4B27-AA4B-2069368E7E42}">
      <text>
        <r>
          <rPr>
            <b/>
            <sz val="9"/>
            <color indexed="81"/>
            <rFont val="Tahoma"/>
            <family val="2"/>
          </rPr>
          <t>Fabien Bocci:</t>
        </r>
        <r>
          <rPr>
            <sz val="9"/>
            <color indexed="81"/>
            <rFont val="Tahoma"/>
            <family val="2"/>
          </rPr>
          <t xml:space="preserve">
dans la limite de 3,5PASS
PENSER A VERIFIER LE TAUX ET LA VALEUR</t>
        </r>
      </text>
    </comment>
    <comment ref="F205" authorId="1" shapeId="0" xr:uid="{6CE0DA97-7700-4BB9-9833-24717CF1F4A1}">
      <text>
        <r>
          <rPr>
            <b/>
            <sz val="9"/>
            <color indexed="81"/>
            <rFont val="Tahoma"/>
            <family val="2"/>
          </rPr>
          <t>Fabien Bocci:</t>
        </r>
        <r>
          <rPr>
            <sz val="9"/>
            <color indexed="81"/>
            <rFont val="Tahoma"/>
            <family val="2"/>
          </rPr>
          <t xml:space="preserve">
OK montant 2017
pour des revenus &lt; 41 136 € (1 PASS)</t>
        </r>
      </text>
    </comment>
    <comment ref="F206" authorId="1" shapeId="0" xr:uid="{99CC235D-468C-416E-A2C2-2AE6B474C293}">
      <text>
        <r>
          <rPr>
            <b/>
            <sz val="9"/>
            <color indexed="81"/>
            <rFont val="Tahoma"/>
            <family val="2"/>
          </rPr>
          <t>Fabien Bocci:</t>
        </r>
        <r>
          <rPr>
            <sz val="9"/>
            <color indexed="81"/>
            <rFont val="Tahoma"/>
            <family val="2"/>
          </rPr>
          <t xml:space="preserve">
OK montant 2017
pour des revenus ≥ 41 136 € (1 PASS) et &lt; 123 408 € (3 PASS)</t>
        </r>
      </text>
    </comment>
    <comment ref="F207" authorId="1" shapeId="0" xr:uid="{32BC191C-119F-46AE-B18D-2B18E0FF1AE6}">
      <text>
        <r>
          <rPr>
            <b/>
            <sz val="9"/>
            <color indexed="81"/>
            <rFont val="Tahoma"/>
            <family val="2"/>
          </rPr>
          <t>Fabien Bocci:</t>
        </r>
        <r>
          <rPr>
            <sz val="9"/>
            <color indexed="81"/>
            <rFont val="Tahoma"/>
            <family val="2"/>
          </rPr>
          <t xml:space="preserve">
OK montant 2017
pour des revenus ≥ 123 408 € (3 PASS)</t>
        </r>
      </text>
    </comment>
    <comment ref="E220" authorId="1" shapeId="0" xr:uid="{C5D7E759-DF7F-473C-AF05-43D8C90C9B02}">
      <text>
        <r>
          <rPr>
            <b/>
            <sz val="9"/>
            <color indexed="81"/>
            <rFont val="Tahoma"/>
            <family val="2"/>
          </rPr>
          <t>Fabien Bocci:</t>
        </r>
        <r>
          <rPr>
            <sz val="9"/>
            <color indexed="81"/>
            <rFont val="Tahoma"/>
            <family val="2"/>
          </rPr>
          <t xml:space="preserve">
Pour les secteurs 1
</t>
        </r>
      </text>
    </comment>
    <comment ref="E221" authorId="1" shapeId="0" xr:uid="{6DAF852B-C438-40AF-B0B7-1F4582E0B697}">
      <text>
        <r>
          <rPr>
            <b/>
            <sz val="9"/>
            <color indexed="81"/>
            <rFont val="Tahoma"/>
            <family val="2"/>
          </rPr>
          <t>Fabien Bocci:</t>
        </r>
        <r>
          <rPr>
            <sz val="9"/>
            <color indexed="81"/>
            <rFont val="Tahoma"/>
            <family val="2"/>
          </rPr>
          <t xml:space="preserve">
taux ajustement sur le revenu conventionnel
Secteur 2</t>
        </r>
      </text>
    </comment>
    <comment ref="D225" authorId="2" shapeId="0" xr:uid="{566A1EB7-5ABD-40E6-8172-6787B23551C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nouveauté mai 2021</t>
      </text>
    </comment>
    <comment ref="E243" authorId="1" shapeId="0" xr:uid="{04069286-744C-4846-A682-C876C657E63F}">
      <text>
        <r>
          <rPr>
            <b/>
            <sz val="9"/>
            <color indexed="81"/>
            <rFont val="Tahoma"/>
            <family val="2"/>
          </rPr>
          <t>Fabien Bocci:</t>
        </r>
        <r>
          <rPr>
            <sz val="9"/>
            <color indexed="81"/>
            <rFont val="Tahoma"/>
            <family val="2"/>
          </rPr>
          <t xml:space="preserve">
dans la limite de 3,5PASS
PENSER A VERIFIER LE TAUX ET LA VALEUR</t>
        </r>
      </text>
    </comment>
    <comment ref="F243" authorId="1" shapeId="0" xr:uid="{42720ADE-6902-4B74-AA5A-93F0D5C142B0}">
      <text>
        <r>
          <rPr>
            <b/>
            <sz val="9"/>
            <color indexed="81"/>
            <rFont val="Tahoma"/>
            <family val="2"/>
          </rPr>
          <t>Fabien Bocci:</t>
        </r>
        <r>
          <rPr>
            <sz val="9"/>
            <color indexed="81"/>
            <rFont val="Tahoma"/>
            <family val="2"/>
          </rPr>
          <t xml:space="preserve">
complémentaire vieillesse dans la limite de 3,5PASS</t>
        </r>
      </text>
    </comment>
    <comment ref="F246" authorId="1" shapeId="0" xr:uid="{63271693-EE18-4A53-B6C6-D74F8F5D36D9}">
      <text>
        <r>
          <rPr>
            <b/>
            <sz val="9"/>
            <color indexed="81"/>
            <rFont val="Tahoma"/>
            <family val="2"/>
          </rPr>
          <t>Fabien Bocci:</t>
        </r>
        <r>
          <rPr>
            <sz val="9"/>
            <color indexed="81"/>
            <rFont val="Tahoma"/>
            <family val="2"/>
          </rPr>
          <t xml:space="preserve">
OK montant 2017
pour des revenus &lt; 41 136 € (1 PASS)</t>
        </r>
      </text>
    </comment>
    <comment ref="F247" authorId="1" shapeId="0" xr:uid="{5FB60153-3E43-4264-9B69-B69E89FD7580}">
      <text>
        <r>
          <rPr>
            <b/>
            <sz val="9"/>
            <color indexed="81"/>
            <rFont val="Tahoma"/>
            <family val="2"/>
          </rPr>
          <t>Fabien Bocci:</t>
        </r>
        <r>
          <rPr>
            <sz val="9"/>
            <color indexed="81"/>
            <rFont val="Tahoma"/>
            <family val="2"/>
          </rPr>
          <t xml:space="preserve">
OK montant 2017
pour des revenus ≥ 41 136 € (1 PASS) et &lt; 123 408 € (3 PASS)</t>
        </r>
      </text>
    </comment>
    <comment ref="F248" authorId="1" shapeId="0" xr:uid="{AC7285A7-F794-45A0-8ABD-54410C8E032A}">
      <text>
        <r>
          <rPr>
            <b/>
            <sz val="9"/>
            <color indexed="81"/>
            <rFont val="Tahoma"/>
            <family val="2"/>
          </rPr>
          <t>Fabien Bocci:</t>
        </r>
        <r>
          <rPr>
            <sz val="9"/>
            <color indexed="81"/>
            <rFont val="Tahoma"/>
            <family val="2"/>
          </rPr>
          <t xml:space="preserve">
OK montant 2017
pour des revenus ≥ 123 408 € (3 PASS)</t>
        </r>
      </text>
    </comment>
    <comment ref="E260" authorId="1" shapeId="0" xr:uid="{B3C85840-FCD9-4ABE-B191-0523DAF605C8}">
      <text>
        <r>
          <rPr>
            <b/>
            <sz val="9"/>
            <color indexed="81"/>
            <rFont val="Tahoma"/>
            <family val="2"/>
          </rPr>
          <t>Fabien Bocci:</t>
        </r>
        <r>
          <rPr>
            <sz val="9"/>
            <color indexed="81"/>
            <rFont val="Tahoma"/>
            <family val="2"/>
          </rPr>
          <t xml:space="preserve">
taux ajustement sur le revenu conventionnel
Secteur 2</t>
        </r>
      </text>
    </comment>
    <comment ref="E320" authorId="3" shapeId="0" xr:uid="{7A434174-2C63-4028-AB68-2E6B253E554C}">
      <text>
        <r>
          <rPr>
            <b/>
            <sz val="8"/>
            <color indexed="81"/>
            <rFont val="Tahoma"/>
            <family val="2"/>
          </rPr>
          <t>Fabien Bocci :
La cotisation de la Section C est calculée au taux de 4 % sur la moyenne des produits de base réalisés par l’Office au cours des trois années précédant l’année antérieure à celle du recouvrement, soit pour 2019 sur la moyenne des produits 2015 à 2017, limitée au plafond de 1 145 454 €. ».
Avril 2019 - Thoma Sillas : Le taux de cotisation de retraite complémentaire de la section C indiqué à la cellule K48 est fixé à 4,10 %. C’est effectivement le taux fixé par le décret n° 2018-1033, mais la documentation de la CPRN indique qu’ils appliquent 4 % depuis janvier et qu’un décret rectificatif devrait prochainement valider ce nouveau taux.</t>
        </r>
        <r>
          <rPr>
            <sz val="8"/>
            <color indexed="81"/>
            <rFont val="Tahoma"/>
            <family val="2"/>
          </rPr>
          <t xml:space="preserve">
</t>
        </r>
      </text>
    </comment>
    <comment ref="E354" authorId="1" shapeId="0" xr:uid="{28646C81-5D52-45CA-8C7B-FAC6A53D2841}">
      <text>
        <r>
          <rPr>
            <b/>
            <sz val="9"/>
            <color indexed="81"/>
            <rFont val="Tahoma"/>
            <family val="2"/>
          </rPr>
          <t>Fabien Bocci:</t>
        </r>
        <r>
          <rPr>
            <sz val="9"/>
            <color indexed="81"/>
            <rFont val="Tahoma"/>
            <family val="2"/>
          </rPr>
          <t xml:space="preserve">
retraite par répartition</t>
        </r>
      </text>
    </comment>
    <comment ref="L356" authorId="1" shapeId="0" xr:uid="{C1917D99-2EC7-48BA-83D3-AE2A93B31599}">
      <text>
        <r>
          <rPr>
            <b/>
            <sz val="9"/>
            <color indexed="81"/>
            <rFont val="Tahoma"/>
            <family val="2"/>
          </rPr>
          <t>Fabien Bocci:</t>
        </r>
        <r>
          <rPr>
            <sz val="9"/>
            <color indexed="81"/>
            <rFont val="Tahoma"/>
            <family val="2"/>
          </rPr>
          <t xml:space="preserve">
Cotisation forfaitaire 
=&gt; part du biologiste uniquement
</t>
        </r>
      </text>
    </comment>
    <comment ref="E357" authorId="1" shapeId="0" xr:uid="{968BAE0E-FEB5-4B2F-AD63-A89AA1F595EA}">
      <text>
        <r>
          <rPr>
            <b/>
            <sz val="9"/>
            <color indexed="81"/>
            <rFont val="Tahoma"/>
            <family val="2"/>
          </rPr>
          <t>Fabien Bocci:</t>
        </r>
        <r>
          <rPr>
            <sz val="9"/>
            <color indexed="81"/>
            <rFont val="Tahoma"/>
            <family val="2"/>
          </rPr>
          <t xml:space="preserve">
retraite par répartition</t>
        </r>
      </text>
    </comment>
    <comment ref="F358" authorId="1" shapeId="0" xr:uid="{B9017E55-B610-48B4-AAEB-3A40DE14D91F}">
      <text>
        <r>
          <rPr>
            <b/>
            <sz val="9"/>
            <color indexed="81"/>
            <rFont val="Tahoma"/>
            <family val="2"/>
          </rPr>
          <t>Fabien Bocci:</t>
        </r>
        <r>
          <rPr>
            <sz val="9"/>
            <color indexed="81"/>
            <rFont val="Tahoma"/>
            <family val="2"/>
          </rPr>
          <t xml:space="preserve">
par capitalisation</t>
        </r>
      </text>
    </comment>
    <comment ref="D371" authorId="1" shapeId="0" xr:uid="{1603C960-85A2-4814-BC4E-AC20528382FC}">
      <text>
        <r>
          <rPr>
            <b/>
            <sz val="9"/>
            <color indexed="81"/>
            <rFont val="Tahoma"/>
            <family val="2"/>
          </rPr>
          <t>Fabien Bocci:</t>
        </r>
        <r>
          <rPr>
            <sz val="9"/>
            <color indexed="81"/>
            <rFont val="Tahoma"/>
            <family val="2"/>
          </rPr>
          <t xml:space="preserve">
Cotisation forfaitaire 
=&gt; part du biologiste uniquement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Fabien Bocci</author>
  </authors>
  <commentList>
    <comment ref="I59" authorId="0" shapeId="0" xr:uid="{29CB9FFC-3C25-4029-9B9E-BDBC2EE5AE75}">
      <text>
        <r>
          <rPr>
            <b/>
            <sz val="9"/>
            <color indexed="81"/>
            <rFont val="Tahoma"/>
            <family val="2"/>
          </rPr>
          <t>Fabien Bocci:</t>
        </r>
        <r>
          <rPr>
            <sz val="9"/>
            <color indexed="81"/>
            <rFont val="Tahoma"/>
            <family val="2"/>
          </rPr>
          <t xml:space="preserve">
Modifier les limites de la décote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fabien</author>
    <author>Fabien Bocci</author>
  </authors>
  <commentList>
    <comment ref="I47" authorId="0" shapeId="0" xr:uid="{D3C5DE65-57EF-43A5-A443-F19A7DBF6A33}">
      <text>
        <r>
          <rPr>
            <b/>
            <sz val="9"/>
            <color indexed="81"/>
            <rFont val="Tahoma"/>
            <family val="2"/>
          </rPr>
          <t>fabien:</t>
        </r>
        <r>
          <rPr>
            <sz val="9"/>
            <color indexed="81"/>
            <rFont val="Tahoma"/>
            <family val="2"/>
          </rPr>
          <t xml:space="preserve">
Base = ligne "Revenus du foyer"</t>
        </r>
      </text>
    </comment>
    <comment ref="I48" authorId="0" shapeId="0" xr:uid="{3101AD94-2755-45AD-8E16-279898D17B87}">
      <text>
        <r>
          <rPr>
            <b/>
            <sz val="9"/>
            <color indexed="81"/>
            <rFont val="Tahoma"/>
            <family val="2"/>
          </rPr>
          <t>fabien:</t>
        </r>
        <r>
          <rPr>
            <sz val="9"/>
            <color indexed="81"/>
            <rFont val="Tahoma"/>
            <family val="2"/>
          </rPr>
          <t xml:space="preserve">
Base = ligne "Revenus du foyer"</t>
        </r>
      </text>
    </comment>
    <comment ref="I59" authorId="1" shapeId="0" xr:uid="{ECE226C0-C15A-4444-9787-0E7706053F8F}">
      <text>
        <r>
          <rPr>
            <b/>
            <sz val="9"/>
            <color indexed="81"/>
            <rFont val="Tahoma"/>
            <family val="2"/>
          </rPr>
          <t>Fabien Bocci:</t>
        </r>
        <r>
          <rPr>
            <sz val="9"/>
            <color indexed="81"/>
            <rFont val="Tahoma"/>
            <family val="2"/>
          </rPr>
          <t xml:space="preserve">
Modifier les limites de la décote</t>
        </r>
      </text>
    </comment>
  </commentList>
</comments>
</file>

<file path=xl/sharedStrings.xml><?xml version="1.0" encoding="utf-8"?>
<sst xmlns="http://schemas.openxmlformats.org/spreadsheetml/2006/main" count="1247" uniqueCount="472">
  <si>
    <t>Profession</t>
  </si>
  <si>
    <t>Expert comptable- commissaire aux comptes</t>
  </si>
  <si>
    <t>Chirurg. Dent.</t>
  </si>
  <si>
    <t>Avocat</t>
  </si>
  <si>
    <t>Notaire</t>
  </si>
  <si>
    <t>Foyer Fiscal</t>
  </si>
  <si>
    <t>Votre situation familiale</t>
  </si>
  <si>
    <t>Nombre de parts dans le foyer</t>
  </si>
  <si>
    <t>Marié</t>
  </si>
  <si>
    <t>Nombre d'enfants</t>
  </si>
  <si>
    <t>CSG/CRDS</t>
  </si>
  <si>
    <t>Obligatoires</t>
  </si>
  <si>
    <t>CNBF</t>
  </si>
  <si>
    <t>Num col classe saisie</t>
  </si>
  <si>
    <t>C1</t>
  </si>
  <si>
    <t>C2</t>
  </si>
  <si>
    <t>C3</t>
  </si>
  <si>
    <t>C3+</t>
  </si>
  <si>
    <t>Taux</t>
  </si>
  <si>
    <t>Base</t>
  </si>
  <si>
    <t>COTISATION FORFAITAIRE</t>
  </si>
  <si>
    <t>CARPIMKO</t>
  </si>
  <si>
    <t>inv deces</t>
  </si>
  <si>
    <t>URPS</t>
  </si>
  <si>
    <t>CAVEC</t>
  </si>
  <si>
    <t>CARMF</t>
  </si>
  <si>
    <t>ASV</t>
  </si>
  <si>
    <t>CIPAV</t>
  </si>
  <si>
    <t>URSSAF</t>
  </si>
  <si>
    <t>CARPV vétérinaires</t>
  </si>
  <si>
    <t>CNR</t>
  </si>
  <si>
    <t>CAVOM</t>
  </si>
  <si>
    <t>CNR Notaires</t>
  </si>
  <si>
    <t xml:space="preserve">Num col classe saisie : </t>
  </si>
  <si>
    <t>CAVP</t>
  </si>
  <si>
    <t>CARDSF</t>
  </si>
  <si>
    <t>CARVP</t>
  </si>
  <si>
    <t>CAVOM Huissiers</t>
  </si>
  <si>
    <t>Prélèvements sociaux</t>
  </si>
  <si>
    <t>CAVP Pharmaciens</t>
  </si>
  <si>
    <t>Classe 3</t>
  </si>
  <si>
    <t>Classe 4</t>
  </si>
  <si>
    <t>Classe 5</t>
  </si>
  <si>
    <t>Classe 6</t>
  </si>
  <si>
    <t>Classe 7</t>
  </si>
  <si>
    <t>Classe 8</t>
  </si>
  <si>
    <t>Classe 9</t>
  </si>
  <si>
    <t>Classe 10</t>
  </si>
  <si>
    <t>Classe 11</t>
  </si>
  <si>
    <t>Classe 12</t>
  </si>
  <si>
    <t>Classe 13</t>
  </si>
  <si>
    <t>ASV prop</t>
  </si>
  <si>
    <t>Revenus</t>
  </si>
  <si>
    <t>Plafond SS</t>
  </si>
  <si>
    <t>INVALIDITE DECES</t>
  </si>
  <si>
    <t>Participation des caisses maladies (Médecins Secteur 1)</t>
  </si>
  <si>
    <t>base</t>
  </si>
  <si>
    <t>Montant Min</t>
  </si>
  <si>
    <t>Montant Max</t>
  </si>
  <si>
    <t>Taux marginal</t>
  </si>
  <si>
    <t>A déduire par part</t>
  </si>
  <si>
    <t>IR sans enfants</t>
  </si>
  <si>
    <t>IR avec enfants</t>
  </si>
  <si>
    <t>Tranche 1</t>
  </si>
  <si>
    <t>Tranche 2</t>
  </si>
  <si>
    <t>Tranche 3</t>
  </si>
  <si>
    <t>Tranche 4</t>
  </si>
  <si>
    <t>Tranche 5</t>
  </si>
  <si>
    <t>Nb d'enfants</t>
  </si>
  <si>
    <t>Nb de parts sans enfants</t>
  </si>
  <si>
    <t>Décote</t>
  </si>
  <si>
    <t>Réfaction proportionnelle</t>
  </si>
  <si>
    <t>Plafond de revenus</t>
  </si>
  <si>
    <t>Si célib</t>
  </si>
  <si>
    <t>Si marié</t>
  </si>
  <si>
    <t>majoration demi-part</t>
  </si>
  <si>
    <t>taux initial</t>
  </si>
  <si>
    <t>dénominateur du calcul si célib</t>
  </si>
  <si>
    <t>dénominateur du calcul si marié</t>
  </si>
  <si>
    <t>TMI</t>
  </si>
  <si>
    <t>plafond de revenus selon sa configuration</t>
  </si>
  <si>
    <t>plafond de l'avantage fiscal dans sa configuration</t>
  </si>
  <si>
    <t>RFR</t>
  </si>
  <si>
    <t>taux de réfaction retenu</t>
  </si>
  <si>
    <t>réduction d'impôt dans le cadre de la réfaction</t>
  </si>
  <si>
    <t>IR théorique à payer après décote et réfaction</t>
  </si>
  <si>
    <t>Célibataire</t>
  </si>
  <si>
    <t>Couple</t>
  </si>
  <si>
    <t>Taux 1</t>
  </si>
  <si>
    <t>plancher</t>
  </si>
  <si>
    <t>plafond</t>
  </si>
  <si>
    <t>base retenue</t>
  </si>
  <si>
    <t>Contribution taux 1</t>
  </si>
  <si>
    <t>Taux 2</t>
  </si>
  <si>
    <t>plafond (= revenus &gt; plancher2)</t>
  </si>
  <si>
    <t>Contribution taux 2</t>
  </si>
  <si>
    <t>Contrib totale</t>
  </si>
  <si>
    <t>Architecte</t>
  </si>
  <si>
    <t>Biologiste/Pharmaciens</t>
  </si>
  <si>
    <t>Chirurgien dentiste</t>
  </si>
  <si>
    <t>Conseil en propriété industrielle</t>
  </si>
  <si>
    <t>Expert agricole</t>
  </si>
  <si>
    <t>Géomètre-expert</t>
  </si>
  <si>
    <t>Infirmier</t>
  </si>
  <si>
    <t>Kinésitherapeute</t>
  </si>
  <si>
    <t>Officier ministeriel</t>
  </si>
  <si>
    <t>Médecin spécialiste secteur 2</t>
  </si>
  <si>
    <t>Orthophoniste</t>
  </si>
  <si>
    <t>Vétérinaire</t>
  </si>
  <si>
    <t>Orthoptiste</t>
  </si>
  <si>
    <t>Pédicure  Podologue</t>
  </si>
  <si>
    <t>Sage femme</t>
  </si>
  <si>
    <t>retraite de base si R&gt;205 K€ semble être beaucoup plus élevée que les autres régimes et que définit dans la note (7231 euros)</t>
  </si>
  <si>
    <t>Professions médicales</t>
  </si>
  <si>
    <t>on ne peut pas appliquer facilement l'abattement pris en charge par la CPAM ? Il suffit de définit la liste des professions concernées et de dire dans ce cas que le taux est de 0,1%, non ?</t>
  </si>
  <si>
    <t>on a le problème du CURPS qui ne rentre pas dans la base CSG/CRDS =&gt; il faudrait faire une formule spéc pour qu'il vienne retirer ce montant si on est dans la profession concernée.</t>
  </si>
  <si>
    <t>Médecins</t>
  </si>
  <si>
    <t>dans EIC simulation, il ne calcule pas les mêmes taux que moi au niveau de la prise ne charge AF</t>
  </si>
  <si>
    <t>par exeple avec un R=91882 il considère le taux de prise en charge à 75% au lieu de 60%</t>
  </si>
  <si>
    <t>PCV ASV proporitionnelle : pour qui ? EIC simulateur n'a pas l'air den tenir compte</t>
  </si>
  <si>
    <t>Pour les médecins aussi ?</t>
  </si>
  <si>
    <t>par exemple carpimko l'intègre dans son simulateuyr</t>
  </si>
  <si>
    <t>pour les pédicures a priori dans EIC simulateur si il est à l'URSSAF il y aurait une prise en charge à hauteur de 6,4% de la maladie.</t>
  </si>
  <si>
    <t>je l'applique pour tous les "CATA" et "CATB" =&gt; OK ?</t>
  </si>
  <si>
    <t>Chirurgiens dentiste (ou plus génélarlement les catB)</t>
  </si>
  <si>
    <t>Quid de la contribution additionnelle de 3,25% ? A priori nous on demande simplement le montant de la cotisation au niveau du simulateur et c'est ça qu'on considère comme cotisation. OK ?</t>
  </si>
  <si>
    <t>Attention la formule en C86 de "ch soc" est complexe =&gt; à simplifier ? À voir si elle répond bien aux besoins car elle exclu les biologistes alros que d'après EIC ils sont soumis</t>
  </si>
  <si>
    <t>Biologistes/pharmaciens</t>
  </si>
  <si>
    <t>D'après EIC, les phmarciens ne sont pas soumis à ces deux cotisations mais les biologistes oui</t>
  </si>
  <si>
    <t>PCV/ASV FORFAITAIRE (EIC = avantage social vieillesse forfait)</t>
  </si>
  <si>
    <t>PCV/ASV  PROPORTIONNELLE (EIC = avantage social vieillesse Ajustement)</t>
  </si>
  <si>
    <t>C86 : selon la profession, cela va chercher l'une ou l'autre des taux =&gt; à voir // pour médecins de secteur 2 je les ai soumis (prof=16)</t>
  </si>
  <si>
    <t>C86</t>
  </si>
  <si>
    <t>G150</t>
  </si>
  <si>
    <t>j'ai ajouté ASV proportionnelle qui avait disparu</t>
  </si>
  <si>
    <t>Bénéfice avant déduction des cotisations</t>
  </si>
  <si>
    <t>Cotisations facultatives</t>
  </si>
  <si>
    <t>Base 1</t>
  </si>
  <si>
    <t>Base 2</t>
  </si>
  <si>
    <t>Revenu fiscal</t>
  </si>
  <si>
    <t>Revenu social</t>
  </si>
  <si>
    <t>Cotisations sociales</t>
  </si>
  <si>
    <t>Cotisations payées par entr.</t>
  </si>
  <si>
    <t>Cotisations payées par gérant/EI</t>
  </si>
  <si>
    <t>Cotisations fiscales</t>
  </si>
  <si>
    <t>CSG/CRDS non déductible</t>
  </si>
  <si>
    <t>CSG déductible</t>
  </si>
  <si>
    <t>Madelin</t>
  </si>
  <si>
    <t>TOTAL 1</t>
  </si>
  <si>
    <t>Dividendes soumis à cotis soc.</t>
  </si>
  <si>
    <t>Base imposable</t>
  </si>
  <si>
    <t>% de charges sociales</t>
  </si>
  <si>
    <t>Calcul des cotisations si BNC</t>
  </si>
  <si>
    <t>Calcul des cotisations si BIC</t>
  </si>
  <si>
    <t>PASS</t>
  </si>
  <si>
    <t>PASS N</t>
  </si>
  <si>
    <t>Plafond RCO</t>
  </si>
  <si>
    <t>Situation familiale</t>
  </si>
  <si>
    <t>Allocations familiales</t>
  </si>
  <si>
    <t>Nb de parts</t>
  </si>
  <si>
    <t xml:space="preserve">Calcul du taux AF applicable : </t>
  </si>
  <si>
    <t>Taux applicable</t>
  </si>
  <si>
    <t>Montant cotisation AF</t>
  </si>
  <si>
    <t>Contribution formation</t>
  </si>
  <si>
    <t>Bases imposables</t>
  </si>
  <si>
    <t>Assurance Maladie</t>
  </si>
  <si>
    <t>IJSS</t>
  </si>
  <si>
    <t>Taux 3</t>
  </si>
  <si>
    <t xml:space="preserve">Calcul du taux Ass Mal applicable : </t>
  </si>
  <si>
    <t>Taux 4</t>
  </si>
  <si>
    <t>Montant cotisation Ass Mal</t>
  </si>
  <si>
    <t>Retraite de base</t>
  </si>
  <si>
    <t>Total charge pour l'entreprise</t>
  </si>
  <si>
    <t>regime ret base T1</t>
  </si>
  <si>
    <t>regime ret base T2</t>
  </si>
  <si>
    <t>Montant cotisation Retraite de base</t>
  </si>
  <si>
    <t>Retraite complémentaire</t>
  </si>
  <si>
    <t>Invalidité / Décès</t>
  </si>
  <si>
    <t>Montant</t>
  </si>
  <si>
    <t>CSG/CRDS déd</t>
  </si>
  <si>
    <t>CSG non déd</t>
  </si>
  <si>
    <t>Taux moyen</t>
  </si>
  <si>
    <r>
      <t xml:space="preserve">Total Cotisation </t>
    </r>
    <r>
      <rPr>
        <u/>
        <sz val="11"/>
        <color theme="1"/>
        <rFont val="Calibri"/>
        <family val="2"/>
        <scheme val="minor"/>
      </rPr>
      <t>BNC</t>
    </r>
    <r>
      <rPr>
        <sz val="10"/>
        <rFont val="Calibri"/>
        <family val="2"/>
      </rPr>
      <t xml:space="preserve"> (hors CSG/CRDS)</t>
    </r>
  </si>
  <si>
    <r>
      <t xml:space="preserve">Total Cotisation </t>
    </r>
    <r>
      <rPr>
        <u/>
        <sz val="11"/>
        <color theme="1"/>
        <rFont val="Calibri"/>
        <family val="2"/>
        <scheme val="minor"/>
      </rPr>
      <t>BIC</t>
    </r>
    <r>
      <rPr>
        <sz val="10"/>
        <rFont val="Calibri"/>
        <family val="2"/>
      </rPr>
      <t xml:space="preserve"> (hors CSG/CRDS)</t>
    </r>
  </si>
  <si>
    <r>
      <t xml:space="preserve">Total Cotisation </t>
    </r>
    <r>
      <rPr>
        <u/>
        <sz val="11"/>
        <color theme="1"/>
        <rFont val="Calibri"/>
        <family val="2"/>
        <scheme val="minor"/>
      </rPr>
      <t>BNC</t>
    </r>
  </si>
  <si>
    <r>
      <t xml:space="preserve">Total Cotisation </t>
    </r>
    <r>
      <rPr>
        <u/>
        <sz val="11"/>
        <color theme="1"/>
        <rFont val="Calibri"/>
        <family val="2"/>
        <scheme val="minor"/>
      </rPr>
      <t>BIC</t>
    </r>
  </si>
  <si>
    <t>retraite complémentaire</t>
  </si>
  <si>
    <t>Cotisations</t>
  </si>
  <si>
    <t>Rémunération</t>
  </si>
  <si>
    <t>CNBF T1</t>
  </si>
  <si>
    <t>CNBF T2</t>
  </si>
  <si>
    <t>CNBF T3</t>
  </si>
  <si>
    <t>CNBF T4</t>
  </si>
  <si>
    <t>CNBF T5</t>
  </si>
  <si>
    <t>Revenu max pour la cotisation proportionnelle</t>
  </si>
  <si>
    <t>INVALIDITE DECES (5 année et +)</t>
  </si>
  <si>
    <t>COTISATION PROPORTIONNELLE</t>
  </si>
  <si>
    <t>Calcul cotisation</t>
  </si>
  <si>
    <t>RETRAITE COMPLEMENTAIRE</t>
  </si>
  <si>
    <t>FORFAIT CARPIMKO</t>
  </si>
  <si>
    <t>base de cotisation</t>
  </si>
  <si>
    <t>Cotisation retraite complémentaire</t>
  </si>
  <si>
    <t>Code profession</t>
  </si>
  <si>
    <t>PCV FORFAITAIRE</t>
  </si>
  <si>
    <t>PCV PROPORTIONELLE</t>
  </si>
  <si>
    <t>INDEMNITE JOURNALIERE</t>
  </si>
  <si>
    <t>TOTAL COTISATIONS</t>
  </si>
  <si>
    <t>taux</t>
  </si>
  <si>
    <t>Cavec</t>
  </si>
  <si>
    <t>Total cotisation</t>
  </si>
  <si>
    <t>Moyenne des recettes</t>
  </si>
  <si>
    <t>COTISATION SECTION B</t>
  </si>
  <si>
    <t>COTISATION SECTION C</t>
  </si>
  <si>
    <t>PAR REPARTITION</t>
  </si>
  <si>
    <t>PAR CAPITALISATION</t>
  </si>
  <si>
    <t>ASV FORFAITAIRE</t>
  </si>
  <si>
    <t>ASV PROPORTIONNELLE</t>
  </si>
  <si>
    <t>PARTICIPATION DES CAISSES MALADIE (Médecins Secteur 1)</t>
  </si>
  <si>
    <t>Retraite &amp; invalidité</t>
  </si>
  <si>
    <t>URSSAF Prof non régl</t>
  </si>
  <si>
    <t>URSSAF Artisans / commerçants</t>
  </si>
  <si>
    <t>Cotis</t>
  </si>
  <si>
    <t>Cotisation</t>
  </si>
  <si>
    <t>Forfait/tranche</t>
  </si>
  <si>
    <t>Cotisation proportionnelle</t>
  </si>
  <si>
    <t>Indemnités journalières</t>
  </si>
  <si>
    <t>PCV/ASV Forfaitaire</t>
  </si>
  <si>
    <t>PCV/ASV Proportionnelle</t>
  </si>
  <si>
    <t>RC1</t>
  </si>
  <si>
    <t>RC2</t>
  </si>
  <si>
    <t>RC3</t>
  </si>
  <si>
    <t>RC4</t>
  </si>
  <si>
    <t>RC5</t>
  </si>
  <si>
    <t>RC6</t>
  </si>
  <si>
    <t>ID</t>
  </si>
  <si>
    <t>Avocat - Cotisation proportionnelle</t>
  </si>
  <si>
    <t>Avocat - Cotisation forfaitaire</t>
  </si>
  <si>
    <t>Régime de base - COTISATION FORFAITAIRE (&gt; 6ème année)</t>
  </si>
  <si>
    <t>PRATICIENS CONVENTIONNES ASV FORFAITAIRE</t>
  </si>
  <si>
    <t>PRATICIENS CONVENTIONNES ASV PROPORTIONNELLE</t>
  </si>
  <si>
    <t>MAX</t>
  </si>
  <si>
    <t>Max</t>
  </si>
  <si>
    <t>AC</t>
  </si>
  <si>
    <t>PLNR</t>
  </si>
  <si>
    <t>Artisans-Commerçants</t>
  </si>
  <si>
    <t>Régime de base - COTISATION PROPORTIONNELLE</t>
  </si>
  <si>
    <t>code type activité</t>
  </si>
  <si>
    <t>IS taux réduit</t>
  </si>
  <si>
    <t>IS taux normal</t>
  </si>
  <si>
    <t>Flat tax</t>
  </si>
  <si>
    <t>Calculer l'impôt sur les revenus</t>
  </si>
  <si>
    <t>consignes : remplir les cellules en bleu</t>
  </si>
  <si>
    <t>FOYER</t>
  </si>
  <si>
    <t>1 - Données à saisir/à déclarer</t>
  </si>
  <si>
    <t>Situation de famille</t>
  </si>
  <si>
    <t>IMPÔT SUR LE REVENU</t>
  </si>
  <si>
    <t>Détail des revenus</t>
  </si>
  <si>
    <t>Déclarant 1</t>
  </si>
  <si>
    <t>Déclarant 2</t>
  </si>
  <si>
    <t>Salaires</t>
  </si>
  <si>
    <t>Revenus donnant lieu à acompte (art 62)</t>
  </si>
  <si>
    <t>Total des salaires et assimilés</t>
  </si>
  <si>
    <t>Déduction 10% ou frais réels</t>
  </si>
  <si>
    <t>Salaire nets</t>
  </si>
  <si>
    <t>BIC/BNC</t>
  </si>
  <si>
    <t>Revenus perçus par le foyer fiscal</t>
  </si>
  <si>
    <t>Revenus des capitaux mobiliers déclarés</t>
  </si>
  <si>
    <t>Revenus des capitaux mobiliers imposables</t>
  </si>
  <si>
    <t>Revenus fonciers nets</t>
  </si>
  <si>
    <t>Autres revenus</t>
  </si>
  <si>
    <t>Revenu brut global</t>
  </si>
  <si>
    <t>CHARGES DEDUCTIBLES DU REVENU GLOBAL</t>
  </si>
  <si>
    <t>-</t>
  </si>
  <si>
    <t>Total des charges déduites</t>
  </si>
  <si>
    <t>Revenu imposable</t>
  </si>
  <si>
    <t>Impôt soumis au barème</t>
  </si>
  <si>
    <t>Impôt avant réduction d'impôt</t>
  </si>
  <si>
    <t>REDUCTIONS D'IMPÔT</t>
  </si>
  <si>
    <t>Réduction 1</t>
  </si>
  <si>
    <t>Réduction 2</t>
  </si>
  <si>
    <t>Réduction 3</t>
  </si>
  <si>
    <t>Total des réductions</t>
  </si>
  <si>
    <t>impôt net avant corrections</t>
  </si>
  <si>
    <t>Impôt total avant crédits d'impôt</t>
  </si>
  <si>
    <t>CREDITS D'IMPÔT</t>
  </si>
  <si>
    <t>IMPÔT NET</t>
  </si>
  <si>
    <t>Total de l'impôt sur le revenu net</t>
  </si>
  <si>
    <t>Calculer l'impôt sur les revenus (avant toute réduction ou crédit d'impôt)</t>
  </si>
  <si>
    <t>ok MAJ pour IR 2020 (Revenus 2019)</t>
  </si>
  <si>
    <t>Tranche 6</t>
  </si>
  <si>
    <t>Données</t>
  </si>
  <si>
    <t>Situation</t>
  </si>
  <si>
    <t>Total revenu</t>
  </si>
  <si>
    <t>Nb de demi part</t>
  </si>
  <si>
    <t>Réduction max par demi part</t>
  </si>
  <si>
    <t>Plafonnement réduc frais prof</t>
  </si>
  <si>
    <t>ok MAJ pour IR 2019 (Revenus 2018)</t>
  </si>
  <si>
    <t>Décote si célibataire</t>
  </si>
  <si>
    <t>Décote si couple</t>
  </si>
  <si>
    <t>Réduction forfaitaire 20%</t>
  </si>
  <si>
    <t>Réduction dégressive</t>
  </si>
  <si>
    <t>SI(I64&lt;I63;20%;SI(ET(F17="Célibataire";F18&lt;(F30+F32*F19));F39*(F30+F32*F19-F18)/F40;SI(ET(F17="mariés";F18&lt;(F31+F32*F19));F39*(F31+F32*F19-F18)/F41;0)))</t>
  </si>
  <si>
    <t>https://droit-finances.commentcamarche.com/faq/20217-impot-sur-le-revenu-bareme-2020#impot-sur-le-revenu-2019-tranches-2020</t>
  </si>
  <si>
    <t>Calcul IR</t>
  </si>
  <si>
    <t>IR brut (sans enfants) - A</t>
  </si>
  <si>
    <t>IR brut (avec enfants) - B</t>
  </si>
  <si>
    <t>Ecart - C = A-B</t>
  </si>
  <si>
    <t>Gain maximum autorisé en fonction du nombre de parts - D</t>
  </si>
  <si>
    <t>Réduction d'IR max autorisée (E = Min de C et D )</t>
  </si>
  <si>
    <t>IR théorique à payer avant décote(F = A - E )</t>
  </si>
  <si>
    <t>Taux moyen d'imposition</t>
  </si>
  <si>
    <t>IR théorique à payer après décote mais avant réfaction</t>
  </si>
  <si>
    <t>SI(F17="célibataire";F30+F32*F19;F31+F32*F19)</t>
  </si>
  <si>
    <t>SI(F17="célibataire";F34+F36*F19;F35+F32*F19)</t>
  </si>
  <si>
    <t>Légende</t>
  </si>
  <si>
    <t>En vert =&gt; à saisir</t>
  </si>
  <si>
    <t>En bleu =&gt; pas touche</t>
  </si>
  <si>
    <t>En rouge =&gt; seront des données à mettre à jour chaque année</t>
  </si>
  <si>
    <t>Contribution exceptionnelle hauts revenus</t>
  </si>
  <si>
    <t>Total IMPÔT</t>
  </si>
  <si>
    <t>Simulations</t>
  </si>
  <si>
    <t>Total IS</t>
  </si>
  <si>
    <t>Données chiffrées</t>
  </si>
  <si>
    <t xml:space="preserve">Caisse de retraite sélectionnée : </t>
  </si>
  <si>
    <t>%CPAM</t>
  </si>
  <si>
    <t>Tx CPAM</t>
  </si>
  <si>
    <t>Cotisations retenues pour base CSG</t>
  </si>
  <si>
    <t>Dentiste</t>
  </si>
  <si>
    <t>Sage Femmes</t>
  </si>
  <si>
    <t>CARDDSF</t>
  </si>
  <si>
    <t>2_ID</t>
  </si>
  <si>
    <t>2_RC2</t>
  </si>
  <si>
    <t>AC_ID</t>
  </si>
  <si>
    <t>AC_RC2</t>
  </si>
  <si>
    <t>PLNR_ID</t>
  </si>
  <si>
    <t>PLNR_RC2</t>
  </si>
  <si>
    <t>14_RC4</t>
  </si>
  <si>
    <t>14_RC1</t>
  </si>
  <si>
    <t>14_ID</t>
  </si>
  <si>
    <t>14_RC5</t>
  </si>
  <si>
    <t>14_RC2</t>
  </si>
  <si>
    <t>12_RC1</t>
  </si>
  <si>
    <t>12_RC2</t>
  </si>
  <si>
    <t>12_RC4</t>
  </si>
  <si>
    <t>12_RC5</t>
  </si>
  <si>
    <t>12_ID</t>
  </si>
  <si>
    <t>12_RC3</t>
  </si>
  <si>
    <t>3_RC2</t>
  </si>
  <si>
    <t>3_ID</t>
  </si>
  <si>
    <t>15_RC1</t>
  </si>
  <si>
    <t>15_RC2</t>
  </si>
  <si>
    <t>15_RC4</t>
  </si>
  <si>
    <t>15_ID</t>
  </si>
  <si>
    <t>15_RC3</t>
  </si>
  <si>
    <t>15_URPS</t>
  </si>
  <si>
    <t>10_RC2</t>
  </si>
  <si>
    <t>10_ID</t>
  </si>
  <si>
    <t>10_URPS</t>
  </si>
  <si>
    <t>10_RC4</t>
  </si>
  <si>
    <t>10_RC5</t>
  </si>
  <si>
    <t>10_RC6</t>
  </si>
  <si>
    <t>16_RC2</t>
  </si>
  <si>
    <t>16_ID</t>
  </si>
  <si>
    <t>16_URPS</t>
  </si>
  <si>
    <t>16_RC4</t>
  </si>
  <si>
    <t>16_RC5</t>
  </si>
  <si>
    <t>1_RC2</t>
  </si>
  <si>
    <t>1_ID</t>
  </si>
  <si>
    <t>13_RC2</t>
  </si>
  <si>
    <t>13_ID</t>
  </si>
  <si>
    <t>4_ID</t>
  </si>
  <si>
    <t>4_RC2</t>
  </si>
  <si>
    <t>4_RC1</t>
  </si>
  <si>
    <t>5_RC2</t>
  </si>
  <si>
    <t>5_ID</t>
  </si>
  <si>
    <t>11_URPS</t>
  </si>
  <si>
    <t>11_ID</t>
  </si>
  <si>
    <t>11_RC1</t>
  </si>
  <si>
    <t>11_RC2</t>
  </si>
  <si>
    <t>11_RC4</t>
  </si>
  <si>
    <t>11_RC5</t>
  </si>
  <si>
    <t>R</t>
  </si>
  <si>
    <t>max</t>
  </si>
  <si>
    <t>€</t>
  </si>
  <si>
    <t>Code de la ligne</t>
  </si>
  <si>
    <t>RB1</t>
  </si>
  <si>
    <t>RB2</t>
  </si>
  <si>
    <t>2_RB1</t>
  </si>
  <si>
    <t>2_RB2</t>
  </si>
  <si>
    <t>Code profession sélectionné</t>
  </si>
  <si>
    <t>Total des crédits d'impôt</t>
  </si>
  <si>
    <t>Année 2022</t>
  </si>
  <si>
    <t>CONTRIBUTION EXCEPTIONNELLE</t>
  </si>
  <si>
    <t>Caisse de retraite</t>
  </si>
  <si>
    <t>Code actvité</t>
  </si>
  <si>
    <t>rémunération versée / Résultat avant déd. des cotis soc oblig et facult (EI)</t>
  </si>
  <si>
    <t>Pour EIC</t>
  </si>
  <si>
    <t>Entreprise individuelle</t>
  </si>
  <si>
    <t>Historique - revenu social</t>
  </si>
  <si>
    <t>Historique - Cotisations déduites</t>
  </si>
  <si>
    <t>Base de calcul - Madelin</t>
  </si>
  <si>
    <t>Base de calcul - Rt comptable provisoire (après déduction des cotisations)</t>
  </si>
  <si>
    <t>URSSAF - Maladie</t>
  </si>
  <si>
    <t>URSSAF - Maladie - CSG/CRDS</t>
  </si>
  <si>
    <t>Base Barème</t>
  </si>
  <si>
    <t>Base cotisations sociales</t>
  </si>
  <si>
    <t>=60% du div brut</t>
  </si>
  <si>
    <t>=EI_IR_cotisations!G21</t>
  </si>
  <si>
    <t>Estimation si dividende au PFU</t>
  </si>
  <si>
    <t>EI à l'IR</t>
  </si>
  <si>
    <t>EI à l'IS</t>
  </si>
  <si>
    <t>Rémunération versée au dirigeant</t>
  </si>
  <si>
    <r>
      <t xml:space="preserve">Bénéfice </t>
    </r>
    <r>
      <rPr>
        <b/>
        <i/>
        <sz val="10"/>
        <rFont val="Calibri"/>
        <family val="2"/>
        <scheme val="minor"/>
      </rPr>
      <t>(avant IS pour l'EI à l'IS)</t>
    </r>
  </si>
  <si>
    <t>Notaire : classe de retraite</t>
  </si>
  <si>
    <t>Impôt sur le revenu estimé</t>
  </si>
  <si>
    <t>Profession Libérale Non Réglementée (URSSAF)</t>
  </si>
  <si>
    <t>Profession Libérale Réglementée (choisir ci-dessous)</t>
  </si>
  <si>
    <t>Médecin secteur 1</t>
  </si>
  <si>
    <t>Bénéfice avant déduction des cotisations
(et avant déduction de la rémunération pour l'EI à l'IS)</t>
  </si>
  <si>
    <t>rubrique</t>
  </si>
  <si>
    <t>code prof+rubrique</t>
  </si>
  <si>
    <t>cotis</t>
  </si>
  <si>
    <t>14_URPS</t>
  </si>
  <si>
    <t>12_URPS</t>
  </si>
  <si>
    <t>Prise en charge CPAM</t>
  </si>
  <si>
    <t>Dentiste - cotisation payée</t>
  </si>
  <si>
    <t>Base de calcul - rémunération versée</t>
  </si>
  <si>
    <t>Code pour recherche</t>
  </si>
  <si>
    <t>Dividendes au barème</t>
  </si>
  <si>
    <t>Dividendes au PFU</t>
  </si>
  <si>
    <t>Notaire : montant des recettes</t>
  </si>
  <si>
    <t>Caisse de retraite attachée</t>
  </si>
  <si>
    <t>Informations complémentaires pour les professions suivantes :</t>
  </si>
  <si>
    <t>!!! Indiquer "0"</t>
  </si>
  <si>
    <t>Entrepreneur individuel
Comparaison de l'imposition à l'IR ou à l'IS
- Année 2022 -</t>
  </si>
  <si>
    <t>Disponible foyer après impôt</t>
  </si>
  <si>
    <t>Salaire conjoint</t>
  </si>
  <si>
    <t>Dividendes bruts versés</t>
  </si>
  <si>
    <t>A l'ouverture du fichier, selon le paramétrage de votre logiciel,  une fenêtre peut s'ouvrir contenant un message "Avertissement de référence circulaire"</t>
  </si>
  <si>
    <t>- Version 2010 et ultérieures : Fichier / Options / Formules / Partie "mode de calcul", cochez la case "activer le calcul itératif"
- Version 2007 : Bouton Office / Options Excel / Formules / Partie "mode de calcul", cochez la case "activer le calcul itératif"
- Version antérieure : Outils / Options / onglet "calcul", cocher la case "Itération"</t>
  </si>
  <si>
    <t>Avertissement</t>
  </si>
  <si>
    <t>Démarche à suivre afin d'activer le mode "ITERATIF" du fichier Excel</t>
  </si>
  <si>
    <t>Ce simulateur utilise le mode de calculs itératifs. Tous les postes n'étant pas paramétrés avec cette option, il convient de procéder à un paramétrage spécifique d'Excel préalablement à l'utilisation de ce fichier.</t>
  </si>
  <si>
    <t>Cliquez sur le bouton "ok" et suivez les étapes suivantes :</t>
  </si>
  <si>
    <t>Base Flat tax</t>
  </si>
  <si>
    <t>Base prlvts sociaux</t>
  </si>
  <si>
    <t>Autres revenus soumis au barème</t>
  </si>
  <si>
    <t>revenus</t>
  </si>
  <si>
    <t>abattement</t>
  </si>
  <si>
    <t>revenu après abattement</t>
  </si>
  <si>
    <t>Réintégration CSG non déductible</t>
  </si>
  <si>
    <t>=EI_IS_cotisations!F21</t>
  </si>
  <si>
    <t>EI à l'R</t>
  </si>
  <si>
    <t>Prélèvements de l'exploitant</t>
  </si>
  <si>
    <t>Nom &amp; prénom du client / dénomination</t>
  </si>
  <si>
    <t>Expert-comptable</t>
  </si>
  <si>
    <t>Client</t>
  </si>
  <si>
    <t>Disponible dans l'entreprise</t>
  </si>
  <si>
    <t>Prlvt de l'exploitant / Revenus dirigeant</t>
  </si>
  <si>
    <t>Résultat fiscal</t>
  </si>
  <si>
    <t>Bénéfice net</t>
  </si>
  <si>
    <t>Revenus imposables du dirigeant</t>
  </si>
  <si>
    <t>Autres revenus imposables du foyer</t>
  </si>
  <si>
    <t>dont CSG non déductible réintégrée</t>
  </si>
  <si>
    <t>Revenus imposables du foyer au barème</t>
  </si>
  <si>
    <t>Dividendes imposables</t>
  </si>
  <si>
    <t>Nom du cabinet d'expertise comptable</t>
  </si>
  <si>
    <t>Mode d'emploi</t>
  </si>
  <si>
    <t>Seules les celllules en bleu clair sont à remplir</t>
  </si>
  <si>
    <t xml:space="preserve">A noter : </t>
  </si>
  <si>
    <t>Cette simulation ne tient pas compte des impacts sur les revenus différés (droits à la retraite, boni de liquidation …), ni sur les revenus futurs (prélèvements futurs de l’exploitant) </t>
  </si>
  <si>
    <t>Zoom Disponible dans l'entreprise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</si>
</sst>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0\ &quot;€&quot;;[Red]\-#,##0\ &quot;€&quot;"/>
    <numFmt numFmtId="8" formatCode="#,##0.00\ &quot;€&quot;;[Red]\-#,##0.00\ &quot;€&quot;"/>
    <numFmt numFmtId="164" formatCode="_-* #,##0.00\ _€_-;\-* #,##0.00\ _€_-;_-* &quot;-&quot;??\ _€_-;_-@_-"/>
    <numFmt numFmtId="165" formatCode="_-* #,##0.00\ [$€-1]_-;\-* #,##0.00\ [$€-1]_-;_-* &quot;-&quot;??\ [$€-1]_-"/>
    <numFmt numFmtId="166" formatCode="#,##0.0"/>
    <numFmt numFmtId="167" formatCode="0.000%"/>
    <numFmt numFmtId="168" formatCode="_-* #,##0\ _€_-;\-* #,##0\ _€_-;_-* &quot;-&quot;??\ _€_-;_-@_-"/>
    <numFmt numFmtId="169" formatCode="_-* #,##0.0\ _€_-;\-* #,##0.0\ _€_-;_-* &quot;-&quot;??\ _€_-;_-@_-"/>
    <numFmt numFmtId="170" formatCode="0.0%"/>
  </numFmts>
  <fonts count="90" x14ac:knownFonts="1">
    <font>
      <sz val="10"/>
      <name val="Calibri"/>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Trebuchet MS"/>
      <family val="2"/>
    </font>
    <font>
      <sz val="8"/>
      <color indexed="81"/>
      <name val="Tahoma"/>
      <family val="2"/>
    </font>
    <font>
      <b/>
      <sz val="8"/>
      <color indexed="81"/>
      <name val="Tahoma"/>
      <family val="2"/>
    </font>
    <font>
      <sz val="10"/>
      <name val="Arial"/>
      <family val="2"/>
    </font>
    <font>
      <sz val="9"/>
      <color indexed="81"/>
      <name val="Tahoma"/>
      <family val="2"/>
    </font>
    <font>
      <b/>
      <sz val="9"/>
      <color indexed="81"/>
      <name val="Tahoma"/>
      <family val="2"/>
    </font>
    <font>
      <b/>
      <sz val="10"/>
      <color theme="1"/>
      <name val="Trebuchet MS"/>
      <family val="2"/>
    </font>
    <font>
      <sz val="10"/>
      <color theme="1"/>
      <name val="Trebuchet MS"/>
      <family val="2"/>
    </font>
    <font>
      <u val="singleAccounting"/>
      <sz val="10"/>
      <color theme="1"/>
      <name val="Trebuchet MS"/>
      <family val="2"/>
    </font>
    <font>
      <i/>
      <sz val="10"/>
      <color theme="1"/>
      <name val="Trebuchet MS"/>
      <family val="2"/>
    </font>
    <font>
      <b/>
      <i/>
      <sz val="10"/>
      <color theme="1"/>
      <name val="Trebuchet MS"/>
      <family val="2"/>
    </font>
    <font>
      <b/>
      <u/>
      <sz val="10"/>
      <color theme="1"/>
      <name val="Trebuchet MS"/>
      <family val="2"/>
    </font>
    <font>
      <b/>
      <sz val="10"/>
      <color theme="0"/>
      <name val="Arial"/>
      <family val="2"/>
    </font>
    <font>
      <sz val="10"/>
      <color theme="0"/>
      <name val="Trebuchet MS"/>
      <family val="2"/>
    </font>
    <font>
      <b/>
      <sz val="10"/>
      <color theme="0"/>
      <name val="Trebuchet MS"/>
      <family val="2"/>
    </font>
    <font>
      <sz val="11"/>
      <color theme="0"/>
      <name val="Calibri"/>
      <family val="2"/>
      <scheme val="minor"/>
    </font>
    <font>
      <sz val="11"/>
      <name val="Calibri"/>
      <family val="2"/>
      <scheme val="minor"/>
    </font>
    <font>
      <b/>
      <sz val="11"/>
      <name val="Calibri"/>
      <family val="2"/>
      <scheme val="minor"/>
    </font>
    <font>
      <b/>
      <sz val="11"/>
      <color theme="1"/>
      <name val="Calibri"/>
      <family val="2"/>
      <scheme val="minor"/>
    </font>
    <font>
      <sz val="10"/>
      <name val="Calibri"/>
      <family val="2"/>
    </font>
    <font>
      <b/>
      <sz val="11"/>
      <color theme="3"/>
      <name val="Calibri"/>
      <family val="2"/>
      <scheme val="minor"/>
    </font>
    <font>
      <i/>
      <sz val="10"/>
      <name val="Calibri"/>
      <family val="2"/>
    </font>
    <font>
      <sz val="11"/>
      <color theme="4"/>
      <name val="Calibri"/>
      <family val="2"/>
      <scheme val="minor"/>
    </font>
    <font>
      <b/>
      <u/>
      <sz val="11"/>
      <color theme="3"/>
      <name val="Calibri"/>
      <family val="2"/>
      <scheme val="minor"/>
    </font>
    <font>
      <u/>
      <sz val="11"/>
      <color theme="10"/>
      <name val="Calibri"/>
      <family val="2"/>
    </font>
    <font>
      <b/>
      <u/>
      <sz val="12"/>
      <color theme="0"/>
      <name val="Calibri"/>
      <family val="2"/>
      <scheme val="minor"/>
    </font>
    <font>
      <b/>
      <u/>
      <sz val="11"/>
      <color theme="1"/>
      <name val="Calibri"/>
      <family val="2"/>
      <scheme val="minor"/>
    </font>
    <font>
      <u/>
      <sz val="11"/>
      <color theme="3"/>
      <name val="Calibri"/>
      <family val="2"/>
      <scheme val="minor"/>
    </font>
    <font>
      <i/>
      <sz val="11"/>
      <color theme="1"/>
      <name val="Calibri"/>
      <family val="2"/>
      <scheme val="minor"/>
    </font>
    <font>
      <b/>
      <u/>
      <sz val="11"/>
      <color theme="0"/>
      <name val="Calibri"/>
      <family val="2"/>
      <scheme val="minor"/>
    </font>
    <font>
      <u/>
      <sz val="11"/>
      <color theme="1"/>
      <name val="Calibri"/>
      <family val="2"/>
      <scheme val="minor"/>
    </font>
    <font>
      <sz val="10"/>
      <color theme="0"/>
      <name val="Calibri"/>
      <family val="2"/>
    </font>
    <font>
      <sz val="10"/>
      <name val="Calibri"/>
      <family val="2"/>
      <scheme val="minor"/>
    </font>
    <font>
      <b/>
      <sz val="10"/>
      <name val="Calibri"/>
      <family val="2"/>
      <scheme val="minor"/>
    </font>
    <font>
      <i/>
      <sz val="10"/>
      <name val="Calibri"/>
      <family val="2"/>
      <scheme val="minor"/>
    </font>
    <font>
      <sz val="10"/>
      <color theme="4"/>
      <name val="Calibri"/>
      <family val="2"/>
      <scheme val="minor"/>
    </font>
    <font>
      <sz val="10"/>
      <color rgb="FF002060"/>
      <name val="Calibri"/>
      <family val="2"/>
    </font>
    <font>
      <b/>
      <u/>
      <sz val="10"/>
      <color rgb="FF002060"/>
      <name val="Calibri"/>
      <family val="2"/>
    </font>
    <font>
      <b/>
      <u/>
      <sz val="10"/>
      <name val="Calibri"/>
      <family val="2"/>
    </font>
    <font>
      <i/>
      <u/>
      <sz val="10"/>
      <color rgb="FF002060"/>
      <name val="Calibri"/>
      <family val="2"/>
    </font>
    <font>
      <b/>
      <sz val="10"/>
      <color theme="0"/>
      <name val="Calibri"/>
      <family val="2"/>
    </font>
    <font>
      <i/>
      <sz val="10"/>
      <color rgb="FF002060"/>
      <name val="Calibri"/>
      <family val="2"/>
    </font>
    <font>
      <sz val="10"/>
      <color rgb="FFFF0000"/>
      <name val="Calibri"/>
      <family val="2"/>
    </font>
    <font>
      <b/>
      <i/>
      <u/>
      <sz val="10"/>
      <color rgb="FF002060"/>
      <name val="Calibri"/>
      <family val="2"/>
    </font>
    <font>
      <u/>
      <sz val="10"/>
      <color rgb="FF002060"/>
      <name val="Calibri"/>
      <family val="2"/>
    </font>
    <font>
      <u/>
      <sz val="10"/>
      <name val="Calibri"/>
      <family val="2"/>
    </font>
    <font>
      <b/>
      <sz val="10"/>
      <name val="Calibri"/>
      <family val="2"/>
    </font>
    <font>
      <sz val="8"/>
      <name val="Calibri"/>
      <family val="2"/>
    </font>
    <font>
      <b/>
      <i/>
      <u/>
      <sz val="10"/>
      <color theme="1"/>
      <name val="Trebuchet MS"/>
      <family val="2"/>
    </font>
    <font>
      <sz val="10"/>
      <color rgb="FFFF0000"/>
      <name val="Trebuchet MS"/>
      <family val="2"/>
    </font>
    <font>
      <b/>
      <sz val="14"/>
      <color theme="0"/>
      <name val="Trebuchet MS"/>
      <family val="2"/>
    </font>
    <font>
      <b/>
      <sz val="10"/>
      <color rgb="FFFF0000"/>
      <name val="Trebuchet MS"/>
      <family val="2"/>
    </font>
    <font>
      <sz val="22"/>
      <color theme="1"/>
      <name val="Trebuchet MS"/>
      <family val="2"/>
    </font>
    <font>
      <i/>
      <sz val="9"/>
      <color theme="1"/>
      <name val="Trebuchet MS"/>
      <family val="2"/>
    </font>
    <font>
      <b/>
      <sz val="10"/>
      <color indexed="8"/>
      <name val="Calibri"/>
      <family val="2"/>
      <scheme val="minor"/>
    </font>
    <font>
      <sz val="10"/>
      <color theme="0"/>
      <name val="Calibri"/>
      <family val="2"/>
      <scheme val="minor"/>
    </font>
    <font>
      <b/>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i/>
      <u/>
      <sz val="11"/>
      <color theme="1"/>
      <name val="Calibri"/>
      <family val="2"/>
      <scheme val="minor"/>
    </font>
    <font>
      <u val="singleAccounting"/>
      <sz val="11"/>
      <color theme="1"/>
      <name val="Calibri"/>
      <family val="2"/>
      <scheme val="minor"/>
    </font>
    <font>
      <b/>
      <i/>
      <sz val="11"/>
      <color theme="1"/>
      <name val="Calibri"/>
      <family val="2"/>
      <scheme val="minor"/>
    </font>
    <font>
      <b/>
      <u val="singleAccounting"/>
      <sz val="11"/>
      <color theme="1"/>
      <name val="Calibri"/>
      <family val="2"/>
      <scheme val="minor"/>
    </font>
    <font>
      <b/>
      <u/>
      <sz val="11"/>
      <color theme="4"/>
      <name val="Calibri"/>
      <family val="2"/>
      <scheme val="minor"/>
    </font>
    <font>
      <b/>
      <i/>
      <sz val="10"/>
      <name val="Calibri"/>
      <family val="2"/>
      <scheme val="minor"/>
    </font>
    <font>
      <b/>
      <sz val="14"/>
      <color theme="4"/>
      <name val="Calibri"/>
      <family val="2"/>
      <scheme val="minor"/>
    </font>
    <font>
      <sz val="10"/>
      <name val="Eras Bold ITC"/>
      <family val="2"/>
    </font>
    <font>
      <b/>
      <sz val="10"/>
      <name val="Eras Bold ITC"/>
      <family val="2"/>
    </font>
    <font>
      <i/>
      <sz val="10"/>
      <name val="Eras Bold ITC"/>
      <family val="2"/>
    </font>
    <font>
      <b/>
      <sz val="22"/>
      <color theme="0"/>
      <name val="Calibri"/>
      <family val="2"/>
      <scheme val="major"/>
    </font>
    <font>
      <b/>
      <u/>
      <sz val="10"/>
      <color theme="0"/>
      <name val="Calibri"/>
      <family val="2"/>
      <scheme val="minor"/>
    </font>
    <font>
      <b/>
      <u/>
      <sz val="22"/>
      <color theme="0"/>
      <name val="Calibri"/>
      <family val="2"/>
      <scheme val="minor"/>
    </font>
    <font>
      <b/>
      <sz val="10"/>
      <color theme="0"/>
      <name val="Calibri"/>
      <family val="2"/>
      <scheme val="minor"/>
    </font>
    <font>
      <i/>
      <sz val="9"/>
      <name val="Calibri"/>
      <family val="2"/>
      <scheme val="minor"/>
    </font>
    <font>
      <sz val="9"/>
      <name val="Eras Bold ITC"/>
      <family val="2"/>
    </font>
    <font>
      <sz val="9"/>
      <name val="Calibri"/>
      <family val="2"/>
      <scheme val="minor"/>
    </font>
    <font>
      <sz val="12"/>
      <name val="Calibri"/>
      <family val="2"/>
      <scheme val="minor"/>
    </font>
    <font>
      <b/>
      <sz val="12"/>
      <name val="Calibri"/>
      <family val="2"/>
      <scheme val="minor"/>
    </font>
    <font>
      <sz val="10"/>
      <color theme="7"/>
      <name val="Calibri"/>
      <family val="2"/>
      <scheme val="minor"/>
    </font>
    <font>
      <b/>
      <sz val="12"/>
      <color theme="7"/>
      <name val="Calibri"/>
      <family val="2"/>
      <scheme val="minor"/>
    </font>
    <font>
      <sz val="12"/>
      <color theme="7"/>
      <name val="Calibri"/>
      <family val="2"/>
      <scheme val="minor"/>
    </font>
    <font>
      <b/>
      <sz val="10"/>
      <color theme="4"/>
      <name val="Calibri"/>
      <family val="2"/>
    </font>
    <font>
      <b/>
      <u/>
      <sz val="10"/>
      <color theme="4"/>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bgColor indexed="64"/>
      </patternFill>
    </fill>
    <fill>
      <patternFill patternType="solid">
        <fgColor rgb="FF92D050"/>
        <bgColor indexed="64"/>
      </patternFill>
    </fill>
    <fill>
      <patternFill patternType="solid">
        <fgColor theme="0" tint="-0.14999847407452621"/>
        <bgColor indexed="64"/>
      </patternFill>
    </fill>
    <fill>
      <patternFill patternType="solid">
        <fgColor theme="3"/>
        <bgColor indexed="64"/>
      </patternFill>
    </fill>
    <fill>
      <patternFill patternType="solid">
        <fgColor theme="3" tint="0.79998168889431442"/>
        <bgColor indexed="64"/>
      </patternFill>
    </fill>
    <fill>
      <patternFill patternType="solid">
        <fgColor theme="2" tint="0.79998168889431442"/>
        <bgColor indexed="64"/>
      </patternFill>
    </fill>
    <fill>
      <patternFill patternType="solid">
        <fgColor theme="0"/>
        <bgColor indexed="64"/>
      </patternFill>
    </fill>
    <fill>
      <patternFill patternType="solid">
        <fgColor theme="1" tint="0.39997558519241921"/>
        <bgColor indexed="64"/>
      </patternFill>
    </fill>
    <fill>
      <gradientFill degree="90">
        <stop position="0">
          <color theme="2" tint="-0.25098422193060094"/>
        </stop>
        <stop position="1">
          <color theme="2" tint="-0.49803155613879818"/>
        </stop>
      </gradientFill>
    </fill>
    <fill>
      <patternFill patternType="solid">
        <fgColor theme="4" tint="-0.499984740745262"/>
        <bgColor indexed="64"/>
      </patternFill>
    </fill>
    <fill>
      <gradientFill degree="90">
        <stop position="0">
          <color theme="6" tint="0.40000610370189521"/>
        </stop>
        <stop position="1">
          <color theme="6" tint="-0.25098422193060094"/>
        </stop>
      </gradientFill>
    </fill>
    <fill>
      <gradientFill degree="90">
        <stop position="0">
          <color theme="0" tint="-0.1490218817712943"/>
        </stop>
        <stop position="1">
          <color theme="2"/>
        </stop>
      </gradientFill>
    </fill>
    <fill>
      <gradientFill degree="90">
        <stop position="0">
          <color theme="3" tint="0.40000610370189521"/>
        </stop>
        <stop position="1">
          <color theme="3"/>
        </stop>
      </gradientFill>
    </fill>
    <fill>
      <gradientFill degree="90">
        <stop position="0">
          <color theme="5" tint="0.40000610370189521"/>
        </stop>
        <stop position="1">
          <color rgb="FFC00000"/>
        </stop>
      </gradientFill>
    </fill>
    <fill>
      <patternFill patternType="solid">
        <fgColor theme="2" tint="-0.499984740745262"/>
        <bgColor indexed="64"/>
      </patternFill>
    </fill>
    <fill>
      <patternFill patternType="solid">
        <fgColor theme="7"/>
        <bgColor indexed="64"/>
      </patternFill>
    </fill>
    <fill>
      <patternFill patternType="solid">
        <fgColor theme="0" tint="-0.14999847407452621"/>
        <bgColor auto="1"/>
      </patternFill>
    </fill>
    <fill>
      <gradientFill degree="90">
        <stop position="0">
          <color theme="7" tint="0.40000610370189521"/>
        </stop>
        <stop position="1">
          <color theme="7"/>
        </stop>
      </gradientFill>
    </fill>
    <fill>
      <gradientFill degree="90">
        <stop position="0">
          <color theme="6" tint="0.40000610370189521"/>
        </stop>
        <stop position="1">
          <color theme="6"/>
        </stop>
      </gradientFill>
    </fill>
    <fill>
      <patternFill patternType="solid">
        <fgColor theme="2"/>
        <bgColor indexed="64"/>
      </patternFill>
    </fill>
    <fill>
      <patternFill patternType="solid">
        <fgColor theme="1"/>
        <bgColor indexed="64"/>
      </patternFill>
    </fill>
    <fill>
      <patternFill patternType="solid">
        <fgColor theme="4"/>
        <bgColor indexed="64"/>
      </patternFill>
    </fill>
    <fill>
      <patternFill patternType="solid">
        <fgColor theme="4" tint="0.59999389629810485"/>
        <bgColor indexed="64"/>
      </patternFill>
    </fill>
  </fills>
  <borders count="83">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theme="1" tint="0.39994506668294322"/>
      </left>
      <right/>
      <top style="medium">
        <color theme="1" tint="0.39994506668294322"/>
      </top>
      <bottom/>
      <diagonal/>
    </border>
    <border>
      <left/>
      <right/>
      <top style="medium">
        <color theme="1" tint="0.39994506668294322"/>
      </top>
      <bottom/>
      <diagonal/>
    </border>
    <border>
      <left/>
      <right style="medium">
        <color theme="1" tint="0.39994506668294322"/>
      </right>
      <top style="medium">
        <color theme="1" tint="0.39994506668294322"/>
      </top>
      <bottom/>
      <diagonal/>
    </border>
    <border>
      <left style="medium">
        <color theme="1" tint="0.39994506668294322"/>
      </left>
      <right/>
      <top/>
      <bottom/>
      <diagonal/>
    </border>
    <border>
      <left/>
      <right style="medium">
        <color theme="1" tint="0.39994506668294322"/>
      </right>
      <top/>
      <bottom/>
      <diagonal/>
    </border>
    <border>
      <left style="medium">
        <color theme="1" tint="0.39994506668294322"/>
      </left>
      <right/>
      <top/>
      <bottom style="medium">
        <color theme="1" tint="0.39994506668294322"/>
      </bottom>
      <diagonal/>
    </border>
    <border>
      <left/>
      <right/>
      <top/>
      <bottom style="medium">
        <color theme="1" tint="0.39994506668294322"/>
      </bottom>
      <diagonal/>
    </border>
    <border>
      <left/>
      <right style="medium">
        <color theme="1" tint="0.39994506668294322"/>
      </right>
      <top/>
      <bottom style="medium">
        <color theme="1" tint="0.39994506668294322"/>
      </bottom>
      <diagonal/>
    </border>
    <border>
      <left style="medium">
        <color theme="1" tint="0.39991454817346722"/>
      </left>
      <right/>
      <top/>
      <bottom/>
      <diagonal/>
    </border>
    <border>
      <left/>
      <right style="medium">
        <color theme="1" tint="0.39991454817346722"/>
      </right>
      <top/>
      <bottom/>
      <diagonal/>
    </border>
    <border>
      <left style="medium">
        <color theme="1" tint="0.39991454817346722"/>
      </left>
      <right/>
      <top/>
      <bottom style="medium">
        <color theme="1" tint="0.39994506668294322"/>
      </bottom>
      <diagonal/>
    </border>
    <border>
      <left/>
      <right style="medium">
        <color theme="1" tint="0.39991454817346722"/>
      </right>
      <top/>
      <bottom style="medium">
        <color theme="1" tint="0.39994506668294322"/>
      </bottom>
      <diagonal/>
    </border>
    <border>
      <left style="medium">
        <color theme="1" tint="0.39991454817346722"/>
      </left>
      <right/>
      <top style="medium">
        <color theme="1" tint="0.39994506668294322"/>
      </top>
      <bottom/>
      <diagonal/>
    </border>
    <border>
      <left/>
      <right style="medium">
        <color theme="1" tint="0.39991454817346722"/>
      </right>
      <top style="medium">
        <color theme="1" tint="0.39994506668294322"/>
      </top>
      <bottom/>
      <diagonal/>
    </border>
    <border>
      <left style="medium">
        <color theme="1" tint="0.39991454817346722"/>
      </left>
      <right/>
      <top/>
      <bottom style="medium">
        <color theme="1" tint="0.3999145481734672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theme="7"/>
      </left>
      <right/>
      <top/>
      <bottom/>
      <diagonal/>
    </border>
    <border>
      <left style="double">
        <color auto="1"/>
      </left>
      <right style="double">
        <color auto="1"/>
      </right>
      <top style="double">
        <color auto="1"/>
      </top>
      <bottom style="double">
        <color auto="1"/>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
      <left style="medium">
        <color theme="1" tint="0.39991454817346722"/>
      </left>
      <right/>
      <top style="medium">
        <color theme="1" tint="0.39991454817346722"/>
      </top>
      <bottom/>
      <diagonal/>
    </border>
    <border>
      <left/>
      <right/>
      <top style="medium">
        <color theme="1" tint="0.39991454817346722"/>
      </top>
      <bottom/>
      <diagonal/>
    </border>
    <border>
      <left/>
      <right style="medium">
        <color theme="1" tint="0.39991454817346722"/>
      </right>
      <top style="medium">
        <color theme="1" tint="0.39991454817346722"/>
      </top>
      <bottom/>
      <diagonal/>
    </border>
    <border>
      <left/>
      <right/>
      <top/>
      <bottom style="medium">
        <color theme="1" tint="0.39991454817346722"/>
      </bottom>
      <diagonal/>
    </border>
    <border>
      <left/>
      <right style="medium">
        <color theme="1" tint="0.39991454817346722"/>
      </right>
      <top/>
      <bottom style="medium">
        <color theme="1" tint="0.39991454817346722"/>
      </bottom>
      <diagonal/>
    </border>
    <border>
      <left style="medium">
        <color auto="1"/>
      </left>
      <right style="medium">
        <color auto="1"/>
      </right>
      <top style="medium">
        <color auto="1"/>
      </top>
      <bottom style="medium">
        <color auto="1"/>
      </bottom>
      <diagonal/>
    </border>
    <border>
      <left style="medium">
        <color rgb="FF666666"/>
      </left>
      <right/>
      <top style="medium">
        <color rgb="FF666666"/>
      </top>
      <bottom/>
      <diagonal/>
    </border>
    <border>
      <left/>
      <right/>
      <top style="medium">
        <color rgb="FF666666"/>
      </top>
      <bottom/>
      <diagonal/>
    </border>
    <border>
      <left/>
      <right style="medium">
        <color rgb="FF666666"/>
      </right>
      <top style="medium">
        <color rgb="FF666666"/>
      </top>
      <bottom/>
      <diagonal/>
    </border>
    <border>
      <left style="medium">
        <color rgb="FF666666"/>
      </left>
      <right/>
      <top/>
      <bottom/>
      <diagonal/>
    </border>
    <border>
      <left/>
      <right style="medium">
        <color rgb="FF666666"/>
      </right>
      <top/>
      <bottom/>
      <diagonal/>
    </border>
    <border>
      <left style="medium">
        <color rgb="FF666666"/>
      </left>
      <right/>
      <top/>
      <bottom style="medium">
        <color rgb="FF666666"/>
      </bottom>
      <diagonal/>
    </border>
    <border>
      <left/>
      <right/>
      <top/>
      <bottom style="medium">
        <color rgb="FF666666"/>
      </bottom>
      <diagonal/>
    </border>
    <border>
      <left/>
      <right style="medium">
        <color rgb="FF666666"/>
      </right>
      <top/>
      <bottom style="medium">
        <color rgb="FF666666"/>
      </bottom>
      <diagonal/>
    </border>
    <border>
      <left/>
      <right/>
      <top style="hair">
        <color auto="1"/>
      </top>
      <bottom/>
      <diagonal/>
    </border>
    <border>
      <left/>
      <right/>
      <top style="double">
        <color auto="1"/>
      </top>
      <bottom style="double">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hair">
        <color auto="1"/>
      </right>
      <top/>
      <bottom/>
      <diagonal/>
    </border>
    <border>
      <left style="hair">
        <color auto="1"/>
      </left>
      <right style="thin">
        <color auto="1"/>
      </right>
      <top/>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right/>
      <top style="thin">
        <color theme="0"/>
      </top>
      <bottom style="thin">
        <color theme="0"/>
      </bottom>
      <diagonal/>
    </border>
    <border>
      <left/>
      <right/>
      <top style="thin">
        <color auto="1"/>
      </top>
      <bottom/>
      <diagonal/>
    </border>
    <border>
      <left/>
      <right/>
      <top/>
      <bottom style="thin">
        <color auto="1"/>
      </bottom>
      <diagonal/>
    </border>
    <border>
      <left style="medium">
        <color theme="3"/>
      </left>
      <right/>
      <top/>
      <bottom/>
      <diagonal/>
    </border>
    <border>
      <left style="hair">
        <color theme="3"/>
      </left>
      <right/>
      <top/>
      <bottom/>
      <diagonal/>
    </border>
    <border>
      <left/>
      <right/>
      <top style="double">
        <color auto="1"/>
      </top>
      <bottom/>
      <diagonal/>
    </border>
    <border>
      <left/>
      <right/>
      <top/>
      <bottom style="double">
        <color auto="1"/>
      </bottom>
      <diagonal/>
    </border>
    <border>
      <left/>
      <right/>
      <top style="double">
        <color auto="1"/>
      </top>
      <bottom style="hair">
        <color auto="1"/>
      </bottom>
      <diagonal/>
    </border>
    <border>
      <left/>
      <right/>
      <top style="hair">
        <color auto="1"/>
      </top>
      <bottom style="hair">
        <color auto="1"/>
      </bottom>
      <diagonal/>
    </border>
    <border>
      <left/>
      <right/>
      <top style="hair">
        <color auto="1"/>
      </top>
      <bottom style="double">
        <color auto="1"/>
      </bottom>
      <diagonal/>
    </border>
    <border>
      <left/>
      <right/>
      <top/>
      <bottom style="hair">
        <color auto="1"/>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DashDot">
        <color theme="4" tint="0.59996337778862885"/>
      </left>
      <right/>
      <top style="mediumDashDot">
        <color theme="4" tint="0.59996337778862885"/>
      </top>
      <bottom/>
      <diagonal/>
    </border>
    <border>
      <left/>
      <right/>
      <top style="mediumDashDot">
        <color theme="4" tint="0.59996337778862885"/>
      </top>
      <bottom/>
      <diagonal/>
    </border>
    <border>
      <left/>
      <right style="mediumDashDot">
        <color theme="4" tint="0.59996337778862885"/>
      </right>
      <top style="mediumDashDot">
        <color theme="4" tint="0.59996337778862885"/>
      </top>
      <bottom/>
      <diagonal/>
    </border>
    <border>
      <left style="mediumDashDot">
        <color theme="4" tint="0.59996337778862885"/>
      </left>
      <right/>
      <top/>
      <bottom/>
      <diagonal/>
    </border>
    <border>
      <left/>
      <right style="mediumDashDot">
        <color theme="4" tint="0.59996337778862885"/>
      </right>
      <top/>
      <bottom/>
      <diagonal/>
    </border>
    <border>
      <left style="mediumDashDot">
        <color theme="4" tint="0.59996337778862885"/>
      </left>
      <right/>
      <top/>
      <bottom style="mediumDashDot">
        <color theme="4" tint="0.59996337778862885"/>
      </bottom>
      <diagonal/>
    </border>
    <border>
      <left/>
      <right/>
      <top/>
      <bottom style="mediumDashDot">
        <color theme="4" tint="0.59996337778862885"/>
      </bottom>
      <diagonal/>
    </border>
    <border>
      <left/>
      <right style="mediumDashDot">
        <color theme="4" tint="0.59996337778862885"/>
      </right>
      <top/>
      <bottom style="mediumDashDot">
        <color theme="4" tint="0.59996337778862885"/>
      </bottom>
      <diagonal/>
    </border>
    <border>
      <left style="medium">
        <color theme="4"/>
      </left>
      <right/>
      <top/>
      <bottom/>
      <diagonal/>
    </border>
    <border>
      <left/>
      <right style="medium">
        <color theme="4"/>
      </right>
      <top/>
      <bottom/>
      <diagonal/>
    </border>
  </borders>
  <cellStyleXfs count="11">
    <xf numFmtId="0" fontId="0" fillId="0" borderId="0"/>
    <xf numFmtId="165" fontId="4" fillId="0" borderId="0" applyFont="0" applyFill="0" applyBorder="0" applyAlignment="0" applyProtection="0"/>
    <xf numFmtId="9" fontId="9" fillId="0" borderId="0" applyFont="0" applyFill="0" applyBorder="0" applyAlignment="0" applyProtection="0"/>
    <xf numFmtId="0" fontId="25" fillId="0" borderId="0"/>
    <xf numFmtId="0" fontId="28" fillId="0" borderId="0"/>
    <xf numFmtId="164" fontId="3" fillId="0" borderId="0" applyFont="0" applyFill="0" applyBorder="0" applyAlignment="0" applyProtection="0"/>
    <xf numFmtId="0" fontId="30" fillId="10" borderId="0" applyNumberFormat="0" applyBorder="0" applyAlignment="0" applyProtection="0">
      <alignment vertical="top"/>
      <protection locked="0"/>
    </xf>
    <xf numFmtId="9" fontId="3"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4" fillId="0" borderId="0"/>
  </cellStyleXfs>
  <cellXfs count="454">
    <xf numFmtId="0" fontId="0" fillId="0" borderId="0" xfId="0"/>
    <xf numFmtId="0" fontId="4" fillId="0" borderId="0" xfId="0" applyFont="1"/>
    <xf numFmtId="3" fontId="4" fillId="0" borderId="5" xfId="0" applyNumberFormat="1" applyFont="1" applyBorder="1"/>
    <xf numFmtId="3" fontId="22" fillId="0" borderId="0" xfId="0" applyNumberFormat="1" applyFont="1"/>
    <xf numFmtId="0" fontId="0" fillId="7" borderId="0" xfId="0" applyFill="1"/>
    <xf numFmtId="0" fontId="18" fillId="7" borderId="0" xfId="0" applyFont="1" applyFill="1"/>
    <xf numFmtId="0" fontId="18" fillId="0" borderId="0" xfId="0" applyFont="1"/>
    <xf numFmtId="16" fontId="5" fillId="0" borderId="0" xfId="0" applyNumberFormat="1" applyFont="1"/>
    <xf numFmtId="0" fontId="5" fillId="0" borderId="0" xfId="0" applyFont="1"/>
    <xf numFmtId="0" fontId="28" fillId="0" borderId="0" xfId="4"/>
    <xf numFmtId="6" fontId="28" fillId="0" borderId="0" xfId="4" applyNumberFormat="1"/>
    <xf numFmtId="1" fontId="4" fillId="0" borderId="0" xfId="4" applyNumberFormat="1" applyFont="1" applyAlignment="1">
      <alignment vertical="center"/>
    </xf>
    <xf numFmtId="0" fontId="30" fillId="10" borderId="0" xfId="6" applyAlignment="1" applyProtection="1"/>
    <xf numFmtId="0" fontId="31" fillId="11" borderId="0" xfId="4" applyFont="1" applyFill="1" applyAlignment="1">
      <alignment horizontal="center" vertical="center"/>
    </xf>
    <xf numFmtId="0" fontId="24" fillId="0" borderId="0" xfId="4" applyFont="1" applyAlignment="1">
      <alignment horizontal="center"/>
    </xf>
    <xf numFmtId="0" fontId="28" fillId="0" borderId="13" xfId="4" applyBorder="1"/>
    <xf numFmtId="0" fontId="21" fillId="11" borderId="14" xfId="4" applyFont="1" applyFill="1" applyBorder="1" applyAlignment="1">
      <alignment vertical="center"/>
    </xf>
    <xf numFmtId="0" fontId="28" fillId="0" borderId="14" xfId="4" applyBorder="1"/>
    <xf numFmtId="0" fontId="28" fillId="0" borderId="15" xfId="4" applyBorder="1"/>
    <xf numFmtId="0" fontId="24" fillId="0" borderId="0" xfId="4" applyFont="1" applyAlignment="1">
      <alignment horizontal="left"/>
    </xf>
    <xf numFmtId="0" fontId="28" fillId="0" borderId="16" xfId="4" applyBorder="1"/>
    <xf numFmtId="6" fontId="21" fillId="3" borderId="0" xfId="4" applyNumberFormat="1" applyFont="1" applyFill="1" applyAlignment="1">
      <alignment vertical="center"/>
    </xf>
    <xf numFmtId="0" fontId="28" fillId="0" borderId="17" xfId="4" applyBorder="1"/>
    <xf numFmtId="6" fontId="28" fillId="0" borderId="0" xfId="4" applyNumberFormat="1" applyAlignment="1">
      <alignment vertical="center"/>
    </xf>
    <xf numFmtId="0" fontId="28" fillId="0" borderId="0" xfId="4" applyAlignment="1">
      <alignment horizontal="center"/>
    </xf>
    <xf numFmtId="0" fontId="28" fillId="0" borderId="18" xfId="4" applyBorder="1"/>
    <xf numFmtId="0" fontId="28" fillId="0" borderId="19" xfId="4" applyBorder="1"/>
    <xf numFmtId="0" fontId="28" fillId="0" borderId="20" xfId="4" applyBorder="1"/>
    <xf numFmtId="0" fontId="34" fillId="0" borderId="0" xfId="4" applyFont="1"/>
    <xf numFmtId="0" fontId="34" fillId="0" borderId="0" xfId="4" applyFont="1" applyAlignment="1">
      <alignment horizontal="center"/>
    </xf>
    <xf numFmtId="10" fontId="0" fillId="0" borderId="0" xfId="7" applyNumberFormat="1" applyFont="1" applyAlignment="1">
      <alignment vertical="center"/>
    </xf>
    <xf numFmtId="10" fontId="0" fillId="0" borderId="0" xfId="7" applyNumberFormat="1" applyFont="1"/>
    <xf numFmtId="0" fontId="28" fillId="0" borderId="21" xfId="4" applyBorder="1"/>
    <xf numFmtId="0" fontId="28" fillId="0" borderId="0" xfId="4" applyAlignment="1">
      <alignment vertical="center"/>
    </xf>
    <xf numFmtId="6" fontId="32" fillId="0" borderId="0" xfId="4" applyNumberFormat="1" applyFont="1" applyAlignment="1">
      <alignment vertical="center"/>
    </xf>
    <xf numFmtId="0" fontId="28" fillId="0" borderId="22" xfId="4" applyBorder="1" applyAlignment="1">
      <alignment vertical="center"/>
    </xf>
    <xf numFmtId="6" fontId="32" fillId="0" borderId="0" xfId="4" applyNumberFormat="1" applyFont="1"/>
    <xf numFmtId="0" fontId="28" fillId="0" borderId="22" xfId="4" applyBorder="1"/>
    <xf numFmtId="0" fontId="32" fillId="0" borderId="0" xfId="4" applyFont="1"/>
    <xf numFmtId="0" fontId="28" fillId="0" borderId="23" xfId="4" applyBorder="1"/>
    <xf numFmtId="3" fontId="28" fillId="0" borderId="24" xfId="4" quotePrefix="1" applyNumberFormat="1" applyBorder="1" applyAlignment="1">
      <alignment vertical="center"/>
    </xf>
    <xf numFmtId="0" fontId="28" fillId="0" borderId="11" xfId="4" applyBorder="1" applyAlignment="1">
      <alignment horizontal="center" vertical="center" wrapText="1"/>
    </xf>
    <xf numFmtId="6" fontId="28" fillId="0" borderId="11" xfId="4" applyNumberFormat="1" applyBorder="1"/>
    <xf numFmtId="6" fontId="28" fillId="9" borderId="11" xfId="4" applyNumberFormat="1" applyFill="1" applyBorder="1"/>
    <xf numFmtId="0" fontId="28" fillId="0" borderId="25" xfId="4" applyBorder="1"/>
    <xf numFmtId="0" fontId="21" fillId="11" borderId="14" xfId="4" applyFont="1" applyFill="1" applyBorder="1"/>
    <xf numFmtId="0" fontId="28" fillId="0" borderId="26" xfId="4" applyBorder="1"/>
    <xf numFmtId="0" fontId="28" fillId="0" borderId="0" xfId="4" applyAlignment="1">
      <alignment horizontal="right" indent="4"/>
    </xf>
    <xf numFmtId="10" fontId="28" fillId="0" borderId="0" xfId="4" applyNumberFormat="1" applyAlignment="1">
      <alignment vertical="center"/>
    </xf>
    <xf numFmtId="3" fontId="28" fillId="0" borderId="0" xfId="4" applyNumberFormat="1"/>
    <xf numFmtId="0" fontId="28" fillId="0" borderId="27" xfId="4" applyBorder="1"/>
    <xf numFmtId="0" fontId="28" fillId="0" borderId="24" xfId="4" applyBorder="1"/>
    <xf numFmtId="0" fontId="24" fillId="0" borderId="0" xfId="4" applyFont="1" applyAlignment="1">
      <alignment horizontal="right"/>
    </xf>
    <xf numFmtId="6" fontId="24" fillId="0" borderId="11" xfId="4" applyNumberFormat="1" applyFont="1" applyBorder="1"/>
    <xf numFmtId="0" fontId="36" fillId="0" borderId="0" xfId="4" applyFont="1"/>
    <xf numFmtId="0" fontId="24" fillId="0" borderId="0" xfId="4" applyFont="1"/>
    <xf numFmtId="6" fontId="24" fillId="0" borderId="28" xfId="4" applyNumberFormat="1" applyFont="1" applyBorder="1"/>
    <xf numFmtId="6" fontId="24" fillId="0" borderId="12" xfId="4" applyNumberFormat="1" applyFont="1" applyBorder="1"/>
    <xf numFmtId="6" fontId="24" fillId="0" borderId="29" xfId="4" applyNumberFormat="1" applyFont="1" applyBorder="1"/>
    <xf numFmtId="170" fontId="0" fillId="0" borderId="0" xfId="7" applyNumberFormat="1" applyFont="1"/>
    <xf numFmtId="10" fontId="28" fillId="0" borderId="21" xfId="4" applyNumberFormat="1" applyBorder="1"/>
    <xf numFmtId="0" fontId="26" fillId="0" borderId="0" xfId="4" applyFont="1"/>
    <xf numFmtId="4" fontId="28" fillId="0" borderId="0" xfId="4" applyNumberFormat="1"/>
    <xf numFmtId="10" fontId="21" fillId="3" borderId="0" xfId="4" applyNumberFormat="1" applyFont="1" applyFill="1"/>
    <xf numFmtId="8" fontId="32" fillId="0" borderId="0" xfId="4" applyNumberFormat="1" applyFont="1"/>
    <xf numFmtId="3" fontId="4" fillId="0" borderId="0" xfId="4" applyNumberFormat="1" applyFont="1" applyAlignment="1">
      <alignment vertical="center"/>
    </xf>
    <xf numFmtId="6" fontId="3" fillId="0" borderId="0" xfId="4" applyNumberFormat="1" applyFont="1"/>
    <xf numFmtId="3" fontId="38" fillId="0" borderId="0" xfId="0" applyNumberFormat="1" applyFont="1"/>
    <xf numFmtId="3" fontId="38" fillId="4" borderId="0" xfId="0" applyNumberFormat="1" applyFont="1" applyFill="1"/>
    <xf numFmtId="3" fontId="39" fillId="0" borderId="0" xfId="0" applyNumberFormat="1" applyFont="1"/>
    <xf numFmtId="9" fontId="38" fillId="5" borderId="0" xfId="2" applyFont="1" applyFill="1"/>
    <xf numFmtId="3" fontId="38" fillId="5" borderId="0" xfId="0" applyNumberFormat="1" applyFont="1" applyFill="1"/>
    <xf numFmtId="3" fontId="0" fillId="0" borderId="0" xfId="0" applyNumberFormat="1"/>
    <xf numFmtId="3" fontId="42" fillId="0" borderId="0" xfId="0" applyNumberFormat="1" applyFont="1"/>
    <xf numFmtId="3" fontId="43" fillId="5" borderId="0" xfId="0" applyNumberFormat="1" applyFont="1" applyFill="1" applyAlignment="1">
      <alignment horizontal="center"/>
    </xf>
    <xf numFmtId="10" fontId="42" fillId="0" borderId="0" xfId="0" applyNumberFormat="1" applyFont="1"/>
    <xf numFmtId="3" fontId="45" fillId="5" borderId="0" xfId="0" applyNumberFormat="1" applyFont="1" applyFill="1"/>
    <xf numFmtId="3" fontId="42" fillId="0" borderId="0" xfId="0" applyNumberFormat="1" applyFont="1" applyAlignment="1">
      <alignment horizontal="center"/>
    </xf>
    <xf numFmtId="9" fontId="0" fillId="0" borderId="0" xfId="0" applyNumberFormat="1"/>
    <xf numFmtId="10" fontId="42" fillId="5" borderId="0" xfId="0" applyNumberFormat="1" applyFont="1" applyFill="1"/>
    <xf numFmtId="3" fontId="42" fillId="5" borderId="0" xfId="0" applyNumberFormat="1" applyFont="1" applyFill="1"/>
    <xf numFmtId="3" fontId="0" fillId="0" borderId="0" xfId="0" applyNumberFormat="1" applyAlignment="1">
      <alignment horizontal="center"/>
    </xf>
    <xf numFmtId="10" fontId="0" fillId="0" borderId="0" xfId="0" applyNumberFormat="1"/>
    <xf numFmtId="3" fontId="43" fillId="5" borderId="0" xfId="0" applyNumberFormat="1" applyFont="1" applyFill="1"/>
    <xf numFmtId="3" fontId="43" fillId="0" borderId="0" xfId="0" applyNumberFormat="1" applyFont="1"/>
    <xf numFmtId="3" fontId="0" fillId="0" borderId="0" xfId="0" applyNumberFormat="1" applyAlignment="1">
      <alignment horizontal="right"/>
    </xf>
    <xf numFmtId="10" fontId="43" fillId="5" borderId="0" xfId="0" applyNumberFormat="1" applyFont="1" applyFill="1"/>
    <xf numFmtId="6" fontId="43" fillId="5" borderId="0" xfId="0" applyNumberFormat="1" applyFont="1" applyFill="1" applyAlignment="1">
      <alignment horizontal="center"/>
    </xf>
    <xf numFmtId="3" fontId="49" fillId="5" borderId="0" xfId="0" applyNumberFormat="1" applyFont="1" applyFill="1"/>
    <xf numFmtId="3" fontId="45" fillId="0" borderId="0" xfId="0" applyNumberFormat="1" applyFont="1"/>
    <xf numFmtId="3" fontId="47" fillId="8" borderId="0" xfId="0" applyNumberFormat="1" applyFont="1" applyFill="1"/>
    <xf numFmtId="3" fontId="50" fillId="0" borderId="0" xfId="0" applyNumberFormat="1" applyFont="1"/>
    <xf numFmtId="3" fontId="51" fillId="0" borderId="0" xfId="0" applyNumberFormat="1" applyFont="1"/>
    <xf numFmtId="3" fontId="42" fillId="0" borderId="0" xfId="0" applyNumberFormat="1" applyFont="1" applyAlignment="1">
      <alignment horizontal="center" vertical="center" wrapText="1"/>
    </xf>
    <xf numFmtId="10" fontId="42" fillId="0" borderId="0" xfId="2" applyNumberFormat="1" applyFont="1"/>
    <xf numFmtId="10" fontId="0" fillId="0" borderId="0" xfId="0" applyNumberFormat="1" applyAlignment="1">
      <alignment horizontal="center"/>
    </xf>
    <xf numFmtId="3" fontId="38" fillId="4" borderId="0" xfId="0" applyNumberFormat="1" applyFont="1" applyFill="1" applyAlignment="1">
      <alignment horizontal="center"/>
    </xf>
    <xf numFmtId="0" fontId="24" fillId="0" borderId="0" xfId="4" applyFont="1" applyAlignment="1">
      <alignment horizontal="center" vertical="center"/>
    </xf>
    <xf numFmtId="0" fontId="28" fillId="0" borderId="0" xfId="4" applyAlignment="1">
      <alignment horizontal="left"/>
    </xf>
    <xf numFmtId="0" fontId="28" fillId="0" borderId="10" xfId="4" applyBorder="1" applyAlignment="1">
      <alignment horizontal="left"/>
    </xf>
    <xf numFmtId="0" fontId="21" fillId="3" borderId="0" xfId="4" applyFont="1" applyFill="1" applyAlignment="1">
      <alignment vertical="center"/>
    </xf>
    <xf numFmtId="9" fontId="21" fillId="3" borderId="0" xfId="4" applyNumberFormat="1" applyFont="1" applyFill="1" applyAlignment="1">
      <alignment vertical="center"/>
    </xf>
    <xf numFmtId="8" fontId="44" fillId="6" borderId="0" xfId="0" applyNumberFormat="1" applyFont="1" applyFill="1"/>
    <xf numFmtId="8" fontId="0" fillId="5" borderId="0" xfId="0" applyNumberFormat="1" applyFill="1" applyAlignment="1">
      <alignment horizontal="center"/>
    </xf>
    <xf numFmtId="10" fontId="0" fillId="5" borderId="0" xfId="0" applyNumberFormat="1" applyFill="1"/>
    <xf numFmtId="3" fontId="0" fillId="6" borderId="0" xfId="0" applyNumberFormat="1" applyFill="1"/>
    <xf numFmtId="8" fontId="0" fillId="0" borderId="0" xfId="0" applyNumberFormat="1"/>
    <xf numFmtId="0" fontId="0" fillId="0" borderId="30" xfId="0" applyBorder="1"/>
    <xf numFmtId="3" fontId="0" fillId="0" borderId="30" xfId="0" applyNumberFormat="1" applyBorder="1"/>
    <xf numFmtId="6" fontId="0" fillId="0" borderId="0" xfId="0" applyNumberFormat="1"/>
    <xf numFmtId="0" fontId="0" fillId="0" borderId="0" xfId="0" applyAlignment="1">
      <alignment horizontal="right"/>
    </xf>
    <xf numFmtId="0" fontId="0" fillId="0" borderId="0" xfId="0" applyAlignment="1">
      <alignment horizontal="center"/>
    </xf>
    <xf numFmtId="3" fontId="0" fillId="0" borderId="32" xfId="0" applyNumberFormat="1" applyBorder="1" applyAlignment="1">
      <alignment horizontal="center"/>
    </xf>
    <xf numFmtId="0" fontId="0" fillId="0" borderId="0" xfId="0" applyAlignment="1">
      <alignment horizontal="center" vertical="center" wrapText="1"/>
    </xf>
    <xf numFmtId="3" fontId="42" fillId="5" borderId="0" xfId="0" applyNumberFormat="1" applyFont="1" applyFill="1" applyAlignment="1">
      <alignment horizontal="center"/>
    </xf>
    <xf numFmtId="3" fontId="42" fillId="5" borderId="0" xfId="0" applyNumberFormat="1" applyFont="1" applyFill="1" applyAlignment="1">
      <alignment horizontal="center" vertical="center" wrapText="1"/>
    </xf>
    <xf numFmtId="6" fontId="0" fillId="0" borderId="31" xfId="0" applyNumberFormat="1" applyBorder="1" applyAlignment="1">
      <alignment horizontal="center"/>
    </xf>
    <xf numFmtId="10" fontId="43" fillId="5" borderId="0" xfId="0" applyNumberFormat="1" applyFont="1" applyFill="1" applyAlignment="1">
      <alignment horizontal="center"/>
    </xf>
    <xf numFmtId="3" fontId="42" fillId="0" borderId="0" xfId="0" applyNumberFormat="1" applyFont="1" applyAlignment="1">
      <alignment horizontal="right" vertical="center" wrapText="1"/>
    </xf>
    <xf numFmtId="3" fontId="38" fillId="0" borderId="0" xfId="0" applyNumberFormat="1" applyFont="1" applyAlignment="1">
      <alignment horizontal="center" vertical="center"/>
    </xf>
    <xf numFmtId="8" fontId="52" fillId="0" borderId="0" xfId="0" applyNumberFormat="1" applyFont="1"/>
    <xf numFmtId="0" fontId="52" fillId="0" borderId="0" xfId="0" applyFont="1"/>
    <xf numFmtId="6" fontId="0" fillId="5" borderId="0" xfId="0" applyNumberFormat="1" applyFill="1"/>
    <xf numFmtId="6" fontId="0" fillId="0" borderId="0" xfId="0" applyNumberFormat="1" applyAlignment="1">
      <alignment horizontal="center"/>
    </xf>
    <xf numFmtId="0" fontId="28" fillId="0" borderId="34" xfId="4" applyBorder="1"/>
    <xf numFmtId="0" fontId="21" fillId="11" borderId="35" xfId="4" applyFont="1" applyFill="1" applyBorder="1"/>
    <xf numFmtId="0" fontId="28" fillId="0" borderId="35" xfId="4" applyBorder="1"/>
    <xf numFmtId="0" fontId="28" fillId="0" borderId="36" xfId="4" applyBorder="1"/>
    <xf numFmtId="10" fontId="37" fillId="3" borderId="0" xfId="7" applyNumberFormat="1" applyFont="1" applyFill="1" applyBorder="1"/>
    <xf numFmtId="8" fontId="28" fillId="0" borderId="0" xfId="4" applyNumberFormat="1"/>
    <xf numFmtId="10" fontId="0" fillId="0" borderId="0" xfId="7" applyNumberFormat="1" applyFont="1" applyBorder="1"/>
    <xf numFmtId="0" fontId="28" fillId="0" borderId="37" xfId="4" applyBorder="1"/>
    <xf numFmtId="0" fontId="28" fillId="0" borderId="38" xfId="4" applyBorder="1"/>
    <xf numFmtId="10" fontId="21" fillId="3" borderId="0" xfId="4" applyNumberFormat="1" applyFont="1" applyFill="1" applyAlignment="1">
      <alignment vertical="center"/>
    </xf>
    <xf numFmtId="0" fontId="36" fillId="0" borderId="0" xfId="4" applyFont="1" applyAlignment="1">
      <alignment horizontal="right"/>
    </xf>
    <xf numFmtId="0" fontId="28" fillId="0" borderId="40" xfId="4" applyBorder="1"/>
    <xf numFmtId="0" fontId="21" fillId="11" borderId="41" xfId="4" applyFont="1" applyFill="1" applyBorder="1"/>
    <xf numFmtId="0" fontId="28" fillId="0" borderId="41" xfId="4" applyBorder="1"/>
    <xf numFmtId="0" fontId="28" fillId="0" borderId="42" xfId="4" applyBorder="1"/>
    <xf numFmtId="0" fontId="28" fillId="0" borderId="43" xfId="4" applyBorder="1"/>
    <xf numFmtId="0" fontId="28" fillId="0" borderId="44" xfId="4" applyBorder="1"/>
    <xf numFmtId="10" fontId="28" fillId="0" borderId="43" xfId="4" applyNumberFormat="1" applyBorder="1"/>
    <xf numFmtId="8" fontId="32" fillId="0" borderId="44" xfId="4" applyNumberFormat="1" applyFont="1" applyBorder="1" applyAlignment="1">
      <alignment horizontal="center"/>
    </xf>
    <xf numFmtId="0" fontId="28" fillId="0" borderId="45" xfId="4" applyBorder="1"/>
    <xf numFmtId="0" fontId="28" fillId="0" borderId="46" xfId="4" applyBorder="1"/>
    <xf numFmtId="0" fontId="28" fillId="0" borderId="47" xfId="4" applyBorder="1"/>
    <xf numFmtId="10" fontId="28" fillId="0" borderId="0" xfId="4" applyNumberFormat="1"/>
    <xf numFmtId="0" fontId="24" fillId="0" borderId="0" xfId="4" applyFont="1" applyAlignment="1">
      <alignment vertical="center"/>
    </xf>
    <xf numFmtId="3" fontId="28" fillId="0" borderId="0" xfId="4" applyNumberFormat="1" applyAlignment="1">
      <alignment vertical="center"/>
    </xf>
    <xf numFmtId="10" fontId="0" fillId="0" borderId="0" xfId="7" applyNumberFormat="1" applyFont="1" applyBorder="1" applyAlignment="1">
      <alignment vertical="center"/>
    </xf>
    <xf numFmtId="170" fontId="28" fillId="0" borderId="0" xfId="4" applyNumberFormat="1"/>
    <xf numFmtId="3" fontId="33" fillId="0" borderId="0" xfId="4" applyNumberFormat="1" applyFont="1"/>
    <xf numFmtId="6" fontId="32" fillId="0" borderId="37" xfId="4" applyNumberFormat="1" applyFont="1" applyBorder="1"/>
    <xf numFmtId="0" fontId="21" fillId="11" borderId="35" xfId="4" applyFont="1" applyFill="1" applyBorder="1" applyAlignment="1">
      <alignment vertical="center"/>
    </xf>
    <xf numFmtId="6" fontId="35" fillId="7" borderId="0" xfId="4" applyNumberFormat="1" applyFont="1" applyFill="1"/>
    <xf numFmtId="3" fontId="28" fillId="0" borderId="22" xfId="4" quotePrefix="1" applyNumberFormat="1" applyBorder="1" applyAlignment="1">
      <alignment vertical="center"/>
    </xf>
    <xf numFmtId="0" fontId="13" fillId="0" borderId="0" xfId="4" applyFont="1"/>
    <xf numFmtId="0" fontId="54" fillId="0" borderId="0" xfId="4" applyFont="1" applyAlignment="1">
      <alignment vertical="center" wrapText="1"/>
    </xf>
    <xf numFmtId="0" fontId="54" fillId="0" borderId="0" xfId="4" applyFont="1" applyAlignment="1">
      <alignment horizontal="center" vertical="center" wrapText="1"/>
    </xf>
    <xf numFmtId="0" fontId="55" fillId="0" borderId="0" xfId="4" applyFont="1"/>
    <xf numFmtId="0" fontId="20" fillId="13" borderId="0" xfId="4" applyFont="1" applyFill="1" applyAlignment="1">
      <alignment horizontal="left" vertical="center" indent="2"/>
    </xf>
    <xf numFmtId="0" fontId="13" fillId="0" borderId="0" xfId="4" applyFont="1" applyAlignment="1">
      <alignment horizontal="center" wrapText="1"/>
    </xf>
    <xf numFmtId="168" fontId="13" fillId="14" borderId="0" xfId="8" applyNumberFormat="1" applyFont="1" applyFill="1" applyAlignment="1" applyProtection="1">
      <alignment horizontal="center"/>
      <protection locked="0"/>
    </xf>
    <xf numFmtId="0" fontId="13" fillId="0" borderId="0" xfId="4" applyFont="1" applyAlignment="1">
      <alignment vertical="center"/>
    </xf>
    <xf numFmtId="0" fontId="17" fillId="0" borderId="0" xfId="4" applyFont="1" applyAlignment="1">
      <alignment horizontal="center"/>
    </xf>
    <xf numFmtId="0" fontId="13" fillId="0" borderId="0" xfId="4" applyFont="1" applyAlignment="1">
      <alignment horizontal="center"/>
    </xf>
    <xf numFmtId="0" fontId="15" fillId="0" borderId="0" xfId="4" applyFont="1"/>
    <xf numFmtId="168" fontId="13" fillId="15" borderId="39" xfId="8" applyNumberFormat="1" applyFont="1" applyFill="1" applyBorder="1" applyAlignment="1" applyProtection="1">
      <alignment horizontal="center"/>
      <protection locked="0"/>
    </xf>
    <xf numFmtId="0" fontId="13" fillId="0" borderId="0" xfId="4" quotePrefix="1" applyFont="1"/>
    <xf numFmtId="168" fontId="13" fillId="0" borderId="0" xfId="4" applyNumberFormat="1" applyFont="1"/>
    <xf numFmtId="3" fontId="13" fillId="0" borderId="0" xfId="4" applyNumberFormat="1" applyFont="1"/>
    <xf numFmtId="0" fontId="12" fillId="0" borderId="0" xfId="4" applyFont="1" applyAlignment="1">
      <alignment vertical="center"/>
    </xf>
    <xf numFmtId="0" fontId="17" fillId="0" borderId="0" xfId="4" applyFont="1" applyAlignment="1">
      <alignment horizontal="center" vertical="center"/>
    </xf>
    <xf numFmtId="10" fontId="13" fillId="0" borderId="11" xfId="9" applyNumberFormat="1" applyFont="1" applyBorder="1" applyAlignment="1">
      <alignment horizontal="center"/>
    </xf>
    <xf numFmtId="0" fontId="13" fillId="0" borderId="11" xfId="4" applyFont="1" applyBorder="1" applyAlignment="1">
      <alignment horizontal="center"/>
    </xf>
    <xf numFmtId="168" fontId="13" fillId="15" borderId="9" xfId="8" applyNumberFormat="1" applyFont="1" applyFill="1" applyBorder="1" applyAlignment="1" applyProtection="1">
      <alignment horizontal="center"/>
      <protection locked="0"/>
    </xf>
    <xf numFmtId="0" fontId="6" fillId="0" borderId="0" xfId="4" applyFont="1" applyAlignment="1">
      <alignment horizontal="center" vertical="center" wrapText="1"/>
    </xf>
    <xf numFmtId="0" fontId="13" fillId="0" borderId="0" xfId="4" applyFont="1" applyAlignment="1">
      <alignment vertical="center" wrapText="1"/>
    </xf>
    <xf numFmtId="4" fontId="13" fillId="16" borderId="0" xfId="8" applyNumberFormat="1" applyFont="1" applyFill="1" applyAlignment="1">
      <alignment vertical="center"/>
    </xf>
    <xf numFmtId="4" fontId="20" fillId="17" borderId="0" xfId="8" applyNumberFormat="1" applyFont="1" applyFill="1" applyAlignment="1" applyProtection="1">
      <alignment vertical="center"/>
      <protection locked="0"/>
    </xf>
    <xf numFmtId="4" fontId="13" fillId="0" borderId="0" xfId="8" applyNumberFormat="1" applyFont="1" applyAlignment="1">
      <alignment vertical="center"/>
    </xf>
    <xf numFmtId="170" fontId="13" fillId="0" borderId="0" xfId="4" applyNumberFormat="1" applyFont="1"/>
    <xf numFmtId="0" fontId="14" fillId="0" borderId="0" xfId="4" applyFont="1"/>
    <xf numFmtId="169" fontId="13" fillId="0" borderId="0" xfId="8" applyNumberFormat="1" applyFont="1"/>
    <xf numFmtId="169" fontId="13" fillId="16" borderId="0" xfId="8" applyNumberFormat="1" applyFont="1" applyFill="1"/>
    <xf numFmtId="170" fontId="13" fillId="0" borderId="0" xfId="9" applyNumberFormat="1" applyFont="1"/>
    <xf numFmtId="0" fontId="13" fillId="0" borderId="0" xfId="4" applyFont="1" applyAlignment="1">
      <alignment horizontal="right" vertical="center"/>
    </xf>
    <xf numFmtId="9" fontId="13" fillId="0" borderId="0" xfId="4" applyNumberFormat="1" applyFont="1"/>
    <xf numFmtId="0" fontId="13" fillId="0" borderId="0" xfId="4" applyFont="1" applyAlignment="1">
      <alignment horizontal="left" vertical="center" indent="2"/>
    </xf>
    <xf numFmtId="0" fontId="13" fillId="0" borderId="0" xfId="4" applyFont="1" applyAlignment="1">
      <alignment horizontal="left" vertical="center"/>
    </xf>
    <xf numFmtId="6" fontId="13" fillId="0" borderId="0" xfId="4" applyNumberFormat="1" applyFont="1"/>
    <xf numFmtId="0" fontId="58" fillId="0" borderId="0" xfId="4" applyFont="1"/>
    <xf numFmtId="0" fontId="59" fillId="0" borderId="0" xfId="4" applyFont="1" applyAlignment="1">
      <alignment horizontal="center"/>
    </xf>
    <xf numFmtId="0" fontId="12" fillId="0" borderId="0" xfId="4" applyFont="1"/>
    <xf numFmtId="8" fontId="13" fillId="0" borderId="0" xfId="4" applyNumberFormat="1" applyFont="1"/>
    <xf numFmtId="168" fontId="12" fillId="0" borderId="0" xfId="8" applyNumberFormat="1" applyFont="1"/>
    <xf numFmtId="170" fontId="59" fillId="0" borderId="0" xfId="9" applyNumberFormat="1" applyFont="1" applyAlignment="1">
      <alignment horizontal="center"/>
    </xf>
    <xf numFmtId="168" fontId="12" fillId="0" borderId="48" xfId="8" applyNumberFormat="1" applyFont="1" applyBorder="1"/>
    <xf numFmtId="168" fontId="13" fillId="0" borderId="0" xfId="8" applyNumberFormat="1" applyFont="1"/>
    <xf numFmtId="168" fontId="12" fillId="0" borderId="0" xfId="4" applyNumberFormat="1" applyFont="1"/>
    <xf numFmtId="0" fontId="16" fillId="0" borderId="0" xfId="4" applyFont="1" applyAlignment="1">
      <alignment vertical="center"/>
    </xf>
    <xf numFmtId="170" fontId="13" fillId="0" borderId="0" xfId="9" applyNumberFormat="1" applyFont="1" applyAlignment="1">
      <alignment horizontal="center"/>
    </xf>
    <xf numFmtId="168" fontId="6" fillId="17" borderId="0" xfId="8" applyNumberFormat="1" applyFont="1" applyFill="1" applyProtection="1">
      <protection locked="0"/>
    </xf>
    <xf numFmtId="3" fontId="17" fillId="0" borderId="0" xfId="9" applyNumberFormat="1" applyFont="1" applyAlignment="1">
      <alignment horizontal="center"/>
    </xf>
    <xf numFmtId="3" fontId="13" fillId="0" borderId="0" xfId="9" applyNumberFormat="1" applyFont="1" applyAlignment="1">
      <alignment horizontal="center"/>
    </xf>
    <xf numFmtId="0" fontId="17" fillId="0" borderId="0" xfId="4" applyFont="1" applyAlignment="1">
      <alignment vertical="center"/>
    </xf>
    <xf numFmtId="168" fontId="13" fillId="0" borderId="0" xfId="4" applyNumberFormat="1" applyFont="1" applyAlignment="1">
      <alignment vertical="center"/>
    </xf>
    <xf numFmtId="3" fontId="38" fillId="0" borderId="0" xfId="0" applyNumberFormat="1" applyFont="1" applyAlignment="1">
      <alignment vertical="center"/>
    </xf>
    <xf numFmtId="4" fontId="38" fillId="0" borderId="0" xfId="0" applyNumberFormat="1" applyFont="1" applyAlignment="1" applyProtection="1">
      <alignment horizontal="center" vertical="center"/>
      <protection hidden="1"/>
    </xf>
    <xf numFmtId="0" fontId="0" fillId="19" borderId="0" xfId="0" applyFill="1" applyAlignment="1">
      <alignment horizontal="center"/>
    </xf>
    <xf numFmtId="0" fontId="0" fillId="19" borderId="0" xfId="0" applyFill="1"/>
    <xf numFmtId="9" fontId="41" fillId="0" borderId="17" xfId="4" applyNumberFormat="1" applyFont="1" applyBorder="1" applyAlignment="1">
      <alignment horizontal="center"/>
    </xf>
    <xf numFmtId="9" fontId="41" fillId="0" borderId="22" xfId="4" applyNumberFormat="1" applyFont="1" applyBorder="1" applyAlignment="1">
      <alignment horizontal="center" vertical="center"/>
    </xf>
    <xf numFmtId="0" fontId="41" fillId="0" borderId="17" xfId="4" applyFont="1" applyBorder="1" applyAlignment="1">
      <alignment horizontal="center"/>
    </xf>
    <xf numFmtId="9" fontId="28" fillId="0" borderId="22" xfId="4" applyNumberFormat="1" applyBorder="1"/>
    <xf numFmtId="10" fontId="28" fillId="0" borderId="22" xfId="4" applyNumberFormat="1" applyBorder="1"/>
    <xf numFmtId="6" fontId="32" fillId="0" borderId="46" xfId="4" applyNumberFormat="1" applyFont="1" applyBorder="1" applyAlignment="1">
      <alignment vertical="center"/>
    </xf>
    <xf numFmtId="3" fontId="42" fillId="6" borderId="0" xfId="0" applyNumberFormat="1" applyFont="1" applyFill="1" applyAlignment="1">
      <alignment horizontal="center"/>
    </xf>
    <xf numFmtId="6" fontId="0" fillId="6" borderId="0" xfId="0" applyNumberFormat="1" applyFill="1" applyAlignment="1">
      <alignment horizontal="center"/>
    </xf>
    <xf numFmtId="8" fontId="0" fillId="2" borderId="0" xfId="0" applyNumberFormat="1" applyFill="1" applyAlignment="1">
      <alignment horizontal="center"/>
    </xf>
    <xf numFmtId="8" fontId="42" fillId="6" borderId="0" xfId="0" applyNumberFormat="1" applyFont="1" applyFill="1" applyAlignment="1">
      <alignment horizontal="center"/>
    </xf>
    <xf numFmtId="6" fontId="0" fillId="6" borderId="31" xfId="0" applyNumberFormat="1" applyFill="1" applyBorder="1" applyAlignment="1">
      <alignment horizontal="center"/>
    </xf>
    <xf numFmtId="10" fontId="0" fillId="5" borderId="0" xfId="0" applyNumberFormat="1" applyFill="1" applyAlignment="1">
      <alignment horizontal="center"/>
    </xf>
    <xf numFmtId="8" fontId="0" fillId="0" borderId="0" xfId="0" applyNumberFormat="1" applyAlignment="1">
      <alignment horizontal="center"/>
    </xf>
    <xf numFmtId="6" fontId="0" fillId="0" borderId="33" xfId="0" applyNumberFormat="1" applyBorder="1" applyAlignment="1">
      <alignment horizontal="center"/>
    </xf>
    <xf numFmtId="3" fontId="0" fillId="2" borderId="0" xfId="0" applyNumberFormat="1" applyFill="1" applyAlignment="1">
      <alignment horizontal="center"/>
    </xf>
    <xf numFmtId="6" fontId="0" fillId="5" borderId="31" xfId="0" applyNumberFormat="1" applyFill="1" applyBorder="1" applyAlignment="1">
      <alignment horizontal="center"/>
    </xf>
    <xf numFmtId="6" fontId="0" fillId="5" borderId="0" xfId="0" applyNumberFormat="1" applyFill="1" applyAlignment="1">
      <alignment horizontal="center"/>
    </xf>
    <xf numFmtId="3" fontId="0" fillId="5" borderId="0" xfId="0" applyNumberFormat="1" applyFill="1" applyAlignment="1">
      <alignment horizontal="center"/>
    </xf>
    <xf numFmtId="6" fontId="27" fillId="5" borderId="0" xfId="0" applyNumberFormat="1" applyFont="1" applyFill="1" applyAlignment="1">
      <alignment horizontal="center"/>
    </xf>
    <xf numFmtId="6" fontId="42" fillId="5" borderId="31" xfId="0" applyNumberFormat="1" applyFont="1" applyFill="1" applyBorder="1" applyAlignment="1">
      <alignment horizontal="center"/>
    </xf>
    <xf numFmtId="6" fontId="42" fillId="0" borderId="0" xfId="0" applyNumberFormat="1" applyFont="1" applyAlignment="1">
      <alignment horizontal="center"/>
    </xf>
    <xf numFmtId="10" fontId="42" fillId="0" borderId="0" xfId="0" applyNumberFormat="1" applyFont="1" applyAlignment="1">
      <alignment horizontal="center"/>
    </xf>
    <xf numFmtId="8" fontId="42" fillId="5" borderId="0" xfId="0" applyNumberFormat="1" applyFont="1" applyFill="1" applyAlignment="1">
      <alignment horizontal="center"/>
    </xf>
    <xf numFmtId="8" fontId="42" fillId="0" borderId="0" xfId="0" applyNumberFormat="1" applyFont="1" applyAlignment="1">
      <alignment horizontal="center"/>
    </xf>
    <xf numFmtId="10" fontId="42" fillId="5" borderId="31" xfId="0" applyNumberFormat="1" applyFont="1" applyFill="1" applyBorder="1" applyAlignment="1">
      <alignment horizontal="center"/>
    </xf>
    <xf numFmtId="6" fontId="42" fillId="0" borderId="31" xfId="0" applyNumberFormat="1" applyFont="1" applyBorder="1" applyAlignment="1">
      <alignment horizontal="center"/>
    </xf>
    <xf numFmtId="167" fontId="42" fillId="5" borderId="0" xfId="0" applyNumberFormat="1" applyFont="1" applyFill="1" applyAlignment="1">
      <alignment horizontal="center"/>
    </xf>
    <xf numFmtId="6" fontId="43" fillId="0" borderId="0" xfId="0" applyNumberFormat="1" applyFont="1" applyAlignment="1">
      <alignment horizontal="center"/>
    </xf>
    <xf numFmtId="3" fontId="45" fillId="5" borderId="0" xfId="0" applyNumberFormat="1" applyFont="1" applyFill="1" applyAlignment="1">
      <alignment horizontal="center"/>
    </xf>
    <xf numFmtId="3" fontId="43" fillId="0" borderId="0" xfId="0" applyNumberFormat="1" applyFont="1" applyAlignment="1">
      <alignment horizontal="center"/>
    </xf>
    <xf numFmtId="10" fontId="42" fillId="5" borderId="0" xfId="0" applyNumberFormat="1" applyFont="1" applyFill="1" applyAlignment="1">
      <alignment horizontal="center"/>
    </xf>
    <xf numFmtId="3" fontId="43" fillId="5" borderId="31" xfId="0" applyNumberFormat="1" applyFont="1" applyFill="1" applyBorder="1" applyAlignment="1">
      <alignment horizontal="center"/>
    </xf>
    <xf numFmtId="6" fontId="42" fillId="6" borderId="0" xfId="0" applyNumberFormat="1" applyFont="1" applyFill="1" applyAlignment="1">
      <alignment horizontal="center"/>
    </xf>
    <xf numFmtId="10" fontId="45" fillId="5" borderId="0" xfId="0" applyNumberFormat="1" applyFont="1" applyFill="1" applyAlignment="1">
      <alignment horizontal="center"/>
    </xf>
    <xf numFmtId="6" fontId="42" fillId="5" borderId="0" xfId="0" applyNumberFormat="1" applyFont="1" applyFill="1" applyAlignment="1">
      <alignment horizontal="center"/>
    </xf>
    <xf numFmtId="3" fontId="0" fillId="0" borderId="0" xfId="0" applyNumberFormat="1" applyAlignment="1">
      <alignment horizontal="left"/>
    </xf>
    <xf numFmtId="0" fontId="0" fillId="0" borderId="2" xfId="0" applyBorder="1" applyAlignment="1">
      <alignment horizontal="center"/>
    </xf>
    <xf numFmtId="0" fontId="0" fillId="0" borderId="3" xfId="0" applyBorder="1"/>
    <xf numFmtId="0" fontId="0" fillId="0" borderId="3" xfId="0" applyBorder="1" applyAlignment="1">
      <alignment horizontal="center" vertical="center" wrapText="1"/>
    </xf>
    <xf numFmtId="0" fontId="0" fillId="0" borderId="4" xfId="0" applyBorder="1" applyAlignment="1">
      <alignment horizontal="center" vertical="center" wrapText="1"/>
    </xf>
    <xf numFmtId="4" fontId="46" fillId="19" borderId="5" xfId="0" applyNumberFormat="1" applyFont="1" applyFill="1" applyBorder="1" applyAlignment="1">
      <alignment horizontal="center"/>
    </xf>
    <xf numFmtId="0" fontId="0" fillId="0" borderId="1" xfId="0" applyBorder="1" applyAlignment="1">
      <alignment horizontal="center" vertical="center" wrapText="1"/>
    </xf>
    <xf numFmtId="0" fontId="0" fillId="0" borderId="5" xfId="0" applyBorder="1" applyAlignment="1">
      <alignment horizontal="center"/>
    </xf>
    <xf numFmtId="8" fontId="0" fillId="0" borderId="1" xfId="0" applyNumberFormat="1" applyBorder="1" applyAlignment="1">
      <alignment horizontal="center" vertical="center" wrapText="1"/>
    </xf>
    <xf numFmtId="0" fontId="0" fillId="0" borderId="6" xfId="0" applyBorder="1" applyAlignment="1">
      <alignment horizontal="center"/>
    </xf>
    <xf numFmtId="0" fontId="0" fillId="0" borderId="7" xfId="0" applyBorder="1"/>
    <xf numFmtId="8" fontId="0" fillId="0" borderId="8" xfId="0" applyNumberFormat="1" applyBorder="1" applyAlignment="1">
      <alignment horizontal="center" vertical="center" wrapText="1"/>
    </xf>
    <xf numFmtId="168" fontId="13" fillId="20" borderId="0" xfId="8" applyNumberFormat="1" applyFont="1" applyFill="1" applyAlignment="1" applyProtection="1">
      <alignment horizontal="center"/>
      <protection locked="0"/>
    </xf>
    <xf numFmtId="168" fontId="13" fillId="20" borderId="39" xfId="8" applyNumberFormat="1" applyFont="1" applyFill="1" applyBorder="1" applyAlignment="1" applyProtection="1">
      <alignment horizontal="center"/>
      <protection locked="0"/>
    </xf>
    <xf numFmtId="168" fontId="13" fillId="21" borderId="0" xfId="8" applyNumberFormat="1" applyFont="1" applyFill="1" applyAlignment="1" applyProtection="1">
      <alignment horizontal="center"/>
      <protection locked="0"/>
    </xf>
    <xf numFmtId="0" fontId="64" fillId="10" borderId="0" xfId="6" applyFont="1" applyAlignment="1" applyProtection="1"/>
    <xf numFmtId="0" fontId="1" fillId="0" borderId="0" xfId="4" applyFont="1"/>
    <xf numFmtId="0" fontId="1" fillId="0" borderId="0" xfId="4" applyFont="1" applyAlignment="1">
      <alignment vertical="center"/>
    </xf>
    <xf numFmtId="0" fontId="22" fillId="0" borderId="0" xfId="4" applyFont="1" applyAlignment="1">
      <alignment horizontal="center" vertical="center" wrapText="1"/>
    </xf>
    <xf numFmtId="0" fontId="1" fillId="0" borderId="0" xfId="4" applyFont="1" applyAlignment="1">
      <alignment vertical="center" wrapText="1"/>
    </xf>
    <xf numFmtId="4" fontId="1" fillId="16" borderId="0" xfId="8" applyNumberFormat="1" applyFont="1" applyFill="1" applyAlignment="1">
      <alignment vertical="center"/>
    </xf>
    <xf numFmtId="4" fontId="1" fillId="0" borderId="0" xfId="8" applyNumberFormat="1" applyFont="1" applyAlignment="1">
      <alignment vertical="center"/>
    </xf>
    <xf numFmtId="0" fontId="67" fillId="0" borderId="0" xfId="4" applyFont="1"/>
    <xf numFmtId="169" fontId="1" fillId="0" borderId="0" xfId="8" applyNumberFormat="1" applyFont="1"/>
    <xf numFmtId="169" fontId="1" fillId="16" borderId="0" xfId="8" applyNumberFormat="1" applyFont="1" applyFill="1"/>
    <xf numFmtId="170" fontId="1" fillId="0" borderId="0" xfId="9" applyNumberFormat="1" applyFont="1"/>
    <xf numFmtId="0" fontId="1" fillId="0" borderId="0" xfId="4" applyFont="1" applyAlignment="1">
      <alignment horizontal="right" vertical="center"/>
    </xf>
    <xf numFmtId="9" fontId="1" fillId="0" borderId="0" xfId="4" applyNumberFormat="1" applyFont="1"/>
    <xf numFmtId="0" fontId="1" fillId="0" borderId="0" xfId="4" applyFont="1" applyAlignment="1">
      <alignment horizontal="left" vertical="center" indent="2"/>
    </xf>
    <xf numFmtId="0" fontId="1" fillId="0" borderId="0" xfId="4" applyFont="1" applyAlignment="1">
      <alignment horizontal="left" vertical="center"/>
    </xf>
    <xf numFmtId="6" fontId="1" fillId="0" borderId="0" xfId="4" applyNumberFormat="1" applyFont="1"/>
    <xf numFmtId="168" fontId="24" fillId="0" borderId="0" xfId="8" applyNumberFormat="1" applyFont="1"/>
    <xf numFmtId="168" fontId="1" fillId="0" borderId="0" xfId="8" applyNumberFormat="1" applyFont="1"/>
    <xf numFmtId="0" fontId="68" fillId="0" borderId="0" xfId="4" applyFont="1" applyAlignment="1">
      <alignment vertical="center"/>
    </xf>
    <xf numFmtId="170" fontId="1" fillId="0" borderId="0" xfId="9" applyNumberFormat="1" applyFont="1" applyAlignment="1">
      <alignment horizontal="center"/>
    </xf>
    <xf numFmtId="3" fontId="32" fillId="0" borderId="0" xfId="9" applyNumberFormat="1" applyFont="1" applyAlignment="1">
      <alignment horizontal="center"/>
    </xf>
    <xf numFmtId="3" fontId="23" fillId="0" borderId="0" xfId="0" applyNumberFormat="1" applyFont="1"/>
    <xf numFmtId="4" fontId="62" fillId="21" borderId="0" xfId="8" applyNumberFormat="1" applyFont="1" applyFill="1" applyAlignment="1" applyProtection="1">
      <alignment vertical="center"/>
      <protection locked="0"/>
    </xf>
    <xf numFmtId="170" fontId="62" fillId="21" borderId="0" xfId="8" applyNumberFormat="1" applyFont="1" applyFill="1" applyAlignment="1" applyProtection="1">
      <alignment vertical="center"/>
      <protection locked="0"/>
    </xf>
    <xf numFmtId="3" fontId="62" fillId="21" borderId="0" xfId="8" applyNumberFormat="1" applyFont="1" applyFill="1" applyAlignment="1" applyProtection="1">
      <alignment vertical="center"/>
      <protection locked="0"/>
    </xf>
    <xf numFmtId="169" fontId="1" fillId="22" borderId="0" xfId="8" applyNumberFormat="1" applyFont="1" applyFill="1"/>
    <xf numFmtId="169" fontId="69" fillId="16" borderId="0" xfId="8" applyNumberFormat="1" applyFont="1" applyFill="1"/>
    <xf numFmtId="170" fontId="1" fillId="16" borderId="0" xfId="8" applyNumberFormat="1" applyFont="1" applyFill="1" applyAlignment="1">
      <alignment horizontal="center"/>
    </xf>
    <xf numFmtId="3" fontId="22" fillId="0" borderId="50" xfId="0" applyNumberFormat="1" applyFont="1" applyBorder="1" applyAlignment="1">
      <alignment horizontal="center"/>
    </xf>
    <xf numFmtId="3" fontId="22" fillId="0" borderId="51" xfId="0" applyNumberFormat="1" applyFont="1" applyBorder="1" applyAlignment="1">
      <alignment horizontal="center"/>
    </xf>
    <xf numFmtId="170" fontId="62" fillId="21" borderId="52" xfId="8" applyNumberFormat="1" applyFont="1" applyFill="1" applyBorder="1" applyAlignment="1" applyProtection="1">
      <alignment horizontal="center" vertical="center"/>
      <protection locked="0"/>
    </xf>
    <xf numFmtId="170" fontId="62" fillId="21" borderId="53" xfId="8" applyNumberFormat="1" applyFont="1" applyFill="1" applyBorder="1" applyAlignment="1" applyProtection="1">
      <alignment horizontal="center" vertical="center"/>
      <protection locked="0"/>
    </xf>
    <xf numFmtId="3" fontId="62" fillId="21" borderId="52" xfId="8" applyNumberFormat="1" applyFont="1" applyFill="1" applyBorder="1" applyAlignment="1" applyProtection="1">
      <alignment horizontal="center" vertical="center"/>
      <protection locked="0"/>
    </xf>
    <xf numFmtId="3" fontId="62" fillId="21" borderId="53" xfId="8" applyNumberFormat="1" applyFont="1" applyFill="1" applyBorder="1" applyAlignment="1" applyProtection="1">
      <alignment horizontal="center" vertical="center"/>
      <protection locked="0"/>
    </xf>
    <xf numFmtId="169" fontId="1" fillId="16" borderId="52" xfId="8" applyNumberFormat="1" applyFont="1" applyFill="1" applyBorder="1" applyAlignment="1">
      <alignment horizontal="center"/>
    </xf>
    <xf numFmtId="169" fontId="1" fillId="16" borderId="53" xfId="8" applyNumberFormat="1" applyFont="1" applyFill="1" applyBorder="1" applyAlignment="1">
      <alignment horizontal="center"/>
    </xf>
    <xf numFmtId="169" fontId="1" fillId="16" borderId="54" xfId="8" applyNumberFormat="1" applyFont="1" applyFill="1" applyBorder="1" applyAlignment="1">
      <alignment horizontal="center"/>
    </xf>
    <xf numFmtId="169" fontId="1" fillId="16" borderId="55" xfId="8" applyNumberFormat="1" applyFont="1" applyFill="1" applyBorder="1" applyAlignment="1">
      <alignment horizontal="center"/>
    </xf>
    <xf numFmtId="0" fontId="32" fillId="0" borderId="0" xfId="4" applyFont="1" applyAlignment="1">
      <alignment horizontal="center"/>
    </xf>
    <xf numFmtId="3" fontId="48" fillId="0" borderId="0" xfId="0" applyNumberFormat="1" applyFont="1" applyAlignment="1">
      <alignment horizontal="center"/>
    </xf>
    <xf numFmtId="0" fontId="52" fillId="0" borderId="0" xfId="0" applyFont="1" applyAlignment="1">
      <alignment horizontal="center"/>
    </xf>
    <xf numFmtId="0" fontId="70" fillId="0" borderId="0" xfId="4" applyFont="1"/>
    <xf numFmtId="6" fontId="19" fillId="7" borderId="0" xfId="4" applyNumberFormat="1" applyFont="1" applyFill="1"/>
    <xf numFmtId="3" fontId="38" fillId="26" borderId="56" xfId="0" applyNumberFormat="1" applyFont="1" applyFill="1" applyBorder="1" applyAlignment="1" applyProtection="1">
      <alignment horizontal="center" vertical="center"/>
      <protection locked="0"/>
    </xf>
    <xf numFmtId="166" fontId="38" fillId="26" borderId="56" xfId="0" applyNumberFormat="1" applyFont="1" applyFill="1" applyBorder="1" applyAlignment="1" applyProtection="1">
      <alignment horizontal="center" vertical="center"/>
      <protection locked="0"/>
    </xf>
    <xf numFmtId="3" fontId="61" fillId="0" borderId="0" xfId="0" applyNumberFormat="1" applyFont="1" applyAlignment="1" applyProtection="1">
      <alignment vertical="center"/>
      <protection locked="0"/>
    </xf>
    <xf numFmtId="6" fontId="61" fillId="0" borderId="0" xfId="0" applyNumberFormat="1" applyFont="1" applyAlignment="1" applyProtection="1">
      <alignment vertical="center"/>
      <protection locked="0"/>
    </xf>
    <xf numFmtId="0" fontId="0" fillId="0" borderId="0" xfId="0" applyAlignment="1">
      <alignment horizontal="center" wrapText="1"/>
    </xf>
    <xf numFmtId="0" fontId="76" fillId="24" borderId="0" xfId="10" applyFont="1" applyFill="1" applyAlignment="1">
      <alignment horizontal="center" vertical="center"/>
    </xf>
    <xf numFmtId="0" fontId="44" fillId="0" borderId="0" xfId="0" applyFont="1" applyAlignment="1">
      <alignment horizontal="left" wrapText="1"/>
    </xf>
    <xf numFmtId="0" fontId="0" fillId="8" borderId="0" xfId="0" applyFill="1"/>
    <xf numFmtId="0" fontId="0" fillId="8" borderId="0" xfId="0" applyFill="1" applyAlignment="1">
      <alignment horizontal="center" wrapText="1"/>
    </xf>
    <xf numFmtId="0" fontId="0" fillId="0" borderId="0" xfId="0" applyAlignment="1">
      <alignment horizontal="left" wrapText="1"/>
    </xf>
    <xf numFmtId="0" fontId="27" fillId="0" borderId="0" xfId="0" applyFont="1" applyAlignment="1">
      <alignment horizontal="left" wrapText="1"/>
    </xf>
    <xf numFmtId="0" fontId="0" fillId="0" borderId="0" xfId="0" applyAlignment="1">
      <alignment horizontal="left" wrapText="1" indent="2"/>
    </xf>
    <xf numFmtId="3" fontId="38" fillId="8" borderId="0" xfId="0" applyNumberFormat="1" applyFont="1" applyFill="1" applyAlignment="1">
      <alignment vertical="center"/>
    </xf>
    <xf numFmtId="3" fontId="39" fillId="0" borderId="0" xfId="0" applyNumberFormat="1" applyFont="1" applyAlignment="1">
      <alignment horizontal="right" vertical="center"/>
    </xf>
    <xf numFmtId="3" fontId="60" fillId="0" borderId="0" xfId="0" applyNumberFormat="1" applyFont="1" applyAlignment="1">
      <alignment vertical="center" wrapText="1"/>
    </xf>
    <xf numFmtId="3" fontId="39" fillId="0" borderId="0" xfId="0" applyNumberFormat="1" applyFont="1" applyAlignment="1">
      <alignment vertical="center"/>
    </xf>
    <xf numFmtId="3" fontId="39" fillId="0" borderId="0" xfId="0" applyNumberFormat="1" applyFont="1" applyAlignment="1">
      <alignment horizontal="center" vertical="center"/>
    </xf>
    <xf numFmtId="3" fontId="39" fillId="0" borderId="0" xfId="0" applyNumberFormat="1" applyFont="1" applyAlignment="1">
      <alignment horizontal="centerContinuous" vertical="center"/>
    </xf>
    <xf numFmtId="3" fontId="38" fillId="0" borderId="0" xfId="0" applyNumberFormat="1" applyFont="1" applyAlignment="1">
      <alignment horizontal="centerContinuous" vertical="center"/>
    </xf>
    <xf numFmtId="3" fontId="61" fillId="0" borderId="0" xfId="0" applyNumberFormat="1" applyFont="1" applyAlignment="1">
      <alignment vertical="center" wrapText="1"/>
    </xf>
    <xf numFmtId="0" fontId="38" fillId="0" borderId="0" xfId="0" applyFont="1"/>
    <xf numFmtId="3" fontId="38" fillId="0" borderId="0" xfId="0" quotePrefix="1" applyNumberFormat="1" applyFont="1" applyAlignment="1">
      <alignment horizontal="left" vertical="center"/>
    </xf>
    <xf numFmtId="3" fontId="38" fillId="0" borderId="0" xfId="0" applyNumberFormat="1" applyFont="1" applyAlignment="1">
      <alignment horizontal="right" vertical="center"/>
    </xf>
    <xf numFmtId="3" fontId="61" fillId="0" borderId="0" xfId="0" applyNumberFormat="1" applyFont="1" applyAlignment="1">
      <alignment vertical="center"/>
    </xf>
    <xf numFmtId="6" fontId="61" fillId="0" borderId="0" xfId="0" applyNumberFormat="1" applyFont="1" applyAlignment="1">
      <alignment vertical="center"/>
    </xf>
    <xf numFmtId="0" fontId="38" fillId="0" borderId="0" xfId="3" applyFont="1" applyAlignment="1">
      <alignment vertical="center"/>
    </xf>
    <xf numFmtId="0" fontId="38" fillId="0" borderId="0" xfId="3" applyFont="1" applyAlignment="1">
      <alignment horizontal="center" vertical="center" wrapText="1"/>
    </xf>
    <xf numFmtId="3" fontId="38" fillId="8" borderId="0" xfId="0" applyNumberFormat="1" applyFont="1" applyFill="1" applyAlignment="1">
      <alignment vertical="center" wrapText="1"/>
    </xf>
    <xf numFmtId="3" fontId="38" fillId="0" borderId="0" xfId="0" applyNumberFormat="1" applyFont="1" applyAlignment="1">
      <alignment vertical="center" wrapText="1"/>
    </xf>
    <xf numFmtId="0" fontId="38" fillId="0" borderId="0" xfId="3" applyFont="1" applyAlignment="1">
      <alignment vertical="center" wrapText="1"/>
    </xf>
    <xf numFmtId="0" fontId="38" fillId="0" borderId="12" xfId="3" applyFont="1" applyBorder="1" applyAlignment="1">
      <alignment vertical="center"/>
    </xf>
    <xf numFmtId="3" fontId="38" fillId="0" borderId="12" xfId="0" applyNumberFormat="1" applyFont="1" applyBorder="1" applyAlignment="1">
      <alignment vertical="center"/>
    </xf>
    <xf numFmtId="0" fontId="38" fillId="0" borderId="57" xfId="3" applyFont="1" applyBorder="1" applyAlignment="1">
      <alignment vertical="center"/>
    </xf>
    <xf numFmtId="3" fontId="40" fillId="0" borderId="0" xfId="0" applyNumberFormat="1" applyFont="1" applyAlignment="1">
      <alignment horizontal="right" vertical="center"/>
    </xf>
    <xf numFmtId="6" fontId="40" fillId="23" borderId="0" xfId="0" applyNumberFormat="1" applyFont="1" applyFill="1" applyAlignment="1">
      <alignment horizontal="center" vertical="center"/>
    </xf>
    <xf numFmtId="3" fontId="40" fillId="0" borderId="58" xfId="0" applyNumberFormat="1" applyFont="1" applyBorder="1" applyAlignment="1">
      <alignment horizontal="right" vertical="center"/>
    </xf>
    <xf numFmtId="6" fontId="40" fillId="0" borderId="0" xfId="0" applyNumberFormat="1" applyFont="1" applyAlignment="1">
      <alignment horizontal="center" vertical="center"/>
    </xf>
    <xf numFmtId="3" fontId="38" fillId="0" borderId="59" xfId="0" applyNumberFormat="1" applyFont="1" applyBorder="1" applyAlignment="1">
      <alignment vertical="center"/>
    </xf>
    <xf numFmtId="3" fontId="61" fillId="25" borderId="0" xfId="0" applyNumberFormat="1" applyFont="1" applyFill="1" applyAlignment="1">
      <alignment horizontal="center" vertical="center"/>
    </xf>
    <xf numFmtId="3" fontId="61" fillId="25" borderId="0" xfId="0" applyNumberFormat="1" applyFont="1" applyFill="1" applyAlignment="1">
      <alignment horizontal="centerContinuous" vertical="center"/>
    </xf>
    <xf numFmtId="6" fontId="38" fillId="0" borderId="0" xfId="0" applyNumberFormat="1" applyFont="1" applyAlignment="1">
      <alignment horizontal="center" vertical="center"/>
    </xf>
    <xf numFmtId="3" fontId="39" fillId="0" borderId="49" xfId="0" applyNumberFormat="1" applyFont="1" applyBorder="1" applyAlignment="1">
      <alignment vertical="center"/>
    </xf>
    <xf numFmtId="3" fontId="73" fillId="0" borderId="0" xfId="0" applyNumberFormat="1" applyFont="1" applyAlignment="1">
      <alignment horizontal="center" vertical="center"/>
    </xf>
    <xf numFmtId="6" fontId="39" fillId="0" borderId="49" xfId="0" applyNumberFormat="1" applyFont="1" applyBorder="1" applyAlignment="1">
      <alignment horizontal="center" vertical="center"/>
    </xf>
    <xf numFmtId="6" fontId="39" fillId="0" borderId="0" xfId="0" applyNumberFormat="1" applyFont="1" applyAlignment="1">
      <alignment horizontal="center" vertical="center"/>
    </xf>
    <xf numFmtId="3" fontId="38" fillId="0" borderId="0" xfId="0" applyNumberFormat="1" applyFont="1" applyAlignment="1">
      <alignment horizontal="left" vertical="center"/>
    </xf>
    <xf numFmtId="6" fontId="38" fillId="23" borderId="0" xfId="0" applyNumberFormat="1" applyFont="1" applyFill="1" applyAlignment="1">
      <alignment horizontal="center" vertical="center"/>
    </xf>
    <xf numFmtId="3" fontId="40" fillId="0" borderId="0" xfId="0" applyNumberFormat="1" applyFont="1" applyAlignment="1">
      <alignment horizontal="left" vertical="center"/>
    </xf>
    <xf numFmtId="9" fontId="40" fillId="0" borderId="0" xfId="0" applyNumberFormat="1" applyFont="1" applyAlignment="1">
      <alignment horizontal="center" vertical="center"/>
    </xf>
    <xf numFmtId="3" fontId="40" fillId="0" borderId="0" xfId="0" applyNumberFormat="1" applyFont="1" applyAlignment="1">
      <alignment horizontal="center" vertical="center"/>
    </xf>
    <xf numFmtId="3" fontId="74" fillId="0" borderId="0" xfId="0" applyNumberFormat="1" applyFont="1" applyAlignment="1">
      <alignment horizontal="center" vertical="center"/>
    </xf>
    <xf numFmtId="3" fontId="39" fillId="0" borderId="59" xfId="0" applyNumberFormat="1" applyFont="1" applyBorder="1" applyAlignment="1">
      <alignment vertical="center"/>
    </xf>
    <xf numFmtId="6" fontId="39" fillId="23" borderId="0" xfId="0" applyNumberFormat="1" applyFont="1" applyFill="1" applyAlignment="1">
      <alignment horizontal="center" vertical="center"/>
    </xf>
    <xf numFmtId="3" fontId="39" fillId="0" borderId="0" xfId="0" applyNumberFormat="1" applyFont="1" applyAlignment="1">
      <alignment horizontal="left" vertical="center"/>
    </xf>
    <xf numFmtId="3" fontId="39" fillId="0" borderId="59" xfId="0" applyNumberFormat="1" applyFont="1" applyBorder="1" applyAlignment="1">
      <alignment horizontal="center" vertical="center"/>
    </xf>
    <xf numFmtId="3" fontId="39" fillId="0" borderId="49" xfId="0" applyNumberFormat="1" applyFont="1" applyBorder="1" applyAlignment="1">
      <alignment horizontal="center" vertical="center"/>
    </xf>
    <xf numFmtId="3" fontId="38" fillId="0" borderId="60" xfId="0" applyNumberFormat="1" applyFont="1" applyBorder="1" applyAlignment="1">
      <alignment horizontal="center" vertical="center"/>
    </xf>
    <xf numFmtId="3" fontId="40" fillId="0" borderId="0" xfId="0" applyNumberFormat="1" applyFont="1" applyAlignment="1">
      <alignment vertical="center"/>
    </xf>
    <xf numFmtId="3" fontId="75" fillId="0" borderId="0" xfId="0" applyNumberFormat="1" applyFont="1" applyAlignment="1">
      <alignment horizontal="center" vertical="center"/>
    </xf>
    <xf numFmtId="3" fontId="40" fillId="0" borderId="59" xfId="0" applyNumberFormat="1" applyFont="1" applyBorder="1" applyAlignment="1">
      <alignment vertical="center"/>
    </xf>
    <xf numFmtId="10" fontId="40" fillId="0" borderId="0" xfId="0" applyNumberFormat="1" applyFont="1" applyAlignment="1">
      <alignment horizontal="center" vertical="center"/>
    </xf>
    <xf numFmtId="10" fontId="38" fillId="0" borderId="0" xfId="0" applyNumberFormat="1" applyFont="1" applyAlignment="1">
      <alignment vertical="center"/>
    </xf>
    <xf numFmtId="3" fontId="38" fillId="23" borderId="0" xfId="0" applyNumberFormat="1" applyFont="1" applyFill="1" applyAlignment="1">
      <alignment vertical="center"/>
    </xf>
    <xf numFmtId="6" fontId="38" fillId="26" borderId="56" xfId="0" applyNumberFormat="1" applyFont="1" applyFill="1" applyBorder="1" applyAlignment="1" applyProtection="1">
      <alignment horizontal="center" vertical="center"/>
      <protection locked="0"/>
    </xf>
    <xf numFmtId="6" fontId="38" fillId="26" borderId="56" xfId="0" applyNumberFormat="1" applyFont="1" applyFill="1" applyBorder="1" applyAlignment="1" applyProtection="1">
      <alignment horizontal="center" vertical="center" wrapText="1"/>
      <protection locked="0"/>
    </xf>
    <xf numFmtId="3" fontId="39" fillId="0" borderId="57" xfId="0" applyNumberFormat="1" applyFont="1" applyBorder="1" applyAlignment="1">
      <alignment horizontal="center" vertical="center" textRotation="90"/>
    </xf>
    <xf numFmtId="3" fontId="61" fillId="25" borderId="0" xfId="0" applyNumberFormat="1" applyFont="1" applyFill="1" applyAlignment="1">
      <alignment vertical="center" wrapText="1"/>
    </xf>
    <xf numFmtId="3" fontId="77" fillId="25" borderId="0" xfId="0" applyNumberFormat="1" applyFont="1" applyFill="1" applyAlignment="1">
      <alignment vertical="center"/>
    </xf>
    <xf numFmtId="3" fontId="61" fillId="25" borderId="0" xfId="0" applyNumberFormat="1" applyFont="1" applyFill="1" applyAlignment="1">
      <alignment vertical="center"/>
    </xf>
    <xf numFmtId="3" fontId="79" fillId="25" borderId="0" xfId="0" applyNumberFormat="1" applyFont="1" applyFill="1" applyAlignment="1">
      <alignment horizontal="center" vertical="center"/>
    </xf>
    <xf numFmtId="3" fontId="79" fillId="25" borderId="0" xfId="0" applyNumberFormat="1" applyFont="1" applyFill="1" applyAlignment="1">
      <alignment horizontal="centerContinuous" vertical="center"/>
    </xf>
    <xf numFmtId="6" fontId="38" fillId="23" borderId="56" xfId="0" applyNumberFormat="1" applyFont="1" applyFill="1" applyBorder="1" applyAlignment="1">
      <alignment horizontal="center" vertical="center"/>
    </xf>
    <xf numFmtId="3" fontId="38" fillId="0" borderId="64" xfId="0" applyNumberFormat="1" applyFont="1" applyBorder="1" applyAlignment="1">
      <alignment vertical="center"/>
    </xf>
    <xf numFmtId="3" fontId="38" fillId="0" borderId="63" xfId="0" applyNumberFormat="1" applyFont="1" applyBorder="1" applyAlignment="1">
      <alignment vertical="center"/>
    </xf>
    <xf numFmtId="3" fontId="38" fillId="0" borderId="48" xfId="0" applyNumberFormat="1" applyFont="1" applyBorder="1" applyAlignment="1">
      <alignment vertical="center"/>
    </xf>
    <xf numFmtId="6" fontId="38" fillId="0" borderId="65" xfId="0" applyNumberFormat="1" applyFont="1" applyBorder="1" applyAlignment="1">
      <alignment horizontal="center" vertical="center"/>
    </xf>
    <xf numFmtId="6" fontId="38" fillId="0" borderId="63" xfId="0" applyNumberFormat="1" applyFont="1" applyBorder="1" applyAlignment="1">
      <alignment horizontal="center" vertical="center"/>
    </xf>
    <xf numFmtId="6" fontId="38" fillId="23" borderId="64" xfId="0" applyNumberFormat="1" applyFont="1" applyFill="1" applyBorder="1" applyAlignment="1">
      <alignment horizontal="center" vertical="center"/>
    </xf>
    <xf numFmtId="6" fontId="38" fillId="0" borderId="64" xfId="0" applyNumberFormat="1" applyFont="1" applyBorder="1" applyAlignment="1">
      <alignment horizontal="center" vertical="center"/>
    </xf>
    <xf numFmtId="3" fontId="80" fillId="0" borderId="66" xfId="0" applyNumberFormat="1" applyFont="1" applyBorder="1" applyAlignment="1">
      <alignment horizontal="right" vertical="center"/>
    </xf>
    <xf numFmtId="3" fontId="81" fillId="0" borderId="0" xfId="0" applyNumberFormat="1" applyFont="1" applyAlignment="1">
      <alignment horizontal="center" vertical="center"/>
    </xf>
    <xf numFmtId="3" fontId="82" fillId="0" borderId="59" xfId="0" applyNumberFormat="1" applyFont="1" applyBorder="1" applyAlignment="1">
      <alignment vertical="center"/>
    </xf>
    <xf numFmtId="3" fontId="82" fillId="0" borderId="0" xfId="0" applyNumberFormat="1" applyFont="1" applyAlignment="1">
      <alignment vertical="center"/>
    </xf>
    <xf numFmtId="6" fontId="80" fillId="0" borderId="66" xfId="0" applyNumberFormat="1" applyFont="1" applyBorder="1" applyAlignment="1">
      <alignment horizontal="center" vertical="center"/>
    </xf>
    <xf numFmtId="3" fontId="80" fillId="0" borderId="0" xfId="0" applyNumberFormat="1" applyFont="1" applyAlignment="1">
      <alignment vertical="center"/>
    </xf>
    <xf numFmtId="3" fontId="80" fillId="0" borderId="59" xfId="0" applyNumberFormat="1" applyFont="1" applyBorder="1" applyAlignment="1">
      <alignment vertical="center"/>
    </xf>
    <xf numFmtId="3" fontId="80" fillId="0" borderId="0" xfId="0" applyNumberFormat="1" applyFont="1" applyAlignment="1">
      <alignment horizontal="center" vertical="center"/>
    </xf>
    <xf numFmtId="3" fontId="80" fillId="0" borderId="60" xfId="0" applyNumberFormat="1" applyFont="1" applyBorder="1" applyAlignment="1">
      <alignment horizontal="center" vertical="center"/>
    </xf>
    <xf numFmtId="3" fontId="38" fillId="8" borderId="0" xfId="0" applyNumberFormat="1" applyFont="1" applyFill="1" applyAlignment="1">
      <alignment horizontal="center" vertical="center"/>
    </xf>
    <xf numFmtId="3" fontId="61" fillId="8" borderId="0" xfId="0" applyNumberFormat="1" applyFont="1" applyFill="1" applyAlignment="1">
      <alignment vertical="center" wrapText="1"/>
    </xf>
    <xf numFmtId="3" fontId="85" fillId="8" borderId="0" xfId="0" applyNumberFormat="1" applyFont="1" applyFill="1" applyAlignment="1">
      <alignment vertical="center"/>
    </xf>
    <xf numFmtId="3" fontId="85" fillId="8" borderId="0" xfId="0" applyNumberFormat="1" applyFont="1" applyFill="1" applyAlignment="1">
      <alignment horizontal="centerContinuous" vertical="center"/>
    </xf>
    <xf numFmtId="3" fontId="85" fillId="8" borderId="0" xfId="0" applyNumberFormat="1" applyFont="1" applyFill="1" applyAlignment="1">
      <alignment horizontal="center" vertical="center"/>
    </xf>
    <xf numFmtId="3" fontId="85" fillId="8" borderId="0" xfId="0" applyNumberFormat="1" applyFont="1" applyFill="1" applyAlignment="1">
      <alignment vertical="center" wrapText="1"/>
    </xf>
    <xf numFmtId="3" fontId="86" fillId="8" borderId="0" xfId="0" applyNumberFormat="1" applyFont="1" applyFill="1" applyAlignment="1">
      <alignment horizontal="left" vertical="center" indent="2"/>
    </xf>
    <xf numFmtId="3" fontId="87" fillId="8" borderId="0" xfId="0" applyNumberFormat="1" applyFont="1" applyFill="1" applyAlignment="1">
      <alignment horizontal="left" vertical="center" indent="2"/>
    </xf>
    <xf numFmtId="3" fontId="39" fillId="0" borderId="60" xfId="0" applyNumberFormat="1" applyFont="1" applyBorder="1" applyAlignment="1">
      <alignment horizontal="center" vertical="center"/>
    </xf>
    <xf numFmtId="3" fontId="38" fillId="0" borderId="68" xfId="0" applyNumberFormat="1" applyFont="1" applyBorder="1" applyAlignment="1">
      <alignment vertical="center"/>
    </xf>
    <xf numFmtId="3" fontId="38" fillId="0" borderId="68" xfId="0" applyNumberFormat="1" applyFont="1" applyBorder="1" applyAlignment="1">
      <alignment horizontal="center" vertical="center"/>
    </xf>
    <xf numFmtId="3" fontId="38" fillId="0" borderId="69" xfId="0" applyNumberFormat="1" applyFont="1" applyBorder="1" applyAlignment="1">
      <alignment vertical="center"/>
    </xf>
    <xf numFmtId="3" fontId="38" fillId="0" borderId="71" xfId="0" applyNumberFormat="1" applyFont="1" applyBorder="1" applyAlignment="1">
      <alignment vertical="center"/>
    </xf>
    <xf numFmtId="3" fontId="38" fillId="0" borderId="71" xfId="0" applyNumberFormat="1" applyFont="1" applyBorder="1" applyAlignment="1">
      <alignment horizontal="center" vertical="center"/>
    </xf>
    <xf numFmtId="3" fontId="38" fillId="0" borderId="72" xfId="0" applyNumberFormat="1" applyFont="1" applyBorder="1" applyAlignment="1">
      <alignment vertical="center"/>
    </xf>
    <xf numFmtId="3" fontId="38" fillId="0" borderId="67" xfId="0" applyNumberFormat="1" applyFont="1" applyBorder="1" applyAlignment="1">
      <alignment vertical="center"/>
    </xf>
    <xf numFmtId="3" fontId="89" fillId="0" borderId="81" xfId="0" applyNumberFormat="1" applyFont="1" applyBorder="1" applyAlignment="1">
      <alignment vertical="center"/>
    </xf>
    <xf numFmtId="3" fontId="38" fillId="0" borderId="82" xfId="0" applyNumberFormat="1" applyFont="1" applyBorder="1" applyAlignment="1">
      <alignment vertical="center"/>
    </xf>
    <xf numFmtId="0" fontId="88" fillId="0" borderId="81" xfId="0" applyFont="1" applyBorder="1"/>
    <xf numFmtId="3" fontId="38" fillId="0" borderId="70" xfId="0" applyNumberFormat="1" applyFont="1" applyBorder="1" applyAlignment="1">
      <alignment vertical="center"/>
    </xf>
    <xf numFmtId="3" fontId="39" fillId="0" borderId="61" xfId="0" applyNumberFormat="1" applyFont="1" applyBorder="1" applyAlignment="1">
      <alignment horizontal="center" vertical="center" textRotation="90" wrapText="1"/>
    </xf>
    <xf numFmtId="3" fontId="39" fillId="0" borderId="0" xfId="0" applyNumberFormat="1" applyFont="1" applyAlignment="1">
      <alignment horizontal="center" vertical="center" textRotation="90" wrapText="1"/>
    </xf>
    <xf numFmtId="3" fontId="39" fillId="0" borderId="62" xfId="0" applyNumberFormat="1" applyFont="1" applyBorder="1" applyAlignment="1">
      <alignment horizontal="center" vertical="center" textRotation="90" wrapText="1"/>
    </xf>
    <xf numFmtId="3" fontId="39" fillId="0" borderId="49" xfId="0" applyNumberFormat="1" applyFont="1" applyBorder="1" applyAlignment="1">
      <alignment horizontal="left" vertical="center" wrapText="1"/>
    </xf>
    <xf numFmtId="0" fontId="38" fillId="0" borderId="12" xfId="3" applyFont="1" applyBorder="1" applyAlignment="1">
      <alignment horizontal="left" vertical="center" wrapText="1"/>
    </xf>
    <xf numFmtId="0" fontId="38" fillId="0" borderId="0" xfId="3" applyFont="1" applyAlignment="1">
      <alignment horizontal="center" vertical="center" wrapText="1"/>
    </xf>
    <xf numFmtId="3" fontId="39" fillId="0" borderId="57" xfId="0" applyNumberFormat="1" applyFont="1" applyBorder="1" applyAlignment="1">
      <alignment horizontal="center" vertical="center" textRotation="90"/>
    </xf>
    <xf numFmtId="3" fontId="39" fillId="0" borderId="0" xfId="0" applyNumberFormat="1" applyFont="1" applyAlignment="1">
      <alignment horizontal="center" vertical="center" textRotation="90"/>
    </xf>
    <xf numFmtId="3" fontId="39" fillId="0" borderId="58" xfId="0" applyNumberFormat="1" applyFont="1" applyBorder="1" applyAlignment="1">
      <alignment horizontal="center" vertical="center" textRotation="90"/>
    </xf>
    <xf numFmtId="3" fontId="38" fillId="0" borderId="76" xfId="0" applyNumberFormat="1" applyFont="1" applyBorder="1" applyAlignment="1">
      <alignment horizontal="left" vertical="center" wrapText="1"/>
    </xf>
    <xf numFmtId="3" fontId="38" fillId="0" borderId="0" xfId="0" applyNumberFormat="1" applyFont="1" applyAlignment="1">
      <alignment horizontal="left" vertical="center" wrapText="1"/>
    </xf>
    <xf numFmtId="3" fontId="38" fillId="0" borderId="77" xfId="0" applyNumberFormat="1" applyFont="1" applyBorder="1" applyAlignment="1">
      <alignment horizontal="left" vertical="center" wrapText="1"/>
    </xf>
    <xf numFmtId="3" fontId="38" fillId="0" borderId="78" xfId="0" applyNumberFormat="1" applyFont="1" applyBorder="1" applyAlignment="1">
      <alignment horizontal="left" vertical="center" wrapText="1"/>
    </xf>
    <xf numFmtId="3" fontId="38" fillId="0" borderId="79" xfId="0" applyNumberFormat="1" applyFont="1" applyBorder="1" applyAlignment="1">
      <alignment horizontal="left" vertical="center" wrapText="1"/>
    </xf>
    <xf numFmtId="3" fontId="38" fillId="0" borderId="80" xfId="0" applyNumberFormat="1" applyFont="1" applyBorder="1" applyAlignment="1">
      <alignment horizontal="left" vertical="center" wrapText="1"/>
    </xf>
    <xf numFmtId="3" fontId="39" fillId="0" borderId="73" xfId="0" applyNumberFormat="1" applyFont="1" applyBorder="1" applyAlignment="1">
      <alignment horizontal="center" vertical="center" wrapText="1"/>
    </xf>
    <xf numFmtId="3" fontId="39" fillId="0" borderId="74" xfId="0" applyNumberFormat="1" applyFont="1" applyBorder="1" applyAlignment="1">
      <alignment horizontal="center" vertical="center" wrapText="1"/>
    </xf>
    <xf numFmtId="3" fontId="39" fillId="0" borderId="75" xfId="0" applyNumberFormat="1" applyFont="1" applyBorder="1" applyAlignment="1">
      <alignment horizontal="center" vertical="center" wrapText="1"/>
    </xf>
    <xf numFmtId="3" fontId="72" fillId="0" borderId="0" xfId="0" applyNumberFormat="1" applyFont="1" applyAlignment="1">
      <alignment horizontal="center" vertical="center" wrapText="1"/>
    </xf>
    <xf numFmtId="3" fontId="38" fillId="26" borderId="0" xfId="0" applyNumberFormat="1" applyFont="1" applyFill="1" applyAlignment="1" applyProtection="1">
      <alignment horizontal="center" vertical="center"/>
      <protection locked="0"/>
    </xf>
    <xf numFmtId="3" fontId="38" fillId="23" borderId="0" xfId="0" applyNumberFormat="1" applyFont="1" applyFill="1" applyAlignment="1">
      <alignment horizontal="center" vertical="center"/>
    </xf>
    <xf numFmtId="3" fontId="78" fillId="25" borderId="0" xfId="0" applyNumberFormat="1" applyFont="1" applyFill="1" applyAlignment="1">
      <alignment horizontal="center" vertical="center"/>
    </xf>
    <xf numFmtId="0" fontId="24" fillId="0" borderId="0" xfId="4" applyFont="1" applyAlignment="1">
      <alignment horizontal="center" vertical="center"/>
    </xf>
    <xf numFmtId="0" fontId="29" fillId="0" borderId="0" xfId="4" applyFont="1" applyAlignment="1">
      <alignment horizontal="center"/>
    </xf>
    <xf numFmtId="3" fontId="21" fillId="19" borderId="0" xfId="4" applyNumberFormat="1" applyFont="1" applyFill="1" applyAlignment="1">
      <alignment horizontal="center"/>
    </xf>
    <xf numFmtId="0" fontId="20" fillId="12" borderId="0" xfId="4" applyFont="1" applyFill="1" applyAlignment="1">
      <alignment horizontal="center" vertical="center" wrapText="1"/>
    </xf>
    <xf numFmtId="0" fontId="19" fillId="13" borderId="0" xfId="4" applyFont="1" applyFill="1" applyAlignment="1">
      <alignment horizontal="center"/>
    </xf>
    <xf numFmtId="0" fontId="56" fillId="13" borderId="0" xfId="4" applyFont="1" applyFill="1" applyAlignment="1">
      <alignment horizontal="center" vertical="center" textRotation="90"/>
    </xf>
    <xf numFmtId="0" fontId="65" fillId="12" borderId="0" xfId="4" applyFont="1" applyFill="1" applyAlignment="1">
      <alignment horizontal="center" vertical="center"/>
    </xf>
    <xf numFmtId="0" fontId="66" fillId="0" borderId="0" xfId="4" applyFont="1" applyAlignment="1">
      <alignment horizontal="center" vertical="center" wrapText="1"/>
    </xf>
    <xf numFmtId="0" fontId="63" fillId="18" borderId="0" xfId="4" applyFont="1" applyFill="1" applyAlignment="1">
      <alignment horizontal="center"/>
    </xf>
    <xf numFmtId="0" fontId="32" fillId="0" borderId="0" xfId="4" applyFont="1" applyAlignment="1">
      <alignment horizontal="center"/>
    </xf>
    <xf numFmtId="0" fontId="13" fillId="17" borderId="0" xfId="4" applyFont="1" applyFill="1" applyAlignment="1">
      <alignment horizontal="center"/>
    </xf>
    <xf numFmtId="3" fontId="38" fillId="4" borderId="0" xfId="0" applyNumberFormat="1" applyFont="1" applyFill="1" applyAlignment="1">
      <alignment horizontal="center"/>
    </xf>
    <xf numFmtId="3" fontId="39" fillId="4" borderId="0" xfId="0" applyNumberFormat="1" applyFont="1" applyFill="1" applyAlignment="1">
      <alignment horizontal="center"/>
    </xf>
    <xf numFmtId="0" fontId="57" fillId="12" borderId="0" xfId="4" applyFont="1" applyFill="1" applyAlignment="1">
      <alignment horizontal="center" vertical="center"/>
    </xf>
    <xf numFmtId="0" fontId="54" fillId="0" borderId="0" xfId="4" applyFont="1" applyAlignment="1">
      <alignment horizontal="center" vertical="center" wrapText="1"/>
    </xf>
    <xf numFmtId="0" fontId="55" fillId="18" borderId="0" xfId="4" applyFont="1" applyFill="1" applyAlignment="1">
      <alignment horizontal="center"/>
    </xf>
    <xf numFmtId="0" fontId="13" fillId="14" borderId="0" xfId="4" applyFont="1" applyFill="1" applyAlignment="1">
      <alignment horizontal="center"/>
    </xf>
    <xf numFmtId="4" fontId="13" fillId="16" borderId="0" xfId="8" applyNumberFormat="1" applyFont="1" applyFill="1" applyAlignment="1">
      <alignment horizontal="center" vertical="center"/>
    </xf>
    <xf numFmtId="3" fontId="83" fillId="26" borderId="0" xfId="0" applyNumberFormat="1" applyFont="1" applyFill="1" applyAlignment="1" applyProtection="1">
      <alignment horizontal="center" vertical="center"/>
      <protection locked="0"/>
    </xf>
    <xf numFmtId="3" fontId="84" fillId="26" borderId="0" xfId="0" applyNumberFormat="1" applyFont="1" applyFill="1" applyAlignment="1" applyProtection="1">
      <alignment horizontal="center" vertical="center"/>
      <protection locked="0"/>
    </xf>
  </cellXfs>
  <cellStyles count="11">
    <cellStyle name="Euro" xfId="1" xr:uid="{00000000-0005-0000-0000-000000000000}"/>
    <cellStyle name="Lien hypertexte 2" xfId="6" xr:uid="{BB6EFD79-9686-46CB-AFC4-463E669065C9}"/>
    <cellStyle name="Milliers 2" xfId="5" xr:uid="{5B764356-EE03-42CE-9CEF-4302B7FE0F9C}"/>
    <cellStyle name="Milliers 3" xfId="8" xr:uid="{46327FC2-F61A-493E-9AD1-1C4D7DCE9C11}"/>
    <cellStyle name="Normal" xfId="0" builtinId="0" customBuiltin="1"/>
    <cellStyle name="Normal 2" xfId="3" xr:uid="{1D3E8DA6-7988-4ECE-A53D-23C526B7E7C5}"/>
    <cellStyle name="Normal 3" xfId="4" xr:uid="{D538AB6E-0AC8-4D53-9BFF-373FBE1696B5}"/>
    <cellStyle name="Normal 4" xfId="10" xr:uid="{BB69F520-EF81-44BA-95E2-32F75A22014B}"/>
    <cellStyle name="Pourcentage" xfId="2" builtinId="5"/>
    <cellStyle name="Pourcentage 2" xfId="7" xr:uid="{B0A1FB16-BAED-4B96-8344-FD665F12D9C7}"/>
    <cellStyle name="Pourcentage 3" xfId="9" xr:uid="{36DC313B-4E75-4D8A-B5E8-531E5310A9AC}"/>
  </cellStyles>
  <dxfs count="10">
    <dxf>
      <font>
        <b/>
        <i val="0"/>
        <color theme="1"/>
      </font>
    </dxf>
    <dxf>
      <font>
        <b/>
        <i val="0"/>
        <color theme="1"/>
      </font>
    </dxf>
    <dxf>
      <font>
        <b/>
        <i val="0"/>
        <color theme="1"/>
      </font>
    </dxf>
    <dxf>
      <font>
        <b/>
        <i val="0"/>
        <color theme="1"/>
      </font>
    </dxf>
    <dxf>
      <font>
        <b/>
        <i val="0"/>
        <color rgb="FFC00000"/>
      </font>
    </dxf>
    <dxf>
      <font>
        <b val="0"/>
        <i val="0"/>
        <color auto="1"/>
      </font>
      <fill>
        <patternFill>
          <bgColor theme="4" tint="0.59996337778862885"/>
        </patternFill>
      </fill>
    </dxf>
    <dxf>
      <font>
        <b/>
        <i val="0"/>
        <color rgb="FFC00000"/>
      </font>
    </dxf>
    <dxf>
      <font>
        <b val="0"/>
        <i val="0"/>
        <color auto="1"/>
      </font>
      <fill>
        <patternFill>
          <bgColor theme="4" tint="0.59996337778862885"/>
        </patternFill>
      </fill>
    </dxf>
    <dxf>
      <font>
        <b val="0"/>
        <i val="0"/>
        <color auto="1"/>
      </font>
      <fill>
        <patternFill>
          <bgColor theme="4" tint="0.59996337778862885"/>
        </patternFill>
      </fill>
    </dxf>
    <dxf>
      <font>
        <b/>
        <i val="0"/>
        <color rgb="FFC00000"/>
      </font>
    </dxf>
  </dxfs>
  <tableStyles count="0" defaultTableStyle="TableStyleMedium9"/>
  <colors>
    <mruColors>
      <color rgb="FFFF2B44"/>
      <color rgb="FF666666"/>
      <color rgb="FFFF0000"/>
      <color rgb="FF00D9F6"/>
      <color rgb="FFFF3300"/>
      <color rgb="FFCC6600"/>
      <color rgb="FF993300"/>
      <color rgb="FF006600"/>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2</xdr:col>
      <xdr:colOff>19050</xdr:colOff>
      <xdr:row>2</xdr:row>
      <xdr:rowOff>390525</xdr:rowOff>
    </xdr:from>
    <xdr:to>
      <xdr:col>2</xdr:col>
      <xdr:colOff>379050</xdr:colOff>
      <xdr:row>2</xdr:row>
      <xdr:rowOff>750525</xdr:rowOff>
    </xdr:to>
    <xdr:sp macro="" textlink="">
      <xdr:nvSpPr>
        <xdr:cNvPr id="8" name="Forme en L 7">
          <a:extLst>
            <a:ext uri="{FF2B5EF4-FFF2-40B4-BE49-F238E27FC236}">
              <a16:creationId xmlns:a16="http://schemas.microsoft.com/office/drawing/2014/main" id="{79F53A90-95F3-2318-926C-7CA8D332D7A6}"/>
            </a:ext>
          </a:extLst>
        </xdr:cNvPr>
        <xdr:cNvSpPr/>
      </xdr:nvSpPr>
      <xdr:spPr>
        <a:xfrm>
          <a:off x="1943100" y="676275"/>
          <a:ext cx="360000" cy="360000"/>
        </a:xfrm>
        <a:prstGeom prst="corner">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14</xdr:col>
      <xdr:colOff>19050</xdr:colOff>
      <xdr:row>2</xdr:row>
      <xdr:rowOff>19050</xdr:rowOff>
    </xdr:from>
    <xdr:to>
      <xdr:col>14</xdr:col>
      <xdr:colOff>379050</xdr:colOff>
      <xdr:row>2</xdr:row>
      <xdr:rowOff>379050</xdr:rowOff>
    </xdr:to>
    <xdr:sp macro="" textlink="">
      <xdr:nvSpPr>
        <xdr:cNvPr id="9" name="Forme en L 8">
          <a:extLst>
            <a:ext uri="{FF2B5EF4-FFF2-40B4-BE49-F238E27FC236}">
              <a16:creationId xmlns:a16="http://schemas.microsoft.com/office/drawing/2014/main" id="{6492EDDA-6701-4EF8-9267-87627E6E1E27}"/>
            </a:ext>
          </a:extLst>
        </xdr:cNvPr>
        <xdr:cNvSpPr/>
      </xdr:nvSpPr>
      <xdr:spPr>
        <a:xfrm rot="10800000">
          <a:off x="10572750" y="304800"/>
          <a:ext cx="360000" cy="360000"/>
        </a:xfrm>
        <a:prstGeom prst="corner">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PIE%20Fidepros_StratRem2022_v2022.03.14%20V2.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FIDEPRO/OGP/2021-2022/Fidepros_StratRem2022_v2022.02.28%20sans%20md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ordonnées du cabinet"/>
      <sheetName val="Avertissement"/>
      <sheetName val="Données"/>
      <sheetName val="Comparaison TNS-DIR"/>
      <sheetName val="TNS - Synthèse"/>
      <sheetName val="TNS - Détail du surcoût"/>
      <sheetName val="TNS - Détail des calculs"/>
      <sheetName val="Versions transmises"/>
      <sheetName val="DIR - Synthèse"/>
      <sheetName val="DIR - Détail du surcoût"/>
      <sheetName val="DIR - Détail des calculs"/>
      <sheetName val=" "/>
      <sheetName val="==TECHNIQUE==&gt;&gt;&gt;"/>
      <sheetName val="TNS____________________________"/>
      <sheetName val="======TNS-H0"/>
      <sheetName val="TNS-H0-Détail des calculs"/>
      <sheetName val="TNS-H0-Calcul IR"/>
      <sheetName val="TNS-H0-PARAM IR"/>
      <sheetName val="======TNS-H1"/>
      <sheetName val="TNS-H1-Détail des calculs"/>
      <sheetName val="TNS-H1-Calcul IR"/>
      <sheetName val="TNS-H1-PARAM IR"/>
      <sheetName val="======TNS-H2"/>
      <sheetName val="TNS-H2-Détail des calculs"/>
      <sheetName val="TNS-H2-Calcul IR"/>
      <sheetName val="TNS-H2-PARAM IR"/>
      <sheetName val="======TNS-H3"/>
      <sheetName val="TNS-H3-Détail des calculs"/>
      <sheetName val="TNS-H3-Calcul IR"/>
      <sheetName val="TNS-H3-PARAM IR"/>
      <sheetName val="======TNS-H4"/>
      <sheetName val="TNS-H4-Détail des calculs"/>
      <sheetName val="TNS-H4-Calcul IR"/>
      <sheetName val="TNS-H4-PARAM IR"/>
      <sheetName val="======TNS-H5"/>
      <sheetName val="TNS-H5-Détail des calculs"/>
      <sheetName val="TNS-H5-Calcul IR"/>
      <sheetName val="TNS-H5-PARAM IR"/>
      <sheetName val="  "/>
      <sheetName val="DIR____________________________"/>
      <sheetName val="======DIR-H0"/>
      <sheetName val="DIR-H0-Détail des calculs"/>
      <sheetName val="DIR-H0-Calcul IR"/>
      <sheetName val="DIR - PARAM IR H0"/>
      <sheetName val="======DIR-H1"/>
      <sheetName val="DIR-H1-Détail des calculs"/>
      <sheetName val="DIR-H1-Calcul IR"/>
      <sheetName val="DIR - PARAM IR H1"/>
      <sheetName val="======DIR-H4"/>
      <sheetName val="DIR-H4-Détail des calculs"/>
      <sheetName val="DIR-H4-Calcul IR"/>
      <sheetName val="DIR - PARAM IR H4"/>
      <sheetName val="======DIR-H5"/>
      <sheetName val="DIR-H5-Détail des calculs"/>
      <sheetName val="DIR-H5-Calcul IR"/>
      <sheetName val="DIR - PARAM IR H5"/>
      <sheetName val="   "/>
      <sheetName val="==========PARAM"/>
      <sheetName val="PARAM IS"/>
      <sheetName val="PARAM ACTIVITE"/>
      <sheetName val="PARAM IR SOURCE"/>
      <sheetName val="SOURCE BAREME TNS"/>
      <sheetName val="PARAM SOURCE COTIS DIR"/>
      <sheetName val="Comparaison TNS-DIR COMPL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ow r="4">
          <cell r="C4">
            <v>0.25</v>
          </cell>
        </row>
        <row r="5">
          <cell r="C5" t="str">
            <v>Surcoût d'IS (sur dividendes versés) - 25%</v>
          </cell>
        </row>
      </sheetData>
      <sheetData sheetId="59">
        <row r="2">
          <cell r="B2" t="str">
            <v>Société (Art 62)</v>
          </cell>
          <cell r="G2" t="str">
            <v>Société (Art 62)</v>
          </cell>
        </row>
        <row r="3">
          <cell r="B3" t="str">
            <v>Ent. Indiv</v>
          </cell>
          <cell r="G3" t="str">
            <v>Ent. Indiv</v>
          </cell>
        </row>
        <row r="4">
          <cell r="B4" t="str">
            <v>Dirigeant Salarié</v>
          </cell>
        </row>
      </sheetData>
      <sheetData sheetId="60" refreshError="1"/>
      <sheetData sheetId="61" refreshError="1"/>
      <sheetData sheetId="62" refreshError="1"/>
      <sheetData sheetId="6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ordonnées du cabinet"/>
      <sheetName val="Avertissement"/>
      <sheetName val="Données"/>
      <sheetName val="Comparaison TNS-DIR"/>
      <sheetName val="TNS - Synthèse"/>
      <sheetName val="TNS - Détail du surcoût"/>
      <sheetName val="TNS - Détail des calculs"/>
      <sheetName val="Versions transmises"/>
      <sheetName val="DIR - Synthèse"/>
      <sheetName val="DIR - Détail du surcoût"/>
      <sheetName val="DIR - Détail des calculs"/>
      <sheetName val=" "/>
      <sheetName val="==TECHNIQUE==&gt;&gt;&gt;"/>
      <sheetName val="TNS____________________________"/>
      <sheetName val="======TNS-H0"/>
      <sheetName val="TNS-H0-Détail des calculs"/>
      <sheetName val="TNS-H0-Calcul IR"/>
      <sheetName val="TNS-H0-PARAM IR"/>
      <sheetName val="======TNS-H1"/>
      <sheetName val="TNS-H1-Détail des calculs"/>
      <sheetName val="TNS-H1-Calcul IR"/>
      <sheetName val="TNS-H1-PARAM IR"/>
      <sheetName val="======TNS-H2"/>
      <sheetName val="TNS-H2-Détail des calculs"/>
      <sheetName val="TNS-H2-Calcul IR"/>
      <sheetName val="TNS-H2-PARAM IR"/>
      <sheetName val="======TNS-H3"/>
      <sheetName val="TNS-H3-Détail des calculs"/>
      <sheetName val="TNS-H3-Calcul IR"/>
      <sheetName val="TNS-H3-PARAM IR"/>
      <sheetName val="======TNS-H4"/>
      <sheetName val="TNS-H4-Détail des calculs"/>
      <sheetName val="TNS-H4-Calcul IR"/>
      <sheetName val="TNS-H4-PARAM IR"/>
      <sheetName val="======TNS-H5"/>
      <sheetName val="TNS-H5-Détail des calculs"/>
      <sheetName val="TNS-H5-Calcul IR"/>
      <sheetName val="TNS-H5-PARAM IR"/>
      <sheetName val="  "/>
      <sheetName val="DIR____________________________"/>
      <sheetName val="======DIR-H0"/>
      <sheetName val="DIR-H0-Détail des calculs"/>
      <sheetName val="DIR-H0-Calcul IR"/>
      <sheetName val="DIR - PARAM IR H0"/>
      <sheetName val="======DIR-H1"/>
      <sheetName val="DIR-H1-Détail des calculs"/>
      <sheetName val="DIR-H1-Calcul IR"/>
      <sheetName val="DIR - PARAM IR H1"/>
      <sheetName val="======DIR-H4"/>
      <sheetName val="DIR-H4-Détail des calculs"/>
      <sheetName val="DIR-H4-Calcul IR"/>
      <sheetName val="DIR - PARAM IR H4"/>
      <sheetName val="======DIR-H5"/>
      <sheetName val="DIR-H5-Détail des calculs"/>
      <sheetName val="DIR-H5-Calcul IR"/>
      <sheetName val="DIR - PARAM IR H5"/>
      <sheetName val="   "/>
      <sheetName val="==========PARAM"/>
      <sheetName val="PARAM IS"/>
      <sheetName val="PARAM ACTIVITE"/>
      <sheetName val="PARAM IR SOURCE"/>
      <sheetName val="SOURCE BAREME TNS"/>
      <sheetName val="PARAM SOURCE COTIS DIR"/>
      <sheetName val="Comparaison TNS-DIR COMPLET"/>
    </sheetNames>
    <sheetDataSet>
      <sheetData sheetId="0"/>
      <sheetData sheetId="1"/>
      <sheetData sheetId="2">
        <row r="10">
          <cell r="G10" t="str">
            <v>Client TEST</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ow r="2">
          <cell r="B2" t="str">
            <v>Société (Art 62)</v>
          </cell>
        </row>
        <row r="3">
          <cell r="B3" t="str">
            <v>Ent. Indiv</v>
          </cell>
        </row>
        <row r="4">
          <cell r="B4" t="str">
            <v>Dirigeant Salarié</v>
          </cell>
        </row>
      </sheetData>
      <sheetData sheetId="60"/>
      <sheetData sheetId="61"/>
      <sheetData sheetId="62"/>
      <sheetData sheetId="63"/>
    </sheetDataSet>
  </externalBook>
</externalLink>
</file>

<file path=xl/persons/person.xml><?xml version="1.0" encoding="utf-8"?>
<personList xmlns="http://schemas.microsoft.com/office/spreadsheetml/2018/threadedcomments" xmlns:x="http://schemas.openxmlformats.org/spreadsheetml/2006/main">
  <person displayName="Fabien Bocci" id="{0456A78C-35F6-4F97-BAAC-6A4F438B687E}" userId="S::fabien@pluriel.team::f5aa6e59-9874-4c73-83f1-40351f4a2624" providerId="AD"/>
</personList>
</file>

<file path=xl/theme/theme1.xml><?xml version="1.0" encoding="utf-8"?>
<a:theme xmlns:a="http://schemas.openxmlformats.org/drawingml/2006/main" name="CNO">
  <a:themeElements>
    <a:clrScheme name="CSO">
      <a:dk1>
        <a:srgbClr val="FF2B44"/>
      </a:dk1>
      <a:lt1>
        <a:sysClr val="window" lastClr="FFFFFF"/>
      </a:lt1>
      <a:dk2>
        <a:srgbClr val="838383"/>
      </a:dk2>
      <a:lt2>
        <a:srgbClr val="CFCFCF"/>
      </a:lt2>
      <a:accent1>
        <a:srgbClr val="00A0E6"/>
      </a:accent1>
      <a:accent2>
        <a:srgbClr val="EE7B28"/>
      </a:accent2>
      <a:accent3>
        <a:srgbClr val="509B50"/>
      </a:accent3>
      <a:accent4>
        <a:srgbClr val="322878"/>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7" dT="2021-04-02T08:14:55.96" personId="{0456A78C-35F6-4F97-BAAC-6A4F438B687E}" id="{ADE8D7FA-1EEF-4982-B76F-1B1D06E61019}">
    <text>5ème année et plus</text>
  </threadedComment>
  <threadedComment ref="D225" dT="2021-05-05T20:50:43.81" personId="{0456A78C-35F6-4F97-BAAC-6A4F438B687E}" id="{EC1DFD7F-7D3E-436B-9712-E307F4267030}">
    <text>nouveauté mai 2021</text>
  </threadedComment>
</ThreadedComments>
</file>

<file path=xl/threadedComments/threadedComment2.xml><?xml version="1.0" encoding="utf-8"?>
<ThreadedComments xmlns="http://schemas.microsoft.com/office/spreadsheetml/2018/threadedcomments" xmlns:x="http://schemas.openxmlformats.org/spreadsheetml/2006/main">
  <threadedComment ref="E57" dT="2021-04-02T08:14:55.96" personId="{0456A78C-35F6-4F97-BAAC-6A4F438B687E}" id="{F19EC074-19EC-4CE7-B7A1-A18549930899}">
    <text>5ème année et plus</text>
  </threadedComment>
  <threadedComment ref="D225" dT="2021-05-05T20:50:43.81" personId="{0456A78C-35F6-4F97-BAAC-6A4F438B687E}" id="{566A1EB7-5ABD-40E6-8172-6787B23551C3}">
    <text>nouveauté mai 2021</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5.bin"/><Relationship Id="rId1" Type="http://schemas.openxmlformats.org/officeDocument/2006/relationships/hyperlink" Target="https://droit-finances.commentcamarche.com/faq/20217-impot-sur-le-revenu-bareme-2020"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8.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9.bin"/><Relationship Id="rId1" Type="http://schemas.openxmlformats.org/officeDocument/2006/relationships/hyperlink" Target="https://droit-finances.commentcamarche.com/faq/20217-impot-sur-le-revenu-bareme-2020" TargetMode="External"/><Relationship Id="rId4" Type="http://schemas.openxmlformats.org/officeDocument/2006/relationships/comments" Target="../comments5.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printerSettings" Target="../printerSettings/printerSettings10.bin"/><Relationship Id="rId1" Type="http://schemas.openxmlformats.org/officeDocument/2006/relationships/hyperlink" Target="https://droit-finances.commentcamarche.com/faq/20217-impot-sur-le-revenu-bareme-2020"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2CE9-5F8B-4956-827E-C2F7E17C2286}">
  <sheetPr>
    <tabColor theme="1"/>
  </sheetPr>
  <dimension ref="A1:L14"/>
  <sheetViews>
    <sheetView showGridLines="0" showRowColHeaders="0" tabSelected="1" zoomScale="130" zoomScaleNormal="130" workbookViewId="0">
      <selection activeCell="C6" sqref="C6"/>
    </sheetView>
  </sheetViews>
  <sheetFormatPr baseColWidth="10" defaultColWidth="0" defaultRowHeight="12.75" zeroHeight="1" x14ac:dyDescent="0.2"/>
  <cols>
    <col min="1" max="1" width="11.42578125" style="311" customWidth="1"/>
    <col min="2" max="2" width="2.7109375" customWidth="1"/>
    <col min="3" max="3" width="136.7109375" style="308" customWidth="1"/>
    <col min="4" max="4" width="2.7109375" customWidth="1"/>
    <col min="5" max="12" width="0" hidden="1" customWidth="1"/>
    <col min="13" max="16384" width="11.42578125" hidden="1"/>
  </cols>
  <sheetData>
    <row r="1" spans="3:3" s="311" customFormat="1" x14ac:dyDescent="0.2">
      <c r="C1" s="312"/>
    </row>
    <row r="2" spans="3:3" x14ac:dyDescent="0.2"/>
    <row r="3" spans="3:3" ht="28.5" x14ac:dyDescent="0.2">
      <c r="C3" s="309" t="s">
        <v>440</v>
      </c>
    </row>
    <row r="4" spans="3:3" x14ac:dyDescent="0.2"/>
    <row r="5" spans="3:3" x14ac:dyDescent="0.2">
      <c r="C5" s="310" t="s">
        <v>441</v>
      </c>
    </row>
    <row r="6" spans="3:3" ht="25.5" x14ac:dyDescent="0.2">
      <c r="C6" s="314" t="s">
        <v>442</v>
      </c>
    </row>
    <row r="7" spans="3:3" x14ac:dyDescent="0.2">
      <c r="C7" s="314"/>
    </row>
    <row r="8" spans="3:3" x14ac:dyDescent="0.2">
      <c r="C8" s="313"/>
    </row>
    <row r="9" spans="3:3" x14ac:dyDescent="0.2">
      <c r="C9" s="313" t="s">
        <v>438</v>
      </c>
    </row>
    <row r="10" spans="3:3" x14ac:dyDescent="0.2"/>
    <row r="11" spans="3:3" x14ac:dyDescent="0.2">
      <c r="C11" s="313" t="s">
        <v>443</v>
      </c>
    </row>
    <row r="12" spans="3:3" ht="38.25" x14ac:dyDescent="0.2">
      <c r="C12" s="315" t="s">
        <v>439</v>
      </c>
    </row>
    <row r="13" spans="3:3" x14ac:dyDescent="0.2"/>
    <row r="14" spans="3:3"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tabColor theme="4"/>
    <pageSetUpPr fitToPage="1"/>
  </sheetPr>
  <dimension ref="B2:AB89"/>
  <sheetViews>
    <sheetView showGridLines="0" zoomScaleNormal="100" workbookViewId="0">
      <selection activeCell="K11" sqref="K11"/>
    </sheetView>
  </sheetViews>
  <sheetFormatPr baseColWidth="10" defaultColWidth="10.85546875" defaultRowHeight="12.75" x14ac:dyDescent="0.2"/>
  <cols>
    <col min="1" max="1" width="18.140625" style="316" customWidth="1"/>
    <col min="2" max="2" width="10.7109375" style="316" customWidth="1"/>
    <col min="3" max="3" width="11.7109375" style="316" customWidth="1"/>
    <col min="4" max="4" width="35" style="316" bestFit="1" customWidth="1"/>
    <col min="5" max="5" width="11" style="316" customWidth="1"/>
    <col min="6" max="7" width="2.7109375" style="316" customWidth="1"/>
    <col min="8" max="8" width="22.7109375" style="316" customWidth="1"/>
    <col min="9" max="10" width="2.7109375" style="316" customWidth="1"/>
    <col min="11" max="11" width="22.7109375" style="316" customWidth="1"/>
    <col min="12" max="13" width="1.7109375" style="316" customWidth="1"/>
    <col min="14" max="14" width="22.7109375" style="316" customWidth="1"/>
    <col min="15" max="15" width="5.7109375" style="316" customWidth="1"/>
    <col min="16" max="16" width="10.7109375" style="316" customWidth="1"/>
    <col min="17" max="17" width="12.7109375" style="394" customWidth="1"/>
    <col min="18" max="18" width="15.7109375" style="394" customWidth="1"/>
    <col min="19" max="19" width="10.85546875" style="316" customWidth="1"/>
    <col min="20" max="20" width="12.28515625" style="316" customWidth="1"/>
    <col min="21" max="16384" width="10.85546875" style="316"/>
  </cols>
  <sheetData>
    <row r="2" spans="2:28" ht="9.75" customHeight="1" x14ac:dyDescent="0.2">
      <c r="B2" s="317"/>
      <c r="C2" s="317"/>
      <c r="D2" s="317"/>
      <c r="E2" s="317"/>
      <c r="F2" s="317"/>
      <c r="G2" s="317"/>
      <c r="H2" s="317"/>
      <c r="I2" s="317"/>
      <c r="J2" s="317"/>
      <c r="K2" s="317"/>
      <c r="L2" s="317"/>
      <c r="M2" s="317"/>
      <c r="N2" s="317"/>
      <c r="O2" s="317"/>
      <c r="P2" s="207"/>
    </row>
    <row r="3" spans="2:28" ht="60" customHeight="1" x14ac:dyDescent="0.2">
      <c r="B3" s="207"/>
      <c r="C3" s="430" t="s">
        <v>434</v>
      </c>
      <c r="D3" s="430"/>
      <c r="E3" s="430"/>
      <c r="F3" s="430"/>
      <c r="G3" s="430"/>
      <c r="H3" s="430"/>
      <c r="I3" s="430"/>
      <c r="J3" s="430"/>
      <c r="K3" s="430"/>
      <c r="L3" s="430"/>
      <c r="M3" s="430"/>
      <c r="N3" s="430"/>
      <c r="O3" s="430"/>
      <c r="P3" s="318"/>
    </row>
    <row r="4" spans="2:28" ht="12.75" customHeight="1" x14ac:dyDescent="0.2">
      <c r="B4" s="320"/>
      <c r="C4" s="321"/>
      <c r="D4" s="321"/>
      <c r="E4" s="321"/>
      <c r="F4" s="321"/>
      <c r="G4" s="321"/>
      <c r="H4" s="321"/>
      <c r="I4" s="321"/>
      <c r="J4" s="321"/>
      <c r="K4" s="322"/>
      <c r="L4" s="322"/>
      <c r="M4" s="322"/>
      <c r="N4" s="322"/>
      <c r="O4" s="317"/>
      <c r="P4" s="322"/>
      <c r="Q4" s="395"/>
    </row>
    <row r="5" spans="2:28" ht="22.5" customHeight="1" x14ac:dyDescent="0.2">
      <c r="B5" s="207"/>
      <c r="C5" s="357" t="s">
        <v>466</v>
      </c>
      <c r="D5" s="322"/>
      <c r="E5" s="452"/>
      <c r="F5" s="452"/>
      <c r="G5" s="452"/>
      <c r="H5" s="452"/>
      <c r="I5" s="322"/>
      <c r="J5" s="322"/>
      <c r="K5" s="319" t="s">
        <v>455</v>
      </c>
      <c r="L5" s="453"/>
      <c r="M5" s="453"/>
      <c r="N5" s="453"/>
      <c r="O5" s="317"/>
      <c r="P5" s="119"/>
      <c r="Q5" s="398" t="s">
        <v>467</v>
      </c>
    </row>
    <row r="6" spans="2:28" ht="15.75" x14ac:dyDescent="0.2">
      <c r="B6" s="207"/>
      <c r="C6" s="319"/>
      <c r="D6" s="319"/>
      <c r="E6" s="207"/>
      <c r="F6" s="207"/>
      <c r="G6" s="207"/>
      <c r="H6" s="207"/>
      <c r="I6" s="207"/>
      <c r="J6" s="207"/>
      <c r="K6" s="207"/>
      <c r="L6" s="207"/>
      <c r="M6" s="207"/>
      <c r="N6" s="119"/>
      <c r="O6" s="119"/>
      <c r="P6" s="119"/>
      <c r="Q6" s="399" t="s">
        <v>468</v>
      </c>
      <c r="AA6" s="393"/>
      <c r="AB6" s="393"/>
    </row>
    <row r="7" spans="2:28" x14ac:dyDescent="0.2">
      <c r="B7" s="207"/>
      <c r="C7" s="371" t="s">
        <v>456</v>
      </c>
      <c r="D7" s="371"/>
      <c r="E7" s="372"/>
      <c r="F7" s="372"/>
      <c r="G7" s="372"/>
      <c r="H7" s="372"/>
      <c r="I7" s="207"/>
      <c r="J7" s="207"/>
      <c r="K7" s="207"/>
      <c r="L7" s="207"/>
      <c r="M7" s="207"/>
      <c r="N7" s="119"/>
      <c r="O7" s="119"/>
      <c r="P7" s="119"/>
      <c r="Q7" s="316"/>
      <c r="AA7" s="393"/>
      <c r="AB7" s="393"/>
    </row>
    <row r="8" spans="2:28" x14ac:dyDescent="0.2">
      <c r="B8" s="207"/>
      <c r="C8" s="207"/>
      <c r="D8" s="207"/>
      <c r="E8" s="207"/>
      <c r="F8" s="207"/>
      <c r="G8" s="207"/>
      <c r="H8" s="207"/>
      <c r="I8" s="207"/>
      <c r="J8" s="207"/>
      <c r="K8" s="207"/>
      <c r="L8" s="207"/>
      <c r="M8" s="207"/>
      <c r="N8" s="207"/>
      <c r="O8" s="207"/>
      <c r="P8" s="119"/>
      <c r="Q8" s="396"/>
      <c r="AA8" s="393"/>
      <c r="AB8" s="393"/>
    </row>
    <row r="9" spans="2:28" x14ac:dyDescent="0.2">
      <c r="B9" s="207"/>
      <c r="C9" s="324" t="s">
        <v>454</v>
      </c>
      <c r="D9" s="207"/>
      <c r="E9" s="431"/>
      <c r="F9" s="431"/>
      <c r="G9" s="431"/>
      <c r="H9" s="431"/>
      <c r="I9" s="207"/>
      <c r="J9" s="207"/>
      <c r="K9" s="207"/>
      <c r="L9" s="207"/>
      <c r="M9" s="207"/>
      <c r="N9" s="119"/>
      <c r="O9" s="119"/>
      <c r="P9" s="119"/>
      <c r="Q9" s="396"/>
      <c r="AA9" s="393"/>
      <c r="AB9" s="393"/>
    </row>
    <row r="10" spans="2:28" x14ac:dyDescent="0.2">
      <c r="B10" s="207"/>
      <c r="C10" s="207"/>
      <c r="D10" s="207"/>
      <c r="E10" s="207"/>
      <c r="F10" s="207"/>
      <c r="G10" s="207"/>
      <c r="H10" s="207"/>
      <c r="I10" s="207"/>
      <c r="J10" s="207"/>
      <c r="K10" s="207"/>
      <c r="L10" s="207"/>
      <c r="M10" s="207"/>
      <c r="N10" s="207"/>
      <c r="O10" s="207"/>
      <c r="P10" s="119"/>
      <c r="Q10" s="396"/>
      <c r="AA10" s="393"/>
      <c r="AB10" s="393"/>
    </row>
    <row r="11" spans="2:28" x14ac:dyDescent="0.2">
      <c r="B11" s="207"/>
      <c r="C11" s="207" t="s">
        <v>0</v>
      </c>
      <c r="D11" s="207"/>
      <c r="E11" s="431" t="s">
        <v>4</v>
      </c>
      <c r="F11" s="431"/>
      <c r="G11" s="431"/>
      <c r="H11" s="431"/>
      <c r="I11" s="207"/>
      <c r="J11" s="207"/>
      <c r="K11" s="207"/>
      <c r="L11" s="207"/>
      <c r="M11" s="207"/>
      <c r="N11" s="207"/>
      <c r="O11" s="207"/>
      <c r="P11" s="119"/>
      <c r="Q11" s="396"/>
    </row>
    <row r="12" spans="2:28" ht="18" customHeight="1" x14ac:dyDescent="0.2">
      <c r="B12" s="207"/>
      <c r="C12" s="207"/>
      <c r="D12" s="207"/>
      <c r="E12" s="207"/>
      <c r="F12" s="207"/>
      <c r="G12" s="207"/>
      <c r="H12" s="207"/>
      <c r="I12" s="207"/>
      <c r="J12" s="207"/>
      <c r="K12" s="207"/>
      <c r="L12" s="207"/>
      <c r="M12" s="207"/>
      <c r="N12" s="119"/>
      <c r="O12" s="119"/>
      <c r="P12" s="119"/>
      <c r="Q12" s="396"/>
    </row>
    <row r="13" spans="2:28" x14ac:dyDescent="0.2">
      <c r="B13" s="207"/>
      <c r="C13" s="325" t="s">
        <v>431</v>
      </c>
      <c r="D13" s="325"/>
      <c r="E13" s="432" t="str">
        <f>VLOOKUP(E11,Profession!B6:D28,3,FALSE)</f>
        <v>CNR</v>
      </c>
      <c r="F13" s="432"/>
      <c r="G13" s="432"/>
      <c r="H13" s="432"/>
      <c r="I13" s="207"/>
      <c r="J13" s="207"/>
      <c r="K13" s="207"/>
      <c r="L13" s="207"/>
      <c r="M13" s="207"/>
      <c r="N13" s="119"/>
      <c r="O13" s="119"/>
      <c r="P13" s="119"/>
      <c r="Q13" s="396"/>
    </row>
    <row r="14" spans="2:28" ht="18" customHeight="1" x14ac:dyDescent="0.2">
      <c r="B14" s="207"/>
      <c r="C14" s="207"/>
      <c r="D14" s="207"/>
      <c r="E14" s="207"/>
      <c r="F14" s="207"/>
      <c r="G14" s="207"/>
      <c r="H14" s="207"/>
      <c r="I14" s="207"/>
      <c r="J14" s="207"/>
      <c r="K14" s="207"/>
      <c r="L14" s="207"/>
      <c r="M14" s="207"/>
      <c r="N14" s="119"/>
      <c r="O14" s="119"/>
      <c r="P14" s="119"/>
      <c r="Q14" s="396"/>
    </row>
    <row r="15" spans="2:28" x14ac:dyDescent="0.2">
      <c r="B15" s="207"/>
      <c r="C15" s="371" t="s">
        <v>432</v>
      </c>
      <c r="D15" s="372"/>
      <c r="E15" s="372"/>
      <c r="F15" s="372"/>
      <c r="G15" s="372"/>
      <c r="H15" s="370"/>
      <c r="I15" s="207"/>
      <c r="J15" s="207"/>
      <c r="K15" s="371" t="s">
        <v>5</v>
      </c>
      <c r="L15" s="370"/>
      <c r="M15" s="370"/>
      <c r="N15" s="342"/>
      <c r="O15" s="119"/>
      <c r="P15" s="119"/>
      <c r="Q15" s="396"/>
    </row>
    <row r="16" spans="2:28" x14ac:dyDescent="0.2">
      <c r="B16" s="207"/>
      <c r="C16" s="207"/>
      <c r="D16" s="207"/>
      <c r="E16" s="207"/>
      <c r="F16" s="207"/>
      <c r="G16" s="207"/>
      <c r="H16" s="207"/>
      <c r="I16" s="207"/>
      <c r="J16" s="207"/>
      <c r="K16" s="207"/>
      <c r="L16" s="207"/>
      <c r="M16" s="207"/>
      <c r="N16" s="207"/>
      <c r="O16" s="207"/>
      <c r="P16" s="119"/>
      <c r="Q16" s="396"/>
    </row>
    <row r="17" spans="2:18" x14ac:dyDescent="0.2">
      <c r="B17" s="207"/>
      <c r="C17" s="207"/>
      <c r="D17" s="326" t="s">
        <v>2</v>
      </c>
      <c r="E17" s="327" t="s">
        <v>433</v>
      </c>
      <c r="F17" s="327"/>
      <c r="G17" s="327"/>
      <c r="H17" s="306">
        <v>0</v>
      </c>
      <c r="I17" s="327"/>
      <c r="J17" s="327"/>
      <c r="K17" s="207" t="s">
        <v>6</v>
      </c>
      <c r="L17" s="207"/>
      <c r="M17" s="207"/>
      <c r="N17" s="304" t="s">
        <v>8</v>
      </c>
      <c r="O17" s="207"/>
      <c r="P17" s="119"/>
      <c r="Q17" s="396"/>
    </row>
    <row r="18" spans="2:18" x14ac:dyDescent="0.2">
      <c r="B18" s="207"/>
      <c r="C18" s="207"/>
      <c r="D18" s="326" t="s">
        <v>3</v>
      </c>
      <c r="E18" s="327" t="s">
        <v>433</v>
      </c>
      <c r="F18" s="327"/>
      <c r="G18" s="327"/>
      <c r="H18" s="306"/>
      <c r="I18" s="327"/>
      <c r="J18" s="327"/>
      <c r="K18" s="207" t="s">
        <v>7</v>
      </c>
      <c r="L18" s="207"/>
      <c r="M18" s="207"/>
      <c r="N18" s="305">
        <v>4</v>
      </c>
      <c r="O18" s="207"/>
      <c r="P18" s="119"/>
      <c r="Q18" s="396"/>
    </row>
    <row r="19" spans="2:18" x14ac:dyDescent="0.2">
      <c r="B19" s="207"/>
      <c r="C19" s="207"/>
      <c r="D19" s="326" t="s">
        <v>413</v>
      </c>
      <c r="E19" s="327" t="s">
        <v>433</v>
      </c>
      <c r="F19" s="327"/>
      <c r="G19" s="327"/>
      <c r="H19" s="306"/>
      <c r="I19" s="327"/>
      <c r="J19" s="327"/>
      <c r="K19" s="207" t="s">
        <v>9</v>
      </c>
      <c r="L19" s="207"/>
      <c r="M19" s="207"/>
      <c r="N19" s="305">
        <v>3</v>
      </c>
      <c r="O19" s="207"/>
      <c r="P19" s="119"/>
      <c r="Q19" s="396"/>
    </row>
    <row r="20" spans="2:18" x14ac:dyDescent="0.2">
      <c r="B20" s="207"/>
      <c r="C20" s="207"/>
      <c r="D20" s="326" t="s">
        <v>430</v>
      </c>
      <c r="E20" s="327" t="s">
        <v>433</v>
      </c>
      <c r="F20" s="328"/>
      <c r="G20" s="328"/>
      <c r="H20" s="307"/>
      <c r="I20" s="327"/>
      <c r="J20" s="327"/>
      <c r="K20" s="207" t="s">
        <v>436</v>
      </c>
      <c r="L20" s="207"/>
      <c r="M20" s="207"/>
      <c r="N20" s="367">
        <v>90000</v>
      </c>
      <c r="O20" s="207"/>
      <c r="P20" s="119"/>
      <c r="Q20" s="396"/>
    </row>
    <row r="21" spans="2:18" ht="25.5" x14ac:dyDescent="0.2">
      <c r="B21" s="207"/>
      <c r="C21" s="207"/>
      <c r="D21" s="207"/>
      <c r="E21" s="207"/>
      <c r="F21" s="207"/>
      <c r="G21" s="207"/>
      <c r="H21" s="207"/>
      <c r="I21" s="323"/>
      <c r="J21" s="323"/>
      <c r="K21" s="332" t="s">
        <v>446</v>
      </c>
      <c r="L21" s="323"/>
      <c r="M21" s="323"/>
      <c r="N21" s="367">
        <v>40000</v>
      </c>
      <c r="O21" s="207"/>
      <c r="P21" s="207"/>
    </row>
    <row r="22" spans="2:18" x14ac:dyDescent="0.2">
      <c r="B22" s="207"/>
      <c r="C22" s="207"/>
      <c r="D22" s="207"/>
      <c r="E22" s="207"/>
      <c r="F22" s="207"/>
      <c r="G22" s="207"/>
      <c r="H22" s="207"/>
      <c r="I22" s="207"/>
      <c r="J22" s="207"/>
      <c r="K22" s="207"/>
      <c r="L22" s="207"/>
      <c r="M22" s="207"/>
      <c r="N22" s="207"/>
      <c r="O22" s="207"/>
      <c r="P22" s="207"/>
    </row>
    <row r="23" spans="2:18" x14ac:dyDescent="0.2">
      <c r="B23" s="207"/>
      <c r="C23" s="371" t="s">
        <v>322</v>
      </c>
      <c r="D23" s="371"/>
      <c r="E23" s="372"/>
      <c r="F23" s="372"/>
      <c r="G23" s="372"/>
      <c r="H23" s="372"/>
      <c r="I23" s="207"/>
      <c r="J23" s="207"/>
      <c r="K23" s="207"/>
      <c r="L23" s="207"/>
      <c r="M23" s="207"/>
      <c r="N23" s="207"/>
      <c r="O23" s="207"/>
      <c r="P23" s="207"/>
    </row>
    <row r="24" spans="2:18" x14ac:dyDescent="0.2">
      <c r="B24" s="207"/>
      <c r="C24" s="329"/>
      <c r="D24" s="329"/>
      <c r="E24" s="207"/>
      <c r="F24" s="207"/>
      <c r="G24" s="207"/>
      <c r="H24" s="330"/>
      <c r="I24" s="207"/>
      <c r="J24" s="207"/>
      <c r="K24" s="417"/>
      <c r="L24" s="417"/>
      <c r="M24" s="417"/>
      <c r="N24" s="417"/>
      <c r="O24" s="330"/>
      <c r="P24" s="207"/>
    </row>
    <row r="25" spans="2:18" x14ac:dyDescent="0.2">
      <c r="B25" s="207"/>
      <c r="C25" s="207"/>
      <c r="D25" s="207"/>
      <c r="E25" s="329"/>
      <c r="F25" s="329"/>
      <c r="G25" s="329"/>
      <c r="H25" s="329"/>
      <c r="I25" s="207"/>
      <c r="J25" s="207"/>
      <c r="K25" s="207"/>
      <c r="L25" s="207"/>
      <c r="M25" s="207"/>
      <c r="N25" s="207"/>
      <c r="O25" s="207"/>
      <c r="P25" s="207"/>
    </row>
    <row r="26" spans="2:18" s="331" customFormat="1" ht="39" customHeight="1" thickBot="1" x14ac:dyDescent="0.25">
      <c r="B26" s="332"/>
      <c r="C26" s="416" t="s">
        <v>418</v>
      </c>
      <c r="D26" s="416"/>
      <c r="E26" s="332"/>
      <c r="F26" s="332"/>
      <c r="G26" s="332"/>
      <c r="H26" s="368">
        <v>400000</v>
      </c>
      <c r="I26" s="333"/>
      <c r="J26" s="333"/>
      <c r="K26" s="207"/>
      <c r="L26" s="207"/>
      <c r="M26" s="207"/>
      <c r="N26" s="332"/>
      <c r="O26" s="332"/>
      <c r="P26" s="332"/>
      <c r="Q26" s="397"/>
      <c r="R26" s="397"/>
    </row>
    <row r="27" spans="2:18" ht="35.25" customHeight="1" x14ac:dyDescent="0.2">
      <c r="B27" s="207"/>
      <c r="C27" s="334" t="s">
        <v>136</v>
      </c>
      <c r="D27" s="335"/>
      <c r="E27" s="207"/>
      <c r="F27" s="207"/>
      <c r="G27" s="207"/>
      <c r="H27" s="367">
        <v>10000</v>
      </c>
      <c r="I27" s="329"/>
      <c r="J27" s="329"/>
      <c r="K27" s="427" t="s">
        <v>471</v>
      </c>
      <c r="L27" s="428"/>
      <c r="M27" s="428"/>
      <c r="N27" s="428"/>
      <c r="O27" s="429"/>
      <c r="P27" s="207"/>
    </row>
    <row r="28" spans="2:18" ht="39.75" customHeight="1" x14ac:dyDescent="0.2">
      <c r="B28" s="207"/>
      <c r="C28" s="369" t="s">
        <v>452</v>
      </c>
      <c r="D28" s="336" t="s">
        <v>453</v>
      </c>
      <c r="E28" s="207"/>
      <c r="F28" s="207"/>
      <c r="G28" s="207"/>
      <c r="H28" s="375">
        <f>remuneration_versee_dirigeant+H30</f>
        <v>150692</v>
      </c>
      <c r="I28" s="207"/>
      <c r="J28" s="207"/>
      <c r="K28" s="421" t="str">
        <f ca="1">"Compte tenu de ces prélèvements, le disponible dans l'entreprise ressort à "&amp;TEXT(H82,"000 0 €")</f>
        <v>Compte tenu de ces prélèvements, le disponible dans l'entreprise ressort à 160 003 €</v>
      </c>
      <c r="L28" s="422"/>
      <c r="M28" s="422"/>
      <c r="N28" s="422"/>
      <c r="O28" s="423"/>
      <c r="P28" s="207"/>
    </row>
    <row r="29" spans="2:18" ht="15" customHeight="1" x14ac:dyDescent="0.2">
      <c r="B29" s="207"/>
      <c r="C29" s="418" t="s">
        <v>410</v>
      </c>
      <c r="D29" s="336" t="s">
        <v>411</v>
      </c>
      <c r="E29" s="207"/>
      <c r="F29" s="207"/>
      <c r="G29" s="207"/>
      <c r="H29" s="367">
        <v>125325</v>
      </c>
      <c r="I29" s="207"/>
      <c r="J29" s="207"/>
      <c r="K29" s="421" t="str">
        <f ca="1">"Compte tenu de la rémunération+dividendes, le disponible dans l'entreprise ressort à "&amp;TEXT(N82,"000 0 €")</f>
        <v>Compte tenu de la rémunération+dividendes, le disponible dans l'entreprise ressort à 147 039 €</v>
      </c>
      <c r="L29" s="422"/>
      <c r="M29" s="422"/>
      <c r="N29" s="422"/>
      <c r="O29" s="423"/>
      <c r="P29" s="207"/>
    </row>
    <row r="30" spans="2:18" ht="15" customHeight="1" thickBot="1" x14ac:dyDescent="0.25">
      <c r="B30" s="207"/>
      <c r="C30" s="419"/>
      <c r="D30" s="207" t="s">
        <v>437</v>
      </c>
      <c r="E30" s="329"/>
      <c r="F30" s="329"/>
      <c r="G30" s="329"/>
      <c r="H30" s="367">
        <v>25367</v>
      </c>
      <c r="I30" s="207"/>
      <c r="J30" s="207"/>
      <c r="K30" s="424"/>
      <c r="L30" s="425"/>
      <c r="M30" s="425"/>
      <c r="N30" s="425"/>
      <c r="O30" s="426"/>
      <c r="P30" s="207"/>
    </row>
    <row r="31" spans="2:18" x14ac:dyDescent="0.2">
      <c r="B31" s="207"/>
      <c r="C31" s="419"/>
      <c r="D31" s="337" t="s">
        <v>445</v>
      </c>
      <c r="E31" s="207"/>
      <c r="F31" s="207"/>
      <c r="G31" s="207"/>
      <c r="H31" s="338">
        <f ca="1">+IFERROR(MAX(MIN(10%*K44,H30),0),0)</f>
        <v>22479.225911378839</v>
      </c>
      <c r="I31" s="207"/>
      <c r="J31" s="207"/>
      <c r="K31" s="207"/>
      <c r="L31" s="207"/>
      <c r="M31" s="207"/>
      <c r="N31" s="207"/>
      <c r="O31" s="207"/>
      <c r="P31" s="207"/>
    </row>
    <row r="32" spans="2:18" x14ac:dyDescent="0.2">
      <c r="B32" s="207"/>
      <c r="C32" s="419"/>
      <c r="D32" s="337" t="s">
        <v>405</v>
      </c>
      <c r="E32" s="207"/>
      <c r="F32" s="207"/>
      <c r="G32" s="207"/>
      <c r="H32" s="338">
        <f ca="1">+IFERROR(H30-H31,0)</f>
        <v>2887.7740886211614</v>
      </c>
      <c r="I32" s="207"/>
      <c r="J32" s="207"/>
      <c r="K32" s="207"/>
      <c r="L32" s="207"/>
      <c r="M32" s="207"/>
      <c r="N32" s="207"/>
      <c r="O32" s="207"/>
      <c r="P32" s="207"/>
    </row>
    <row r="33" spans="2:16" x14ac:dyDescent="0.2">
      <c r="B33" s="207"/>
      <c r="C33" s="419"/>
      <c r="D33" s="337" t="s">
        <v>444</v>
      </c>
      <c r="E33" s="207"/>
      <c r="F33" s="207"/>
      <c r="G33" s="207"/>
      <c r="H33" s="338">
        <f>IFERROR(simulateur!H30,0)</f>
        <v>25367</v>
      </c>
      <c r="I33" s="207"/>
      <c r="J33" s="207"/>
      <c r="K33" s="207"/>
      <c r="L33" s="207"/>
      <c r="M33" s="207"/>
      <c r="N33" s="207"/>
      <c r="O33" s="207"/>
      <c r="P33" s="207"/>
    </row>
    <row r="34" spans="2:16" x14ac:dyDescent="0.2">
      <c r="B34" s="207"/>
      <c r="C34" s="420"/>
      <c r="D34" s="339" t="s">
        <v>404</v>
      </c>
      <c r="E34" s="207"/>
      <c r="F34" s="207"/>
      <c r="G34" s="207"/>
      <c r="H34" s="338">
        <f>IFERROR((60%*simulateur!H30),0)</f>
        <v>15220.199999999999</v>
      </c>
      <c r="I34" s="207"/>
      <c r="J34" s="207"/>
      <c r="K34" s="207"/>
      <c r="L34" s="207"/>
      <c r="M34" s="207"/>
      <c r="N34" s="207"/>
      <c r="O34" s="207"/>
      <c r="P34" s="207"/>
    </row>
    <row r="35" spans="2:16" x14ac:dyDescent="0.2">
      <c r="B35" s="207"/>
      <c r="C35" s="207"/>
      <c r="D35" s="207"/>
      <c r="E35" s="207"/>
      <c r="F35" s="207"/>
      <c r="G35" s="207"/>
      <c r="H35" s="207"/>
      <c r="I35" s="207"/>
      <c r="J35" s="207"/>
      <c r="K35" s="207"/>
      <c r="L35" s="207"/>
      <c r="M35" s="207"/>
      <c r="N35" s="207"/>
      <c r="O35" s="207"/>
      <c r="P35" s="207"/>
    </row>
    <row r="36" spans="2:16" x14ac:dyDescent="0.2">
      <c r="B36" s="207"/>
      <c r="C36" s="207"/>
      <c r="D36" s="207"/>
      <c r="E36" s="207"/>
      <c r="F36" s="207"/>
      <c r="G36" s="207"/>
      <c r="H36" s="207"/>
      <c r="I36" s="337"/>
      <c r="J36" s="337"/>
      <c r="K36" s="340"/>
      <c r="L36" s="340"/>
      <c r="M36" s="340"/>
      <c r="N36" s="207"/>
      <c r="O36" s="207"/>
      <c r="P36" s="207"/>
    </row>
    <row r="37" spans="2:16" ht="28.5" x14ac:dyDescent="0.2">
      <c r="B37" s="207"/>
      <c r="C37" s="433" t="s">
        <v>320</v>
      </c>
      <c r="D37" s="433"/>
      <c r="E37" s="433"/>
      <c r="F37" s="433"/>
      <c r="G37" s="433"/>
      <c r="H37" s="433"/>
      <c r="I37" s="433"/>
      <c r="J37" s="433"/>
      <c r="K37" s="433"/>
      <c r="L37" s="433"/>
      <c r="M37" s="433"/>
      <c r="N37" s="433"/>
      <c r="O37" s="433"/>
      <c r="P37" s="207"/>
    </row>
    <row r="38" spans="2:16" x14ac:dyDescent="0.2">
      <c r="B38" s="207"/>
      <c r="C38" s="207"/>
      <c r="D38" s="207"/>
      <c r="E38" s="207"/>
      <c r="F38" s="207"/>
      <c r="G38" s="207"/>
      <c r="H38" s="207"/>
      <c r="I38" s="207"/>
      <c r="J38" s="207"/>
      <c r="K38" s="207"/>
      <c r="L38" s="207"/>
      <c r="M38" s="207"/>
      <c r="N38" s="207"/>
      <c r="O38" s="207"/>
      <c r="P38" s="207"/>
    </row>
    <row r="39" spans="2:16" x14ac:dyDescent="0.2">
      <c r="B39" s="207"/>
      <c r="C39" s="207"/>
      <c r="D39" s="207"/>
      <c r="E39" s="207"/>
      <c r="F39" s="341"/>
      <c r="G39" s="207"/>
      <c r="H39" s="373" t="s">
        <v>409</v>
      </c>
      <c r="I39" s="207"/>
      <c r="J39" s="341"/>
      <c r="K39" s="374" t="s">
        <v>410</v>
      </c>
      <c r="L39" s="343"/>
      <c r="M39" s="343"/>
      <c r="N39" s="343"/>
      <c r="O39" s="322"/>
      <c r="P39" s="341"/>
    </row>
    <row r="40" spans="2:16" x14ac:dyDescent="0.2">
      <c r="B40" s="207"/>
      <c r="C40" s="207"/>
      <c r="D40" s="207"/>
      <c r="E40" s="207"/>
      <c r="F40" s="341"/>
      <c r="G40" s="207"/>
      <c r="H40" s="207"/>
      <c r="I40" s="207"/>
      <c r="J40" s="341"/>
      <c r="K40" s="207"/>
      <c r="L40" s="207"/>
      <c r="M40" s="207"/>
      <c r="N40" s="207"/>
      <c r="O40" s="119"/>
      <c r="P40" s="341"/>
    </row>
    <row r="41" spans="2:16" x14ac:dyDescent="0.2">
      <c r="B41" s="207"/>
      <c r="C41" s="329" t="s">
        <v>135</v>
      </c>
      <c r="D41" s="329"/>
      <c r="E41" s="207"/>
      <c r="F41" s="341"/>
      <c r="G41" s="207"/>
      <c r="H41" s="344">
        <f>benef_avant_cotis_et_rem</f>
        <v>400000</v>
      </c>
      <c r="I41" s="207"/>
      <c r="J41" s="341"/>
      <c r="K41" s="344">
        <f>benef_avant_cotis_et_rem</f>
        <v>400000</v>
      </c>
      <c r="L41" s="344"/>
      <c r="M41" s="344"/>
      <c r="N41" s="344"/>
      <c r="O41" s="344"/>
      <c r="P41" s="341"/>
    </row>
    <row r="42" spans="2:16" x14ac:dyDescent="0.2">
      <c r="B42" s="207"/>
      <c r="C42" s="329" t="s">
        <v>188</v>
      </c>
      <c r="D42" s="329"/>
      <c r="E42" s="207"/>
      <c r="F42" s="341"/>
      <c r="G42" s="207"/>
      <c r="H42" s="344"/>
      <c r="I42" s="207"/>
      <c r="J42" s="341"/>
      <c r="K42" s="344">
        <f>-remuneration_versee_dirigeant</f>
        <v>-125325</v>
      </c>
      <c r="L42" s="344"/>
      <c r="M42" s="344"/>
      <c r="N42" s="344"/>
      <c r="O42" s="344"/>
      <c r="P42" s="341"/>
    </row>
    <row r="43" spans="2:16" ht="13.5" thickBot="1" x14ac:dyDescent="0.25">
      <c r="B43" s="207"/>
      <c r="C43" s="329" t="s">
        <v>187</v>
      </c>
      <c r="D43" s="329"/>
      <c r="E43" s="207"/>
      <c r="F43" s="341"/>
      <c r="G43" s="207"/>
      <c r="H43" s="344">
        <f ca="1">-EI_IR_cotisations!H12</f>
        <v>-89304.987253478757</v>
      </c>
      <c r="I43" s="207"/>
      <c r="J43" s="341"/>
      <c r="K43" s="344">
        <f ca="1">-EI_IS_cotisations!H11</f>
        <v>-49882.740886211635</v>
      </c>
      <c r="L43" s="344"/>
      <c r="M43" s="344"/>
      <c r="N43" s="344"/>
      <c r="O43" s="344"/>
      <c r="P43" s="341"/>
    </row>
    <row r="44" spans="2:16" ht="14.25" thickTop="1" thickBot="1" x14ac:dyDescent="0.25">
      <c r="B44" s="207"/>
      <c r="C44" s="345" t="s">
        <v>412</v>
      </c>
      <c r="D44" s="345"/>
      <c r="E44" s="346"/>
      <c r="F44" s="341"/>
      <c r="G44" s="207"/>
      <c r="H44" s="347">
        <f ca="1">SUM(H41:H43)</f>
        <v>310695.01274652127</v>
      </c>
      <c r="I44" s="207"/>
      <c r="J44" s="341"/>
      <c r="K44" s="347">
        <f ca="1">SUM(K41:K43)</f>
        <v>224792.25911378837</v>
      </c>
      <c r="L44" s="348"/>
      <c r="M44" s="348"/>
      <c r="N44" s="344"/>
      <c r="O44" s="348"/>
      <c r="P44" s="341"/>
    </row>
    <row r="45" spans="2:16" ht="14.25" thickTop="1" thickBot="1" x14ac:dyDescent="0.25">
      <c r="B45" s="207"/>
      <c r="C45" s="207"/>
      <c r="D45" s="207"/>
      <c r="E45" s="346"/>
      <c r="F45" s="341"/>
      <c r="G45" s="207"/>
      <c r="H45" s="344"/>
      <c r="I45" s="207"/>
      <c r="J45" s="341"/>
      <c r="K45" s="344"/>
      <c r="L45" s="344"/>
      <c r="M45" s="344"/>
      <c r="N45" s="344"/>
      <c r="O45" s="344"/>
      <c r="P45" s="341"/>
    </row>
    <row r="46" spans="2:16" ht="14.25" thickTop="1" thickBot="1" x14ac:dyDescent="0.25">
      <c r="B46" s="207"/>
      <c r="C46" s="345" t="s">
        <v>450</v>
      </c>
      <c r="D46" s="345"/>
      <c r="E46" s="346"/>
      <c r="F46" s="341"/>
      <c r="G46" s="207"/>
      <c r="H46" s="359">
        <f ca="1">-EI_IR_cotisations!H14</f>
        <v>10858.63074906367</v>
      </c>
      <c r="I46" s="207"/>
      <c r="J46" s="341"/>
      <c r="K46" s="350"/>
      <c r="L46" s="320"/>
      <c r="M46" s="320"/>
      <c r="N46" s="344"/>
      <c r="O46" s="320"/>
      <c r="P46" s="341"/>
    </row>
    <row r="47" spans="2:16" ht="14.25" thickTop="1" thickBot="1" x14ac:dyDescent="0.25">
      <c r="B47" s="207"/>
      <c r="C47" s="207"/>
      <c r="D47" s="207"/>
      <c r="E47" s="346"/>
      <c r="F47" s="341"/>
      <c r="G47" s="207"/>
      <c r="H47" s="119"/>
      <c r="I47" s="207"/>
      <c r="J47" s="341"/>
      <c r="K47" s="119"/>
      <c r="L47" s="119"/>
      <c r="M47" s="119"/>
      <c r="N47" s="344"/>
      <c r="O47" s="119"/>
      <c r="P47" s="341"/>
    </row>
    <row r="48" spans="2:16" ht="14.25" thickTop="1" thickBot="1" x14ac:dyDescent="0.25">
      <c r="B48" s="207"/>
      <c r="C48" s="345" t="s">
        <v>459</v>
      </c>
      <c r="D48" s="345"/>
      <c r="E48" s="346"/>
      <c r="F48" s="341"/>
      <c r="G48" s="207"/>
      <c r="H48" s="359">
        <f ca="1">H44+H46</f>
        <v>321553.64349558495</v>
      </c>
      <c r="I48" s="207"/>
      <c r="J48" s="341"/>
      <c r="K48" s="359">
        <f ca="1">K44+K46</f>
        <v>224792.25911378837</v>
      </c>
      <c r="L48" s="320"/>
      <c r="M48" s="320"/>
      <c r="N48" s="344"/>
      <c r="O48" s="320"/>
      <c r="P48" s="341"/>
    </row>
    <row r="49" spans="2:16" ht="13.5" thickTop="1" x14ac:dyDescent="0.2">
      <c r="B49" s="207"/>
      <c r="C49" s="207"/>
      <c r="D49" s="207"/>
      <c r="E49" s="346"/>
      <c r="F49" s="341"/>
      <c r="G49" s="207"/>
      <c r="H49" s="119"/>
      <c r="I49" s="207"/>
      <c r="J49" s="341"/>
      <c r="K49" s="119"/>
      <c r="L49" s="119"/>
      <c r="M49" s="119"/>
      <c r="N49" s="344"/>
      <c r="O49" s="119"/>
      <c r="P49" s="341"/>
    </row>
    <row r="50" spans="2:16" x14ac:dyDescent="0.2">
      <c r="B50" s="207"/>
      <c r="C50" s="349" t="s">
        <v>247</v>
      </c>
      <c r="D50" s="207"/>
      <c r="E50" s="346"/>
      <c r="F50" s="341"/>
      <c r="G50" s="207"/>
      <c r="H50" s="350"/>
      <c r="I50" s="207"/>
      <c r="J50" s="341"/>
      <c r="K50" s="119"/>
      <c r="L50" s="119"/>
      <c r="M50" s="119"/>
      <c r="N50" s="344"/>
      <c r="O50" s="119"/>
      <c r="P50" s="341"/>
    </row>
    <row r="51" spans="2:16" x14ac:dyDescent="0.2">
      <c r="B51" s="207"/>
      <c r="C51" s="207"/>
      <c r="D51" s="351" t="s">
        <v>207</v>
      </c>
      <c r="E51" s="346"/>
      <c r="F51" s="341"/>
      <c r="G51" s="207"/>
      <c r="H51" s="350"/>
      <c r="I51" s="207"/>
      <c r="J51" s="341"/>
      <c r="K51" s="352">
        <v>0.15</v>
      </c>
      <c r="L51" s="352"/>
      <c r="M51" s="352"/>
      <c r="N51" s="344"/>
      <c r="O51" s="352"/>
      <c r="P51" s="341"/>
    </row>
    <row r="52" spans="2:16" x14ac:dyDescent="0.2">
      <c r="B52" s="207"/>
      <c r="C52" s="207"/>
      <c r="D52" s="351" t="s">
        <v>56</v>
      </c>
      <c r="E52" s="346"/>
      <c r="F52" s="341"/>
      <c r="G52" s="207"/>
      <c r="H52" s="350"/>
      <c r="I52" s="207"/>
      <c r="J52" s="341"/>
      <c r="K52" s="353">
        <f ca="1">MAX(MIN(K48,38120),0)</f>
        <v>38120</v>
      </c>
      <c r="L52" s="353"/>
      <c r="M52" s="353"/>
      <c r="N52" s="344"/>
      <c r="O52" s="353"/>
      <c r="P52" s="341"/>
    </row>
    <row r="53" spans="2:16" x14ac:dyDescent="0.2">
      <c r="B53" s="207"/>
      <c r="C53" s="207"/>
      <c r="D53" s="317" t="s">
        <v>247</v>
      </c>
      <c r="E53" s="354"/>
      <c r="F53" s="355"/>
      <c r="G53" s="319"/>
      <c r="H53" s="356"/>
      <c r="I53" s="319"/>
      <c r="J53" s="355"/>
      <c r="K53" s="320">
        <f ca="1">K51*K52</f>
        <v>5718</v>
      </c>
      <c r="L53" s="320"/>
      <c r="M53" s="320"/>
      <c r="N53" s="344"/>
      <c r="O53" s="320"/>
      <c r="P53" s="341"/>
    </row>
    <row r="54" spans="2:16" x14ac:dyDescent="0.2">
      <c r="B54" s="207"/>
      <c r="C54" s="349" t="s">
        <v>248</v>
      </c>
      <c r="D54" s="207"/>
      <c r="E54" s="346"/>
      <c r="F54" s="341"/>
      <c r="G54" s="207"/>
      <c r="H54" s="350"/>
      <c r="I54" s="207"/>
      <c r="J54" s="341"/>
      <c r="K54" s="119"/>
      <c r="L54" s="119"/>
      <c r="M54" s="119"/>
      <c r="N54" s="344"/>
      <c r="O54" s="119"/>
      <c r="P54" s="341"/>
    </row>
    <row r="55" spans="2:16" x14ac:dyDescent="0.2">
      <c r="B55" s="207"/>
      <c r="C55" s="207"/>
      <c r="D55" s="351" t="s">
        <v>207</v>
      </c>
      <c r="E55" s="346"/>
      <c r="F55" s="341"/>
      <c r="G55" s="207"/>
      <c r="H55" s="350"/>
      <c r="I55" s="207"/>
      <c r="J55" s="341"/>
      <c r="K55" s="352">
        <v>0.25</v>
      </c>
      <c r="L55" s="352"/>
      <c r="M55" s="352"/>
      <c r="N55" s="344"/>
      <c r="O55" s="352"/>
      <c r="P55" s="341"/>
    </row>
    <row r="56" spans="2:16" x14ac:dyDescent="0.2">
      <c r="B56" s="207"/>
      <c r="C56" s="207"/>
      <c r="D56" s="351" t="s">
        <v>56</v>
      </c>
      <c r="E56" s="346"/>
      <c r="F56" s="341"/>
      <c r="G56" s="207"/>
      <c r="H56" s="350"/>
      <c r="I56" s="207"/>
      <c r="J56" s="341"/>
      <c r="K56" s="353">
        <f ca="1">MAX(0,K48-38120)</f>
        <v>186672.25911378837</v>
      </c>
      <c r="L56" s="353"/>
      <c r="M56" s="353"/>
      <c r="N56" s="344"/>
      <c r="O56" s="353"/>
      <c r="P56" s="341"/>
    </row>
    <row r="57" spans="2:16" x14ac:dyDescent="0.2">
      <c r="B57" s="207"/>
      <c r="C57" s="207"/>
      <c r="D57" s="317" t="s">
        <v>248</v>
      </c>
      <c r="E57" s="354"/>
      <c r="F57" s="355"/>
      <c r="G57" s="319"/>
      <c r="H57" s="356"/>
      <c r="I57" s="319"/>
      <c r="J57" s="355"/>
      <c r="K57" s="320">
        <f ca="1">K55*K56</f>
        <v>46668.064778447093</v>
      </c>
      <c r="L57" s="320"/>
      <c r="M57" s="320"/>
      <c r="N57" s="344"/>
      <c r="O57" s="320"/>
      <c r="P57" s="341"/>
    </row>
    <row r="58" spans="2:16" ht="13.5" thickBot="1" x14ac:dyDescent="0.25">
      <c r="B58" s="207"/>
      <c r="C58" s="357"/>
      <c r="D58" s="320"/>
      <c r="E58" s="354"/>
      <c r="F58" s="358"/>
      <c r="G58" s="320"/>
      <c r="H58" s="320"/>
      <c r="I58" s="319"/>
      <c r="J58" s="355"/>
      <c r="K58" s="320"/>
      <c r="L58" s="320"/>
      <c r="M58" s="320"/>
      <c r="N58" s="344"/>
      <c r="O58" s="320"/>
      <c r="P58" s="341"/>
    </row>
    <row r="59" spans="2:16" ht="14.25" thickTop="1" thickBot="1" x14ac:dyDescent="0.25">
      <c r="B59" s="207"/>
      <c r="C59" s="345" t="s">
        <v>321</v>
      </c>
      <c r="D59" s="345"/>
      <c r="E59" s="346"/>
      <c r="F59" s="341"/>
      <c r="G59" s="207"/>
      <c r="H59" s="350"/>
      <c r="I59" s="207"/>
      <c r="J59" s="341"/>
      <c r="K59" s="359">
        <f ca="1">K53+K57</f>
        <v>52386.064778447093</v>
      </c>
      <c r="L59" s="320"/>
      <c r="M59" s="320"/>
      <c r="N59" s="344"/>
      <c r="O59" s="320"/>
      <c r="P59" s="341"/>
    </row>
    <row r="60" spans="2:16" ht="14.25" thickTop="1" thickBot="1" x14ac:dyDescent="0.25">
      <c r="B60" s="207"/>
      <c r="C60" s="319"/>
      <c r="D60" s="319"/>
      <c r="E60" s="346"/>
      <c r="F60" s="341"/>
      <c r="G60" s="207"/>
      <c r="H60" s="207"/>
      <c r="I60" s="207"/>
      <c r="J60" s="341"/>
      <c r="K60" s="320"/>
      <c r="L60" s="320"/>
      <c r="M60" s="320"/>
      <c r="N60" s="344"/>
      <c r="O60" s="320"/>
      <c r="P60" s="341"/>
    </row>
    <row r="61" spans="2:16" ht="14.25" thickTop="1" thickBot="1" x14ac:dyDescent="0.25">
      <c r="B61" s="207"/>
      <c r="C61" s="415" t="s">
        <v>460</v>
      </c>
      <c r="D61" s="415"/>
      <c r="E61" s="346"/>
      <c r="F61" s="341"/>
      <c r="G61" s="207"/>
      <c r="H61" s="347">
        <f ca="1">H48</f>
        <v>321553.64349558495</v>
      </c>
      <c r="I61" s="207"/>
      <c r="J61" s="341"/>
      <c r="K61" s="347">
        <f ca="1">K44-K59</f>
        <v>172406.19433534128</v>
      </c>
      <c r="L61" s="348"/>
      <c r="M61" s="348"/>
      <c r="N61" s="344"/>
      <c r="O61" s="348"/>
      <c r="P61" s="341"/>
    </row>
    <row r="62" spans="2:16" ht="13.5" thickTop="1" x14ac:dyDescent="0.2">
      <c r="B62" s="207"/>
      <c r="C62" s="207"/>
      <c r="D62" s="207"/>
      <c r="E62" s="346"/>
      <c r="F62" s="341"/>
      <c r="G62" s="207"/>
      <c r="H62" s="207"/>
      <c r="I62" s="207"/>
      <c r="J62" s="341"/>
      <c r="K62" s="344"/>
      <c r="L62" s="344"/>
      <c r="M62" s="344"/>
      <c r="N62" s="344"/>
      <c r="O62" s="344"/>
      <c r="P62" s="341"/>
    </row>
    <row r="63" spans="2:16" x14ac:dyDescent="0.2">
      <c r="B63" s="207"/>
      <c r="C63" s="207"/>
      <c r="D63" s="207"/>
      <c r="E63" s="346"/>
      <c r="F63" s="341"/>
      <c r="G63" s="207"/>
      <c r="H63" s="207"/>
      <c r="I63" s="207"/>
      <c r="J63" s="341"/>
      <c r="K63" s="373" t="s">
        <v>428</v>
      </c>
      <c r="L63" s="320"/>
      <c r="M63" s="400"/>
      <c r="N63" s="373" t="s">
        <v>429</v>
      </c>
      <c r="O63" s="344"/>
      <c r="P63" s="341"/>
    </row>
    <row r="64" spans="2:16" ht="13.5" thickBot="1" x14ac:dyDescent="0.25">
      <c r="B64" s="207"/>
      <c r="C64" s="207"/>
      <c r="D64" s="207"/>
      <c r="E64" s="346"/>
      <c r="F64" s="341"/>
      <c r="G64" s="207"/>
      <c r="H64" s="207"/>
      <c r="I64" s="207"/>
      <c r="J64" s="341"/>
      <c r="K64" s="119"/>
      <c r="L64" s="119"/>
      <c r="M64" s="360"/>
      <c r="N64" s="119"/>
      <c r="O64" s="344"/>
      <c r="P64" s="341"/>
    </row>
    <row r="65" spans="2:16" ht="17.100000000000001" customHeight="1" thickTop="1" x14ac:dyDescent="0.2">
      <c r="B65" s="207"/>
      <c r="C65" s="412" t="s">
        <v>464</v>
      </c>
      <c r="D65" s="377" t="s">
        <v>461</v>
      </c>
      <c r="E65" s="346"/>
      <c r="F65" s="341"/>
      <c r="G65" s="207"/>
      <c r="H65" s="380">
        <f ca="1">+EI_IR_calcul_IR!H20</f>
        <v>321553.6434955849</v>
      </c>
      <c r="I65" s="207"/>
      <c r="J65" s="341"/>
      <c r="K65" s="380">
        <f ca="1">+EI_IS_calcul_IR!H20</f>
        <v>117329.13443283725</v>
      </c>
      <c r="L65" s="119"/>
      <c r="M65" s="360"/>
      <c r="N65" s="380">
        <f ca="1">+EI_IS_calcul_IR!H20</f>
        <v>117329.13443283725</v>
      </c>
      <c r="O65" s="344"/>
      <c r="P65" s="341"/>
    </row>
    <row r="66" spans="2:16" ht="17.100000000000001" customHeight="1" x14ac:dyDescent="0.2">
      <c r="B66" s="207"/>
      <c r="C66" s="413"/>
      <c r="D66" s="383" t="s">
        <v>463</v>
      </c>
      <c r="E66" s="384"/>
      <c r="F66" s="385"/>
      <c r="G66" s="386"/>
      <c r="H66" s="387">
        <f ca="1">+H46</f>
        <v>10858.63074906367</v>
      </c>
      <c r="I66" s="388"/>
      <c r="J66" s="389"/>
      <c r="K66" s="387">
        <f ca="1">-EI_IS_cotisations!H14</f>
        <v>4833.1344328372197</v>
      </c>
      <c r="L66" s="390"/>
      <c r="M66" s="391"/>
      <c r="N66" s="387">
        <f ca="1">-EI_IS_cotisations!H14</f>
        <v>4833.1344328372197</v>
      </c>
      <c r="O66" s="344"/>
      <c r="P66" s="341"/>
    </row>
    <row r="67" spans="2:16" ht="17.100000000000001" customHeight="1" x14ac:dyDescent="0.2">
      <c r="B67" s="207"/>
      <c r="C67" s="413"/>
      <c r="D67" s="376" t="s">
        <v>465</v>
      </c>
      <c r="E67" s="346"/>
      <c r="F67" s="341"/>
      <c r="G67" s="207"/>
      <c r="H67" s="381"/>
      <c r="I67" s="207"/>
      <c r="J67" s="341"/>
      <c r="K67" s="382">
        <f>+EI_IS_calcul_IR!H25</f>
        <v>15220.199999999999</v>
      </c>
      <c r="L67" s="119"/>
      <c r="M67" s="360"/>
      <c r="N67" s="381"/>
      <c r="O67" s="344"/>
      <c r="P67" s="341"/>
    </row>
    <row r="68" spans="2:16" ht="17.100000000000001" customHeight="1" thickBot="1" x14ac:dyDescent="0.25">
      <c r="B68" s="207"/>
      <c r="C68" s="413"/>
      <c r="D68" s="378" t="s">
        <v>462</v>
      </c>
      <c r="E68" s="346"/>
      <c r="F68" s="341"/>
      <c r="G68" s="207"/>
      <c r="H68" s="379">
        <f ca="1">+EI_IR_calcul_IR!H29-simulateur!H67-simulateur!H65</f>
        <v>121000</v>
      </c>
      <c r="I68" s="207"/>
      <c r="J68" s="341"/>
      <c r="K68" s="379">
        <f ca="1">+EI_IS_calcul_IR!H29-K67-K65</f>
        <v>121000</v>
      </c>
      <c r="L68" s="119"/>
      <c r="M68" s="360"/>
      <c r="N68" s="379">
        <f ca="1">+EI_IS_calcul_IR!Q40-simulateur!N67-simulateur!N65</f>
        <v>120999.99999999994</v>
      </c>
      <c r="O68" s="344"/>
      <c r="P68" s="341"/>
    </row>
    <row r="69" spans="2:16" ht="17.100000000000001" customHeight="1" thickTop="1" thickBot="1" x14ac:dyDescent="0.25">
      <c r="B69" s="207"/>
      <c r="C69" s="414"/>
      <c r="D69" s="345" t="s">
        <v>464</v>
      </c>
      <c r="E69" s="346"/>
      <c r="F69" s="341"/>
      <c r="G69" s="207"/>
      <c r="H69" s="347">
        <f ca="1">+SUM(H65:H68)-H66</f>
        <v>442553.6434955849</v>
      </c>
      <c r="I69" s="207"/>
      <c r="J69" s="341"/>
      <c r="K69" s="347">
        <f ca="1">+SUM(K65:K68)-K66</f>
        <v>253549.33443283726</v>
      </c>
      <c r="L69" s="119"/>
      <c r="M69" s="360"/>
      <c r="N69" s="347">
        <f ca="1">+SUM(N65:N68)-N66</f>
        <v>238329.13443283719</v>
      </c>
      <c r="O69" s="344"/>
      <c r="P69" s="341"/>
    </row>
    <row r="70" spans="2:16" ht="14.25" thickTop="1" thickBot="1" x14ac:dyDescent="0.25">
      <c r="B70" s="207"/>
      <c r="C70" s="207"/>
      <c r="D70" s="207"/>
      <c r="E70" s="346"/>
      <c r="F70" s="341"/>
      <c r="G70" s="207"/>
      <c r="H70" s="344"/>
      <c r="I70" s="207"/>
      <c r="J70" s="341"/>
      <c r="K70" s="344"/>
      <c r="L70" s="119"/>
      <c r="M70" s="360"/>
      <c r="N70" s="344"/>
      <c r="O70" s="344"/>
      <c r="P70" s="341"/>
    </row>
    <row r="71" spans="2:16" ht="14.25" thickTop="1" thickBot="1" x14ac:dyDescent="0.25">
      <c r="B71" s="207"/>
      <c r="C71" s="345" t="s">
        <v>414</v>
      </c>
      <c r="D71" s="345"/>
      <c r="E71" s="346"/>
      <c r="F71" s="341"/>
      <c r="G71" s="207"/>
      <c r="H71" s="347">
        <f ca="1">EI_IR_calcul_IR!H69</f>
        <v>151398.2595730132</v>
      </c>
      <c r="I71" s="207"/>
      <c r="J71" s="341"/>
      <c r="K71" s="347">
        <f ca="1">+EI_IS_calcul_IR!H69</f>
        <v>68606.887941463254</v>
      </c>
      <c r="L71" s="119"/>
      <c r="M71" s="360"/>
      <c r="N71" s="347">
        <f>+EI_IS_calcul_IR!Q36</f>
        <v>62790.945117463241</v>
      </c>
      <c r="O71" s="348"/>
      <c r="P71" s="341"/>
    </row>
    <row r="72" spans="2:16" ht="13.5" thickTop="1" x14ac:dyDescent="0.2">
      <c r="B72" s="207"/>
      <c r="C72" s="361" t="s">
        <v>79</v>
      </c>
      <c r="D72" s="361"/>
      <c r="E72" s="362"/>
      <c r="F72" s="363"/>
      <c r="G72" s="361"/>
      <c r="H72" s="364">
        <f ca="1">+H71/H69</f>
        <v>0.34210148712632532</v>
      </c>
      <c r="I72" s="361"/>
      <c r="J72" s="363"/>
      <c r="K72" s="364">
        <f ca="1">+K71/K69</f>
        <v>0.27058595162527055</v>
      </c>
      <c r="L72" s="119"/>
      <c r="M72" s="360"/>
      <c r="N72" s="364">
        <f ca="1">+N71/N69</f>
        <v>0.26346315261409287</v>
      </c>
      <c r="O72" s="364"/>
      <c r="P72" s="341"/>
    </row>
    <row r="73" spans="2:16" ht="13.5" thickBot="1" x14ac:dyDescent="0.25">
      <c r="B73" s="207"/>
      <c r="C73" s="207"/>
      <c r="D73" s="207"/>
      <c r="E73" s="346"/>
      <c r="F73" s="341"/>
      <c r="G73" s="207"/>
      <c r="H73" s="365"/>
      <c r="I73" s="207"/>
      <c r="J73" s="341"/>
      <c r="K73" s="207"/>
      <c r="L73" s="119"/>
      <c r="M73" s="360"/>
      <c r="N73" s="207"/>
      <c r="O73" s="207"/>
      <c r="P73" s="341"/>
    </row>
    <row r="74" spans="2:16" ht="14.25" thickTop="1" thickBot="1" x14ac:dyDescent="0.25">
      <c r="B74" s="207"/>
      <c r="C74" s="345" t="s">
        <v>249</v>
      </c>
      <c r="D74" s="345"/>
      <c r="E74" s="346"/>
      <c r="F74" s="341"/>
      <c r="G74" s="207"/>
      <c r="H74" s="366"/>
      <c r="I74" s="207"/>
      <c r="J74" s="341"/>
      <c r="K74" s="347">
        <v>0</v>
      </c>
      <c r="L74" s="119"/>
      <c r="M74" s="360"/>
      <c r="N74" s="347">
        <f>+H33*12.8%</f>
        <v>3246.9760000000001</v>
      </c>
      <c r="O74" s="348"/>
      <c r="P74" s="341"/>
    </row>
    <row r="75" spans="2:16" ht="14.25" thickTop="1" thickBot="1" x14ac:dyDescent="0.25">
      <c r="B75" s="207"/>
      <c r="C75" s="207"/>
      <c r="D75" s="207"/>
      <c r="E75" s="346"/>
      <c r="F75" s="341"/>
      <c r="G75" s="207"/>
      <c r="H75" s="207"/>
      <c r="I75" s="207"/>
      <c r="J75" s="341"/>
      <c r="K75" s="344"/>
      <c r="L75" s="119"/>
      <c r="M75" s="360"/>
      <c r="N75" s="344"/>
      <c r="O75" s="344"/>
      <c r="P75" s="341"/>
    </row>
    <row r="76" spans="2:16" ht="14.25" thickTop="1" thickBot="1" x14ac:dyDescent="0.25">
      <c r="B76" s="207"/>
      <c r="C76" s="345" t="s">
        <v>38</v>
      </c>
      <c r="D76" s="345"/>
      <c r="E76" s="346"/>
      <c r="F76" s="341"/>
      <c r="G76" s="207"/>
      <c r="H76" s="366"/>
      <c r="I76" s="207"/>
      <c r="J76" s="341"/>
      <c r="K76" s="347">
        <f ca="1">+H31*17.2%</f>
        <v>3866.4268567571598</v>
      </c>
      <c r="L76" s="119"/>
      <c r="M76" s="360"/>
      <c r="N76" s="347">
        <f ca="1">H31*17.2%</f>
        <v>3866.4268567571598</v>
      </c>
      <c r="O76" s="348"/>
      <c r="P76" s="341"/>
    </row>
    <row r="77" spans="2:16" ht="14.25" thickTop="1" thickBot="1" x14ac:dyDescent="0.25">
      <c r="B77" s="207"/>
      <c r="C77" s="207"/>
      <c r="D77" s="207"/>
      <c r="E77" s="346"/>
      <c r="F77" s="341"/>
      <c r="G77" s="207"/>
      <c r="H77" s="207"/>
      <c r="I77" s="207"/>
      <c r="J77" s="341"/>
      <c r="K77" s="207"/>
      <c r="L77" s="119"/>
      <c r="M77" s="360"/>
      <c r="N77" s="207"/>
      <c r="O77" s="207"/>
      <c r="P77" s="341"/>
    </row>
    <row r="78" spans="2:16" ht="14.25" thickTop="1" thickBot="1" x14ac:dyDescent="0.25">
      <c r="B78" s="207"/>
      <c r="C78" s="345" t="s">
        <v>458</v>
      </c>
      <c r="D78" s="345"/>
      <c r="E78" s="346"/>
      <c r="F78" s="341"/>
      <c r="G78" s="207"/>
      <c r="H78" s="347">
        <f>H28</f>
        <v>150692</v>
      </c>
      <c r="I78" s="207"/>
      <c r="J78" s="341"/>
      <c r="K78" s="347">
        <f>remuneration_versee_dirigeant+H30</f>
        <v>150692</v>
      </c>
      <c r="L78" s="119"/>
      <c r="M78" s="360"/>
      <c r="N78" s="347">
        <f>remuneration_versee_dirigeant+H30</f>
        <v>150692</v>
      </c>
      <c r="O78" s="348"/>
      <c r="P78" s="341"/>
    </row>
    <row r="79" spans="2:16" ht="14.25" thickTop="1" thickBot="1" x14ac:dyDescent="0.25">
      <c r="B79" s="207"/>
      <c r="C79" s="207"/>
      <c r="D79" s="207"/>
      <c r="E79" s="346"/>
      <c r="F79" s="341"/>
      <c r="G79" s="207"/>
      <c r="H79" s="207"/>
      <c r="I79" s="207"/>
      <c r="J79" s="341"/>
      <c r="K79" s="207"/>
      <c r="L79" s="119"/>
      <c r="M79" s="360"/>
      <c r="N79" s="207"/>
      <c r="O79" s="207"/>
      <c r="P79" s="341"/>
    </row>
    <row r="80" spans="2:16" ht="14.25" thickTop="1" thickBot="1" x14ac:dyDescent="0.25">
      <c r="B80" s="207"/>
      <c r="C80" s="345" t="s">
        <v>435</v>
      </c>
      <c r="D80" s="345"/>
      <c r="E80" s="346"/>
      <c r="F80" s="341"/>
      <c r="G80" s="207"/>
      <c r="H80" s="347">
        <f ca="1">salaire_conjoint+autres_revenus+H78-H71</f>
        <v>129293.7404269868</v>
      </c>
      <c r="I80" s="207"/>
      <c r="J80" s="341"/>
      <c r="K80" s="347">
        <f ca="1">salaire_conjoint+autres_revenus+K78-K71-K74-K76</f>
        <v>208218.68520177956</v>
      </c>
      <c r="L80" s="119"/>
      <c r="M80" s="360"/>
      <c r="N80" s="347">
        <f ca="1">salaire_conjoint+autres_revenus+H29-N71+H30-N74-N76</f>
        <v>210787.65202577959</v>
      </c>
      <c r="O80" s="348"/>
      <c r="P80" s="341"/>
    </row>
    <row r="81" spans="2:16" ht="14.25" thickTop="1" thickBot="1" x14ac:dyDescent="0.25">
      <c r="B81" s="207"/>
      <c r="C81" s="207"/>
      <c r="D81" s="207"/>
      <c r="E81" s="346"/>
      <c r="F81" s="341"/>
      <c r="G81" s="207"/>
      <c r="H81" s="207"/>
      <c r="I81" s="207"/>
      <c r="J81" s="341"/>
      <c r="K81" s="207"/>
      <c r="L81" s="119"/>
      <c r="M81" s="360"/>
      <c r="N81" s="207"/>
      <c r="O81" s="207"/>
      <c r="P81" s="341"/>
    </row>
    <row r="82" spans="2:16" ht="14.25" thickTop="1" thickBot="1" x14ac:dyDescent="0.25">
      <c r="B82" s="207"/>
      <c r="C82" s="345" t="s">
        <v>457</v>
      </c>
      <c r="D82" s="345"/>
      <c r="E82" s="346"/>
      <c r="F82" s="341"/>
      <c r="G82" s="207"/>
      <c r="H82" s="347">
        <f ca="1">H44-H78</f>
        <v>160003.01274652127</v>
      </c>
      <c r="I82" s="207"/>
      <c r="J82" s="341"/>
      <c r="K82" s="347">
        <f ca="1">K61-H30</f>
        <v>147039.19433534128</v>
      </c>
      <c r="L82" s="119"/>
      <c r="M82" s="360"/>
      <c r="N82" s="347">
        <f ca="1">K61-H30</f>
        <v>147039.19433534128</v>
      </c>
      <c r="O82" s="348"/>
      <c r="P82" s="341"/>
    </row>
    <row r="83" spans="2:16" ht="14.25" thickTop="1" thickBot="1" x14ac:dyDescent="0.25">
      <c r="B83" s="207"/>
      <c r="C83" s="207"/>
      <c r="D83" s="207"/>
      <c r="E83" s="207"/>
      <c r="F83" s="207"/>
      <c r="G83" s="207"/>
      <c r="H83" s="207"/>
      <c r="I83" s="207"/>
      <c r="J83" s="207"/>
      <c r="K83" s="207"/>
      <c r="L83" s="119"/>
      <c r="M83" s="119"/>
      <c r="N83" s="207"/>
      <c r="O83" s="207"/>
      <c r="P83" s="207"/>
    </row>
    <row r="84" spans="2:16" x14ac:dyDescent="0.2">
      <c r="B84" s="207"/>
      <c r="C84" s="407"/>
      <c r="D84" s="401"/>
      <c r="E84" s="401"/>
      <c r="F84" s="401"/>
      <c r="G84" s="401"/>
      <c r="H84" s="401"/>
      <c r="I84" s="401"/>
      <c r="J84" s="401"/>
      <c r="K84" s="401"/>
      <c r="L84" s="402"/>
      <c r="M84" s="402"/>
      <c r="N84" s="401"/>
      <c r="O84" s="403"/>
      <c r="P84" s="207"/>
    </row>
    <row r="85" spans="2:16" x14ac:dyDescent="0.2">
      <c r="B85" s="207"/>
      <c r="C85" s="408" t="s">
        <v>469</v>
      </c>
      <c r="D85" s="207"/>
      <c r="E85" s="207"/>
      <c r="F85" s="207"/>
      <c r="G85" s="207"/>
      <c r="H85" s="207"/>
      <c r="I85" s="207"/>
      <c r="J85" s="207"/>
      <c r="K85" s="207"/>
      <c r="L85" s="119"/>
      <c r="M85" s="119"/>
      <c r="N85" s="207"/>
      <c r="O85" s="409"/>
      <c r="P85" s="207"/>
    </row>
    <row r="86" spans="2:16" x14ac:dyDescent="0.2">
      <c r="B86" s="207"/>
      <c r="C86" s="410" t="s">
        <v>470</v>
      </c>
      <c r="D86" s="207"/>
      <c r="E86" s="207"/>
      <c r="F86" s="207"/>
      <c r="G86" s="207"/>
      <c r="H86" s="207"/>
      <c r="I86" s="207"/>
      <c r="J86" s="207"/>
      <c r="K86" s="207"/>
      <c r="L86" s="119"/>
      <c r="M86" s="119"/>
      <c r="N86" s="207"/>
      <c r="O86" s="409"/>
      <c r="P86" s="207"/>
    </row>
    <row r="87" spans="2:16" ht="13.5" thickBot="1" x14ac:dyDescent="0.25">
      <c r="B87" s="207"/>
      <c r="C87" s="411"/>
      <c r="D87" s="404"/>
      <c r="E87" s="404"/>
      <c r="F87" s="404"/>
      <c r="G87" s="404"/>
      <c r="H87" s="404"/>
      <c r="I87" s="404"/>
      <c r="J87" s="404"/>
      <c r="K87" s="404"/>
      <c r="L87" s="405"/>
      <c r="M87" s="405"/>
      <c r="N87" s="404"/>
      <c r="O87" s="406"/>
      <c r="P87" s="207"/>
    </row>
    <row r="88" spans="2:16" x14ac:dyDescent="0.2">
      <c r="B88" s="207"/>
      <c r="C88" s="207"/>
      <c r="D88" s="207"/>
      <c r="E88" s="207"/>
      <c r="F88" s="207"/>
      <c r="G88" s="207"/>
      <c r="H88" s="207"/>
      <c r="I88" s="207"/>
      <c r="J88" s="207"/>
      <c r="K88" s="207"/>
      <c r="L88" s="119"/>
      <c r="M88" s="119"/>
      <c r="N88" s="207"/>
      <c r="O88" s="207"/>
      <c r="P88" s="207"/>
    </row>
    <row r="89" spans="2:16" x14ac:dyDescent="0.2">
      <c r="L89" s="392"/>
      <c r="M89" s="392"/>
    </row>
  </sheetData>
  <sheetProtection algorithmName="SHA-512" hashValue="1hAM+FZL+4pNGabbecdi7DzKTgpBSwA4LZeuFPftjXu7xczBiC5uKcB3eq4so3stb32k6TZhU3eFx1L2Rq0frg==" saltValue="JnD2/NFhSKi77wTVF7jurw==" spinCount="100000" sheet="1" objects="1" scenarios="1"/>
  <dataConsolidate/>
  <customSheetViews>
    <customSheetView guid="{F3382B3E-2434-417D-94F5-767B87B438DD}" scale="80" fitToPage="1" hiddenRows="1">
      <selection activeCell="C16" sqref="C16"/>
      <rowBreaks count="10" manualBreakCount="10">
        <brk id="33" max="12" man="1"/>
        <brk id="99" max="12" man="1"/>
        <brk id="162" max="12" man="1"/>
        <brk id="211" max="12" man="1"/>
        <brk id="304" max="12" man="1"/>
        <brk id="360" max="16383" man="1"/>
        <brk id="412" max="12" man="1"/>
        <brk id="460" max="12" man="1"/>
        <brk id="522" max="12" man="1"/>
        <brk id="555" max="12" man="1"/>
      </rowBreaks>
      <pageMargins left="0" right="0" top="0" bottom="0" header="0" footer="0"/>
      <printOptions horizontalCentered="1"/>
      <headerFooter alignWithMargins="0">
        <oddHeader>&amp;R&amp;G</oddHeader>
        <oddFooter>&amp;LEdité le : &amp;D&amp;RPage &amp;P de &amp;N</oddFooter>
      </headerFooter>
    </customSheetView>
  </customSheetViews>
  <mergeCells count="15">
    <mergeCell ref="C3:O3"/>
    <mergeCell ref="E9:H9"/>
    <mergeCell ref="E11:H11"/>
    <mergeCell ref="E13:H13"/>
    <mergeCell ref="C37:O37"/>
    <mergeCell ref="E5:H5"/>
    <mergeCell ref="L5:N5"/>
    <mergeCell ref="C65:C69"/>
    <mergeCell ref="C61:D61"/>
    <mergeCell ref="C26:D26"/>
    <mergeCell ref="K24:N24"/>
    <mergeCell ref="C29:C34"/>
    <mergeCell ref="K29:O30"/>
    <mergeCell ref="K27:O27"/>
    <mergeCell ref="K28:O28"/>
  </mergeCells>
  <phoneticPr fontId="0" type="noConversion"/>
  <dataValidations xWindow="450" yWindow="627" count="7">
    <dataValidation type="list" allowBlank="1" showInputMessage="1" showErrorMessage="1" sqref="N17" xr:uid="{943C29E3-10DD-4B57-89EB-DA0316B9A50F}">
      <formula1>"Célibataire,Marié"</formula1>
    </dataValidation>
    <dataValidation type="list" allowBlank="1" showInputMessage="1" showErrorMessage="1" error="Vous avez sélectionné la profession d'avocats_x000a_Vous devez saisir uniquement l'une des valeurs suivantes : _x000a_C1 / C2 / C3 / C4 / C4+" sqref="H18" xr:uid="{508FF311-F0E1-492B-8AC0-7995340AD1CF}">
      <formula1>"C1,C2,C3,C3+"</formula1>
    </dataValidation>
    <dataValidation type="list" allowBlank="1" showInputMessage="1" showErrorMessage="1" error="Vous avez sélectionné la profession d'avocats_x000a_Vous devez saisir uniquement l'une des valeurs suivantes : _x000a_C1 / C2 / C3 / C4 / C4+" sqref="H19" xr:uid="{7AF00DC3-BE49-4FE0-9E56-BE570680A008}">
      <formula1>"1,2,3,4,5,6,7,8"</formula1>
    </dataValidation>
    <dataValidation type="list" allowBlank="1" showInputMessage="1" showErrorMessage="1" sqref="E11" xr:uid="{0F7CDFF7-E201-40E8-9830-FBAEA8AA1E72}">
      <formula1>Profession</formula1>
    </dataValidation>
    <dataValidation type="custom" errorStyle="warning" allowBlank="1" showInputMessage="1" showErrorMessage="1" error="Le niveau de rémunération saisi génère un résultat négatif. " sqref="H29" xr:uid="{FC6EFCB5-2C7A-4188-99DE-9127D7AD3577}">
      <formula1>K44&gt;=0</formula1>
    </dataValidation>
    <dataValidation type="decimal" errorStyle="warning" operator="lessThanOrEqual" allowBlank="1" showInputMessage="1" showErrorMessage="1" error="Vous vous apprêtez à distribuer des dividendes alors même que le résultat est négatif." sqref="H30" xr:uid="{21262BEC-2EEF-4B0C-996D-C448AE7EC390}">
      <formula1>MAX(0,K61)</formula1>
    </dataValidation>
    <dataValidation type="custom" errorStyle="warning" allowBlank="1" showInputMessage="1" showErrorMessage="1" error="Le niveau de rémunération saisi génère un résultat négatif. " sqref="H28" xr:uid="{77CB6288-6AF0-40F0-BDA3-7B8F7AC07CF7}">
      <formula1>K54&gt;=0</formula1>
    </dataValidation>
  </dataValidations>
  <printOptions horizontalCentered="1"/>
  <pageMargins left="0.19685039370078741" right="0.19685039370078741" top="0.43307086614173229" bottom="0.31496062992125984" header="0.19685039370078741" footer="0.19685039370078741"/>
  <pageSetup paperSize="9" scale="59" fitToWidth="0" orientation="portrait" verticalDpi="4294967295" r:id="rId1"/>
  <headerFooter alignWithMargins="0">
    <oddHeader>&amp;R&amp;G</oddHeader>
    <oddFooter>&amp;LEdité le : &amp;D&amp;RPage &amp;P de &amp;N</oddFooter>
  </headerFooter>
  <drawing r:id="rId2"/>
  <legacyDrawing r:id="rId3"/>
  <legacyDrawingHF r:id="rId4"/>
  <extLst>
    <ext xmlns:x14="http://schemas.microsoft.com/office/spreadsheetml/2009/9/main" uri="{78C0D931-6437-407d-A8EE-F0AAD7539E65}">
      <x14:conditionalFormattings>
        <x14:conditionalFormatting xmlns:xm="http://schemas.microsoft.com/office/excel/2006/main">
          <x14:cfRule type="expression" priority="41" id="{00000000-000E-0000-0100-000015000000}">
            <xm:f>EI_IR_cotisations!$AD$4=2</xm:f>
            <x14:dxf>
              <font>
                <b/>
                <i val="0"/>
                <color rgb="FFC00000"/>
              </font>
            </x14:dxf>
          </x14:cfRule>
          <xm:sqref>J18</xm:sqref>
        </x14:conditionalFormatting>
        <x14:conditionalFormatting xmlns:xm="http://schemas.microsoft.com/office/excel/2006/main">
          <x14:cfRule type="expression" priority="42" id="{00000000-000E-0000-0100-000016000000}">
            <xm:f>OR(EI_IR_cotisations!$AD$4=2,H18&lt;&gt;0)</xm:f>
            <x14:dxf>
              <font>
                <b val="0"/>
                <i val="0"/>
                <color auto="1"/>
              </font>
              <fill>
                <patternFill>
                  <bgColor theme="4" tint="0.59996337778862885"/>
                </patternFill>
              </fill>
            </x14:dxf>
          </x14:cfRule>
          <xm:sqref>H18</xm:sqref>
        </x14:conditionalFormatting>
        <x14:conditionalFormatting xmlns:xm="http://schemas.microsoft.com/office/excel/2006/main">
          <x14:cfRule type="expression" priority="43" id="{00000000-000E-0000-0100-000019000000}">
            <xm:f>OR(EI_IR_cotisations!$AD$4=12,$H$17&lt;&gt;0)</xm:f>
            <x14:dxf>
              <font>
                <b val="0"/>
                <i val="0"/>
                <color auto="1"/>
              </font>
              <fill>
                <patternFill>
                  <bgColor theme="4" tint="0.59996337778862885"/>
                </patternFill>
              </fill>
            </x14:dxf>
          </x14:cfRule>
          <xm:sqref>H17</xm:sqref>
        </x14:conditionalFormatting>
        <x14:conditionalFormatting xmlns:xm="http://schemas.microsoft.com/office/excel/2006/main">
          <x14:cfRule type="expression" priority="45" id="{00000000-000E-0000-0100-000003000000}">
            <xm:f>EI_IR_cotisations!$AD$4=4</xm:f>
            <x14:dxf>
              <font>
                <b/>
                <i val="0"/>
                <color rgb="FFC00000"/>
              </font>
            </x14:dxf>
          </x14:cfRule>
          <xm:sqref>J19:J20</xm:sqref>
        </x14:conditionalFormatting>
        <x14:conditionalFormatting xmlns:xm="http://schemas.microsoft.com/office/excel/2006/main">
          <x14:cfRule type="expression" priority="46" id="{00000000-000E-0000-0100-000002000000}">
            <xm:f>OR(EI_IR_cotisations!$AD$4=4,H19&lt;&gt;0)</xm:f>
            <x14:dxf>
              <font>
                <b val="0"/>
                <i val="0"/>
                <color auto="1"/>
              </font>
              <fill>
                <patternFill>
                  <bgColor theme="4" tint="0.59996337778862885"/>
                </patternFill>
              </fill>
            </x14:dxf>
          </x14:cfRule>
          <xm:sqref>H19:H20</xm:sqref>
        </x14:conditionalFormatting>
        <x14:conditionalFormatting xmlns:xm="http://schemas.microsoft.com/office/excel/2006/main">
          <x14:cfRule type="expression" priority="51" id="{00000000-000E-0000-0100-000012000000}">
            <xm:f>AND(EI_IR_cotisations!$AD$4=12,$H$17=0)</xm:f>
            <x14:dxf>
              <font>
                <b/>
                <i val="0"/>
                <color rgb="FFC00000"/>
              </font>
            </x14:dxf>
          </x14:cfRule>
          <xm:sqref>J17</xm:sqref>
        </x14:conditionalFormatting>
        <x14:conditionalFormatting xmlns:xm="http://schemas.microsoft.com/office/excel/2006/main">
          <x14:cfRule type="expression" priority="53" id="{00000000-000E-0000-0100-000013000000}">
            <xm:f>AND(EI_IR_cotisations!$AD$4&lt;&gt;12,$H$17&lt;&gt;0)</xm:f>
            <x14:dxf>
              <font>
                <b/>
                <i val="0"/>
                <color theme="1"/>
              </font>
            </x14:dxf>
          </x14:cfRule>
          <xm:sqref>E17</xm:sqref>
        </x14:conditionalFormatting>
        <x14:conditionalFormatting xmlns:xm="http://schemas.microsoft.com/office/excel/2006/main">
          <x14:cfRule type="expression" priority="54" id="{00000000-000E-0000-0100-00001B000000}">
            <xm:f>AND(EI_IR_cotisations!$AD$4&lt;&gt;2,$H$18&lt;&gt;0)</xm:f>
            <x14:dxf>
              <font>
                <b/>
                <i val="0"/>
                <color theme="1"/>
              </font>
            </x14:dxf>
          </x14:cfRule>
          <xm:sqref>E18</xm:sqref>
        </x14:conditionalFormatting>
        <x14:conditionalFormatting xmlns:xm="http://schemas.microsoft.com/office/excel/2006/main">
          <x14:cfRule type="expression" priority="57" id="{00000000-000E-0000-0100-000001000000}">
            <xm:f>AND(EI_IR_cotisations!$AD$4&lt;&gt;4,H19&lt;&gt;0)</xm:f>
            <x14:dxf>
              <font>
                <b/>
                <i val="0"/>
                <color theme="1"/>
              </font>
            </x14:dxf>
          </x14:cfRule>
          <xm:sqref>E19</xm:sqref>
        </x14:conditionalFormatting>
        <x14:conditionalFormatting xmlns:xm="http://schemas.microsoft.com/office/excel/2006/main">
          <x14:cfRule type="expression" priority="59" id="{00000000-000E-0000-0100-000001000000}">
            <xm:f>AND(EI_IR_cotisations!$AD$4&lt;&gt;4,#REF!&lt;&gt;0)</xm:f>
            <x14:dxf>
              <font>
                <b/>
                <i val="0"/>
                <color theme="1"/>
              </font>
            </x14:dxf>
          </x14:cfRule>
          <xm:sqref>E20</xm:sqref>
        </x14:conditionalFormatting>
      </x14:conditionalFormattings>
    </ex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49713-F58C-4F76-80D1-B9883868C445}">
  <dimension ref="A1"/>
  <sheetViews>
    <sheetView workbookViewId="0">
      <selection activeCell="X62" sqref="X62"/>
    </sheetView>
  </sheetViews>
  <sheetFormatPr baseColWidth="10"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5415-2941-4907-B770-A63AEFDA3C32}">
  <sheetPr>
    <tabColor theme="6"/>
    <pageSetUpPr fitToPage="1"/>
  </sheetPr>
  <dimension ref="C2:AE89"/>
  <sheetViews>
    <sheetView showGridLines="0" topLeftCell="B1" workbookViewId="0">
      <selection activeCell="J14" sqref="J14"/>
    </sheetView>
  </sheetViews>
  <sheetFormatPr baseColWidth="10" defaultColWidth="11.42578125" defaultRowHeight="15" x14ac:dyDescent="0.25"/>
  <cols>
    <col min="1" max="2" width="11.42578125" style="9"/>
    <col min="3" max="3" width="51.28515625" style="9" customWidth="1"/>
    <col min="4" max="5" width="12.42578125" style="9" customWidth="1"/>
    <col min="6" max="8" width="12.7109375" style="9" customWidth="1"/>
    <col min="9" max="9" width="1.7109375" style="9" customWidth="1"/>
    <col min="10" max="11" width="11.42578125" style="9"/>
    <col min="12" max="12" width="11.42578125" style="9" customWidth="1"/>
    <col min="13" max="13" width="33.140625" style="9" customWidth="1"/>
    <col min="14" max="21" width="11.42578125" style="9" customWidth="1"/>
    <col min="22" max="22" width="35.140625" style="9" customWidth="1"/>
    <col min="23" max="29" width="11.42578125" style="9" customWidth="1"/>
    <col min="30" max="30" width="15.140625" style="9" bestFit="1" customWidth="1"/>
    <col min="31" max="31" width="14.7109375" style="9" bestFit="1" customWidth="1"/>
    <col min="32" max="16384" width="11.42578125" style="9"/>
  </cols>
  <sheetData>
    <row r="2" spans="3:31" x14ac:dyDescent="0.25">
      <c r="L2" s="435" t="s">
        <v>323</v>
      </c>
      <c r="M2" s="435"/>
      <c r="N2" s="435"/>
      <c r="O2" s="435"/>
      <c r="P2" s="435"/>
      <c r="Q2" s="435"/>
      <c r="R2" s="435"/>
      <c r="S2" s="435"/>
      <c r="U2" s="435" t="s">
        <v>323</v>
      </c>
      <c r="V2" s="435"/>
      <c r="W2" s="435"/>
      <c r="X2" s="435"/>
      <c r="Y2" s="435"/>
      <c r="Z2" s="435"/>
      <c r="AA2" s="435"/>
      <c r="AB2" s="435"/>
    </row>
    <row r="3" spans="3:31" x14ac:dyDescent="0.25">
      <c r="I3" s="11"/>
      <c r="J3" s="11"/>
      <c r="K3" s="11"/>
      <c r="AD3" s="207" t="s">
        <v>202</v>
      </c>
      <c r="AE3" s="119" t="s">
        <v>246</v>
      </c>
    </row>
    <row r="4" spans="3:31" x14ac:dyDescent="0.25">
      <c r="L4" s="436" t="str">
        <f>+IF(AE4=1,"",simulateur!E13)</f>
        <v>CNR</v>
      </c>
      <c r="M4" s="436"/>
      <c r="N4" s="436"/>
      <c r="O4" s="436"/>
      <c r="P4" s="436"/>
      <c r="Q4" s="436"/>
      <c r="R4" s="436"/>
      <c r="S4" s="436"/>
      <c r="U4" s="436" t="str">
        <f>+IF(AE4=1,simulateur!E13,"")</f>
        <v/>
      </c>
      <c r="V4" s="436"/>
      <c r="W4" s="436"/>
      <c r="X4" s="436"/>
      <c r="Y4" s="436"/>
      <c r="Z4" s="436"/>
      <c r="AA4" s="436"/>
      <c r="AB4" s="436"/>
      <c r="AD4" s="208">
        <f>VLOOKUP(simulateur!E11,Profession!B6:C28,2,FALSE)</f>
        <v>4</v>
      </c>
      <c r="AE4" s="119">
        <f>VLOOKUP(simulateur!E11,Profession!B6:E28,4,FALSE)</f>
        <v>3</v>
      </c>
    </row>
    <row r="5" spans="3:31" x14ac:dyDescent="0.25">
      <c r="O5" s="10"/>
    </row>
    <row r="6" spans="3:31" x14ac:dyDescent="0.25">
      <c r="O6" s="10"/>
      <c r="P6" s="10"/>
      <c r="Q6" s="10"/>
    </row>
    <row r="7" spans="3:31" ht="16.5" thickBot="1" x14ac:dyDescent="0.3">
      <c r="M7" s="13" t="s">
        <v>152</v>
      </c>
      <c r="V7" s="13" t="s">
        <v>153</v>
      </c>
      <c r="AD7" s="9" t="s">
        <v>384</v>
      </c>
      <c r="AE7" s="9" t="s">
        <v>427</v>
      </c>
    </row>
    <row r="8" spans="3:31" s="14" customFormat="1" x14ac:dyDescent="0.25">
      <c r="C8" s="38" t="s">
        <v>164</v>
      </c>
      <c r="D8" s="38"/>
      <c r="E8" s="38"/>
      <c r="F8" s="38"/>
      <c r="G8" s="38"/>
      <c r="H8" s="38"/>
      <c r="L8" s="15"/>
      <c r="M8" s="16" t="s">
        <v>154</v>
      </c>
      <c r="N8" s="17"/>
      <c r="O8" s="17"/>
      <c r="P8" s="17"/>
      <c r="Q8" s="17"/>
      <c r="R8" s="17"/>
      <c r="S8" s="18"/>
      <c r="T8" s="9"/>
      <c r="U8" s="15"/>
      <c r="V8" s="16" t="s">
        <v>154</v>
      </c>
      <c r="W8" s="17"/>
      <c r="X8" s="17"/>
      <c r="Y8" s="17"/>
      <c r="Z8" s="17"/>
      <c r="AA8" s="17"/>
      <c r="AB8" s="18"/>
    </row>
    <row r="9" spans="3:31" s="14" customFormat="1" ht="30" x14ac:dyDescent="0.25">
      <c r="C9" s="9"/>
      <c r="D9" s="9"/>
      <c r="E9" s="9"/>
      <c r="F9" s="41" t="s">
        <v>139</v>
      </c>
      <c r="G9" s="41" t="s">
        <v>140</v>
      </c>
      <c r="H9" s="41" t="s">
        <v>141</v>
      </c>
      <c r="I9" s="19"/>
      <c r="L9" s="20"/>
      <c r="M9" s="9" t="s">
        <v>155</v>
      </c>
      <c r="N9" s="21">
        <v>41136</v>
      </c>
      <c r="O9" s="9"/>
      <c r="P9" s="9"/>
      <c r="Q9" s="9"/>
      <c r="R9" s="9"/>
      <c r="S9" s="22"/>
      <c r="T9" s="9"/>
      <c r="U9" s="20"/>
      <c r="V9" s="9" t="s">
        <v>155</v>
      </c>
      <c r="W9" s="23">
        <f>+N9</f>
        <v>41136</v>
      </c>
      <c r="X9" s="9"/>
      <c r="Y9" s="9" t="s">
        <v>156</v>
      </c>
      <c r="Z9" s="21">
        <v>38916</v>
      </c>
      <c r="AA9" s="9"/>
      <c r="AB9" s="22"/>
    </row>
    <row r="10" spans="3:31" ht="15.75" thickBot="1" x14ac:dyDescent="0.3">
      <c r="C10" s="98" t="s">
        <v>395</v>
      </c>
      <c r="D10" s="98"/>
      <c r="E10" s="99"/>
      <c r="F10" s="42">
        <f>G10</f>
        <v>400000</v>
      </c>
      <c r="G10" s="43">
        <f>+benef_avant_cotis_et_rem</f>
        <v>400000</v>
      </c>
      <c r="H10" s="42"/>
      <c r="I10" s="24"/>
      <c r="L10" s="25"/>
      <c r="M10" s="26"/>
      <c r="N10" s="26"/>
      <c r="O10" s="26"/>
      <c r="P10" s="26"/>
      <c r="Q10" s="26"/>
      <c r="R10" s="26"/>
      <c r="S10" s="27"/>
      <c r="U10" s="25"/>
      <c r="V10" s="26"/>
      <c r="W10" s="26"/>
      <c r="X10" s="26"/>
      <c r="Y10" s="26"/>
      <c r="Z10" s="26"/>
      <c r="AA10" s="26"/>
      <c r="AB10" s="27"/>
    </row>
    <row r="11" spans="3:31" ht="15.75" thickBot="1" x14ac:dyDescent="0.3">
      <c r="C11" s="9" t="s">
        <v>142</v>
      </c>
      <c r="F11" s="42">
        <f>+G11</f>
        <v>0</v>
      </c>
      <c r="G11" s="43">
        <v>0</v>
      </c>
      <c r="H11" s="42">
        <f>+G11</f>
        <v>0</v>
      </c>
      <c r="I11" s="29"/>
    </row>
    <row r="12" spans="3:31" x14ac:dyDescent="0.25">
      <c r="C12" s="9" t="s">
        <v>143</v>
      </c>
      <c r="F12" s="42"/>
      <c r="G12" s="42"/>
      <c r="H12" s="43">
        <f ca="1">IF(EI_IR_cotisations!AE4=1,Y72+simulateur!H27,N72+simulateur!H27)</f>
        <v>89304.987253478757</v>
      </c>
      <c r="I12" s="24"/>
      <c r="L12" s="15"/>
      <c r="M12" s="16" t="s">
        <v>158</v>
      </c>
      <c r="N12" s="17"/>
      <c r="O12" s="17"/>
      <c r="P12" s="17"/>
      <c r="Q12" s="17"/>
      <c r="R12" s="17"/>
      <c r="S12" s="18"/>
      <c r="U12" s="124"/>
      <c r="V12" s="153" t="s">
        <v>158</v>
      </c>
      <c r="W12" s="126"/>
      <c r="X12" s="126"/>
      <c r="Y12" s="126"/>
      <c r="Z12" s="126"/>
      <c r="AA12" s="126"/>
      <c r="AB12" s="127"/>
    </row>
    <row r="13" spans="3:31" x14ac:dyDescent="0.25">
      <c r="C13" s="9" t="s">
        <v>144</v>
      </c>
      <c r="F13" s="42"/>
      <c r="G13" s="42"/>
      <c r="H13" s="42"/>
      <c r="I13" s="24"/>
      <c r="L13" s="20"/>
      <c r="M13" s="9" t="s">
        <v>18</v>
      </c>
      <c r="N13" s="63">
        <v>3.1E-2</v>
      </c>
      <c r="P13" s="434" t="s">
        <v>160</v>
      </c>
      <c r="Q13" s="434"/>
      <c r="R13" s="434"/>
      <c r="S13" s="213" t="s">
        <v>324</v>
      </c>
      <c r="U13" s="32"/>
      <c r="V13" s="9" t="s">
        <v>18</v>
      </c>
      <c r="W13" s="63">
        <v>3.1E-2</v>
      </c>
      <c r="Y13" s="434" t="s">
        <v>160</v>
      </c>
      <c r="Z13" s="434"/>
      <c r="AA13" s="434"/>
      <c r="AB13" s="37"/>
    </row>
    <row r="14" spans="3:31" x14ac:dyDescent="0.25">
      <c r="C14" s="47" t="s">
        <v>145</v>
      </c>
      <c r="F14" s="42"/>
      <c r="G14" s="42"/>
      <c r="H14" s="43">
        <f ca="1">IF(EI_IR_cotisations!AE4=1,-Y62,-P62)</f>
        <v>-10858.63074906367</v>
      </c>
      <c r="I14" s="24"/>
      <c r="L14" s="20"/>
      <c r="M14" s="9" t="s">
        <v>19</v>
      </c>
      <c r="N14" s="10">
        <f ca="1">IF($AD$4="AC",0,$G$21)</f>
        <v>331553.6434955849</v>
      </c>
      <c r="P14" s="100">
        <v>0</v>
      </c>
      <c r="Q14" s="21">
        <v>0</v>
      </c>
      <c r="R14" s="30">
        <v>0</v>
      </c>
      <c r="S14" s="211">
        <v>1</v>
      </c>
      <c r="U14" s="32"/>
      <c r="V14" s="9" t="s">
        <v>19</v>
      </c>
      <c r="W14" s="10">
        <f ca="1">+G21</f>
        <v>331553.6434955849</v>
      </c>
      <c r="Y14" s="100">
        <v>0</v>
      </c>
      <c r="Z14" s="23">
        <v>0</v>
      </c>
      <c r="AA14" s="149">
        <v>0</v>
      </c>
      <c r="AB14" s="37"/>
    </row>
    <row r="15" spans="3:31" x14ac:dyDescent="0.25">
      <c r="C15" s="47" t="s">
        <v>146</v>
      </c>
      <c r="F15" s="42">
        <f ca="1">G15</f>
        <v>-25461.61692883895</v>
      </c>
      <c r="G15" s="43">
        <f ca="1">IF(EI_IR_cotisations!AE4=1,-Y61,-P61)</f>
        <v>-25461.61692883895</v>
      </c>
      <c r="H15" s="42">
        <f ca="1">G15</f>
        <v>-25461.61692883895</v>
      </c>
      <c r="I15" s="24"/>
      <c r="L15" s="20"/>
      <c r="M15" s="9" t="s">
        <v>161</v>
      </c>
      <c r="N15" s="31">
        <f ca="1">+VLOOKUP(N14,Q14:R16,2,TRUE)</f>
        <v>3.1E-2</v>
      </c>
      <c r="P15" s="101">
        <v>1.1000000000000001</v>
      </c>
      <c r="Q15" s="23">
        <f>+P15*N9</f>
        <v>45249.600000000006</v>
      </c>
      <c r="R15" s="30">
        <f ca="1">+IF(AND(N14&gt;0,N14&gt;=Q15,N14&lt;Q16),MIN((N13/(0.3*N9))*(N14-1.1*N9),N13),0)</f>
        <v>0</v>
      </c>
      <c r="S15" s="211">
        <v>0.75</v>
      </c>
      <c r="U15" s="32"/>
      <c r="V15" s="9" t="s">
        <v>161</v>
      </c>
      <c r="W15" s="130">
        <f ca="1">+VLOOKUP(W14,Z14:AA16,2,TRUE)</f>
        <v>3.1E-2</v>
      </c>
      <c r="Y15" s="101">
        <v>1.1000000000000001</v>
      </c>
      <c r="Z15" s="23">
        <f>+Y15*W9</f>
        <v>45249.600000000006</v>
      </c>
      <c r="AA15" s="149">
        <f ca="1">+IF(AND(W14&gt;0,W14&gt;=Z15,W14&lt;Z16),MIN((W13/(0.3*W9))*(W14-1.1*W9),W13),0)</f>
        <v>0</v>
      </c>
      <c r="AB15" s="37"/>
    </row>
    <row r="16" spans="3:31" x14ac:dyDescent="0.25">
      <c r="C16" s="9" t="s">
        <v>141</v>
      </c>
      <c r="F16" s="42"/>
      <c r="G16" s="42"/>
      <c r="H16" s="42"/>
      <c r="I16" s="24"/>
      <c r="L16" s="32"/>
      <c r="M16" s="33" t="s">
        <v>162</v>
      </c>
      <c r="N16" s="34">
        <f ca="1">+N14*N15</f>
        <v>10278.162948363131</v>
      </c>
      <c r="P16" s="101">
        <v>1.4</v>
      </c>
      <c r="Q16" s="23">
        <f>+P16*N9</f>
        <v>57590.399999999994</v>
      </c>
      <c r="R16" s="30">
        <f ca="1">+IF(AND(N14&gt;0,N14&gt;=Q16),MIN((N13/(0.3*N9))*(N14-1.1*N9),N13),0)</f>
        <v>3.1E-2</v>
      </c>
      <c r="S16" s="212">
        <v>0.6</v>
      </c>
      <c r="T16" s="33"/>
      <c r="U16" s="32"/>
      <c r="V16" s="9" t="s">
        <v>162</v>
      </c>
      <c r="W16" s="36">
        <f ca="1">+W14*W15</f>
        <v>10278.162948363131</v>
      </c>
      <c r="Y16" s="101">
        <v>1.4</v>
      </c>
      <c r="Z16" s="23">
        <f>+Y16*W9</f>
        <v>57590.399999999994</v>
      </c>
      <c r="AA16" s="149">
        <f ca="1">+IF(AND(W14&gt;0,W14&gt;=Z16),MIN((W13/(0.3*W9))*(W14-1.1*W9),W13),0)</f>
        <v>3.1E-2</v>
      </c>
      <c r="AB16" s="35"/>
    </row>
    <row r="17" spans="3:31" x14ac:dyDescent="0.25">
      <c r="C17" s="47" t="s">
        <v>11</v>
      </c>
      <c r="F17" s="42">
        <f ca="1">G17</f>
        <v>-42984.739575576139</v>
      </c>
      <c r="G17" s="43">
        <f ca="1">-H21</f>
        <v>-42984.739575576139</v>
      </c>
      <c r="H17" s="42"/>
      <c r="J17" s="10"/>
      <c r="L17" s="32"/>
      <c r="S17" s="37"/>
      <c r="T17" s="33"/>
      <c r="U17" s="32"/>
      <c r="AB17" s="37"/>
    </row>
    <row r="18" spans="3:31" x14ac:dyDescent="0.25">
      <c r="C18" s="47" t="s">
        <v>147</v>
      </c>
      <c r="F18" s="42">
        <f>+H18</f>
        <v>-10000</v>
      </c>
      <c r="G18" s="42"/>
      <c r="H18" s="43">
        <f>-simulateur!H27</f>
        <v>-10000</v>
      </c>
      <c r="L18" s="32"/>
      <c r="M18" s="9" t="s">
        <v>163</v>
      </c>
      <c r="N18" s="34">
        <f ca="1">+IF(N14=0,0,N9*0.25%)</f>
        <v>102.84</v>
      </c>
      <c r="S18" s="37"/>
      <c r="U18" s="32"/>
      <c r="V18" s="9" t="s">
        <v>163</v>
      </c>
      <c r="W18" s="36">
        <f ca="1">+IF(W14=0,0,W9*0.25%)</f>
        <v>102.84</v>
      </c>
      <c r="AB18" s="37"/>
    </row>
    <row r="19" spans="3:31" ht="15" customHeight="1" x14ac:dyDescent="0.25">
      <c r="C19" s="52" t="s">
        <v>148</v>
      </c>
      <c r="F19" s="53">
        <f ca="1">IFERROR(SUM(F10:F18),0)</f>
        <v>321553.6434955849</v>
      </c>
      <c r="G19" s="53">
        <f ca="1">IFERROR(SUM(G10:G18),0)</f>
        <v>331553.6434955849</v>
      </c>
      <c r="H19" s="53">
        <f ca="1">+IFERROR(SUM(H10:H18),0)</f>
        <v>42984.739575576139</v>
      </c>
      <c r="L19" s="32"/>
      <c r="P19" s="9" t="s">
        <v>424</v>
      </c>
      <c r="S19" s="37"/>
      <c r="U19" s="32"/>
      <c r="AB19" s="155"/>
    </row>
    <row r="20" spans="3:31" x14ac:dyDescent="0.25">
      <c r="C20" s="9" t="s">
        <v>149</v>
      </c>
      <c r="F20" s="42"/>
      <c r="G20" s="43">
        <v>0</v>
      </c>
      <c r="H20" s="42"/>
      <c r="L20" s="32"/>
      <c r="M20" s="9" t="s">
        <v>23</v>
      </c>
      <c r="N20" s="36">
        <f>IFERROR(VLOOKUP(AE20,EI_IR_retraite_ID!$O$15:$Q$24,3,FALSE),0)</f>
        <v>0</v>
      </c>
      <c r="P20" s="34">
        <f>-IF(AD4=10,VLOOKUP(N14,Q14:S16,3,TRUE)*N16,0)</f>
        <v>0</v>
      </c>
      <c r="S20" s="37"/>
      <c r="U20" s="32"/>
      <c r="AB20" s="37"/>
      <c r="AD20" s="9" t="s">
        <v>23</v>
      </c>
      <c r="AE20" s="9" t="str">
        <f>$AD$4&amp;"_"&amp;AD20</f>
        <v>4_URPS</v>
      </c>
    </row>
    <row r="21" spans="3:31" ht="15" customHeight="1" x14ac:dyDescent="0.25">
      <c r="C21" s="52" t="s">
        <v>150</v>
      </c>
      <c r="F21" s="53">
        <f ca="1">+SUM(F20+F19)</f>
        <v>321553.6434955849</v>
      </c>
      <c r="G21" s="53">
        <f ca="1">+SUM(G20+G19)</f>
        <v>331553.6434955849</v>
      </c>
      <c r="H21" s="53">
        <f ca="1">IFERROR(SUM(H20+H19),0)</f>
        <v>42984.739575576139</v>
      </c>
      <c r="L21" s="32"/>
      <c r="S21" s="37"/>
      <c r="U21" s="32"/>
      <c r="AB21" s="37"/>
    </row>
    <row r="22" spans="3:31" ht="15.75" thickBot="1" x14ac:dyDescent="0.3">
      <c r="F22" s="42"/>
      <c r="G22" s="42"/>
      <c r="H22" s="42"/>
      <c r="L22" s="39"/>
      <c r="M22" s="26"/>
      <c r="N22" s="26"/>
      <c r="O22" s="26"/>
      <c r="P22" s="26"/>
      <c r="Q22" s="26"/>
      <c r="R22" s="26"/>
      <c r="S22" s="40"/>
      <c r="U22" s="50"/>
      <c r="V22" s="131"/>
      <c r="W22" s="131"/>
      <c r="X22" s="131"/>
      <c r="Y22" s="131"/>
      <c r="Z22" s="131"/>
      <c r="AA22" s="131"/>
      <c r="AB22" s="132"/>
    </row>
    <row r="23" spans="3:31" ht="15.75" thickBot="1" x14ac:dyDescent="0.3">
      <c r="C23" s="52" t="s">
        <v>172</v>
      </c>
      <c r="D23" s="55"/>
      <c r="F23" s="56">
        <f>+F10+F11</f>
        <v>400000</v>
      </c>
      <c r="G23" s="57"/>
      <c r="H23" s="58"/>
    </row>
    <row r="24" spans="3:31" x14ac:dyDescent="0.25">
      <c r="C24" s="9" t="s">
        <v>151</v>
      </c>
      <c r="F24" s="59">
        <f ca="1">+(H12+H11)/G10</f>
        <v>0.22326246813369691</v>
      </c>
      <c r="L24" s="44"/>
      <c r="M24" s="45" t="s">
        <v>165</v>
      </c>
      <c r="N24" s="17"/>
      <c r="O24" s="17"/>
      <c r="P24" s="45" t="s">
        <v>166</v>
      </c>
      <c r="Q24" s="17"/>
      <c r="R24" s="17"/>
      <c r="S24" s="46"/>
      <c r="U24" s="124"/>
      <c r="V24" s="125" t="s">
        <v>165</v>
      </c>
      <c r="W24" s="126" t="s">
        <v>137</v>
      </c>
      <c r="X24" s="126" t="s">
        <v>138</v>
      </c>
      <c r="Y24" s="125" t="s">
        <v>166</v>
      </c>
      <c r="Z24" s="126"/>
      <c r="AA24" s="126"/>
      <c r="AB24" s="127"/>
    </row>
    <row r="25" spans="3:31" x14ac:dyDescent="0.25">
      <c r="G25" s="10"/>
      <c r="H25" s="31"/>
      <c r="L25" s="32"/>
      <c r="M25" s="9" t="s">
        <v>88</v>
      </c>
      <c r="N25" s="63">
        <v>6.5000000000000002E-2</v>
      </c>
      <c r="P25" s="9" t="s">
        <v>166</v>
      </c>
      <c r="Q25" s="63">
        <v>3.0000000000000001E-3</v>
      </c>
      <c r="R25" s="36">
        <f ca="1">IF(AD4=2,0,ROUND(MIN(N27,3*N9)*Q25,0))</f>
        <v>370</v>
      </c>
      <c r="S25" s="37"/>
      <c r="U25" s="32"/>
      <c r="V25" s="9" t="s">
        <v>88</v>
      </c>
      <c r="W25" s="133">
        <v>7.1999999999999995E-2</v>
      </c>
      <c r="Y25" s="9" t="s">
        <v>166</v>
      </c>
      <c r="Z25" s="146">
        <v>8.5000000000000006E-3</v>
      </c>
      <c r="AA25" s="36">
        <f ca="1">ROUND(MIN(W29,5*W9)*Z25,0)</f>
        <v>1748</v>
      </c>
      <c r="AB25" s="37"/>
    </row>
    <row r="26" spans="3:31" x14ac:dyDescent="0.25">
      <c r="L26" s="32"/>
      <c r="M26" s="9" t="s">
        <v>93</v>
      </c>
      <c r="N26" s="63">
        <v>1.4999999999999999E-2</v>
      </c>
      <c r="S26" s="37"/>
      <c r="U26" s="32"/>
      <c r="V26" s="9" t="s">
        <v>93</v>
      </c>
      <c r="W26" s="133">
        <v>2.1999999999999999E-2</v>
      </c>
      <c r="X26" s="146">
        <v>4.9999999999999996E-2</v>
      </c>
      <c r="AB26" s="37"/>
    </row>
    <row r="27" spans="3:31" x14ac:dyDescent="0.25">
      <c r="L27" s="32"/>
      <c r="M27" s="9" t="s">
        <v>19</v>
      </c>
      <c r="N27" s="10">
        <f ca="1">IF($AD$4="AC",0,$G$21)</f>
        <v>331553.6434955849</v>
      </c>
      <c r="P27" s="147" t="s">
        <v>168</v>
      </c>
      <c r="Q27" s="97"/>
      <c r="R27" s="97"/>
      <c r="S27" s="213" t="s">
        <v>325</v>
      </c>
      <c r="U27" s="32"/>
      <c r="V27" s="9" t="s">
        <v>167</v>
      </c>
      <c r="W27" s="133">
        <v>8.5000000000000006E-3</v>
      </c>
      <c r="X27" s="146">
        <v>1.3499999999999998E-2</v>
      </c>
      <c r="Y27" s="147" t="s">
        <v>168</v>
      </c>
      <c r="Z27" s="147"/>
      <c r="AA27" s="147"/>
      <c r="AB27" s="37"/>
    </row>
    <row r="28" spans="3:31" x14ac:dyDescent="0.25">
      <c r="F28" s="10"/>
      <c r="G28" s="10"/>
      <c r="H28" s="10"/>
      <c r="I28" s="10"/>
      <c r="J28" s="10"/>
      <c r="K28" s="10"/>
      <c r="L28" s="32"/>
      <c r="M28" s="9" t="s">
        <v>161</v>
      </c>
      <c r="N28" s="31">
        <f ca="1">+VLOOKUP(N27,Q28:R29,2,TRUE)</f>
        <v>6.5000000000000002E-2</v>
      </c>
      <c r="P28" s="100">
        <v>0</v>
      </c>
      <c r="Q28" s="21">
        <v>0</v>
      </c>
      <c r="R28" s="30">
        <f ca="1">+IF(AND(N27&gt;0,N27&lt;Q29),((N25-N26)/(1.1*N9))*N27+N26,0)</f>
        <v>0</v>
      </c>
      <c r="S28" s="214">
        <v>0</v>
      </c>
      <c r="U28" s="32"/>
      <c r="V28" s="9" t="s">
        <v>169</v>
      </c>
      <c r="W28" s="133">
        <v>6.5000000000000002E-2</v>
      </c>
      <c r="Y28" s="133">
        <v>0</v>
      </c>
      <c r="Z28" s="9">
        <v>0</v>
      </c>
      <c r="AA28" s="130">
        <f ca="1">IF(AND(W29&gt;0,W29&lt;Z29),((W25-W26)/(1.1*W9))*W29+((W26-W27)/(0.4*W9)*W29)+W27,0)</f>
        <v>0</v>
      </c>
      <c r="AB28" s="37"/>
    </row>
    <row r="29" spans="3:31" x14ac:dyDescent="0.25">
      <c r="F29" s="49"/>
      <c r="G29" s="10"/>
      <c r="H29" s="10"/>
      <c r="I29" s="10"/>
      <c r="J29" s="10"/>
      <c r="K29" s="10"/>
      <c r="L29" s="32"/>
      <c r="M29" s="9" t="s">
        <v>170</v>
      </c>
      <c r="N29" s="36">
        <f ca="1">IF(N31&gt;0,0,N27*N28)</f>
        <v>21550.986827213019</v>
      </c>
      <c r="P29" s="101">
        <v>1.1000000000000001</v>
      </c>
      <c r="Q29" s="21">
        <f>N9*P29</f>
        <v>45249.600000000006</v>
      </c>
      <c r="R29" s="48">
        <f>+N25</f>
        <v>6.5000000000000002E-2</v>
      </c>
      <c r="S29" s="215">
        <v>6.4000000000000001E-2</v>
      </c>
      <c r="U29" s="32"/>
      <c r="V29" s="9" t="s">
        <v>19</v>
      </c>
      <c r="W29" s="148">
        <f ca="1">MIN(G21,5*W9)</f>
        <v>205680</v>
      </c>
      <c r="X29" s="49">
        <f ca="1">+MAX(0,G21-5*W9)</f>
        <v>125873.6434955849</v>
      </c>
      <c r="Y29" s="133">
        <v>0.4</v>
      </c>
      <c r="Z29" s="23">
        <f>+Y29*W9</f>
        <v>16454.400000000001</v>
      </c>
      <c r="AA29" s="149">
        <f ca="1">IF(AND(W29&gt;=Z29,W29&lt;Z30),((W25-W26)/(1.1*W9))*W29+W26,0)</f>
        <v>0</v>
      </c>
      <c r="AB29" s="37"/>
    </row>
    <row r="30" spans="3:31" x14ac:dyDescent="0.25">
      <c r="C30" s="302" t="s">
        <v>396</v>
      </c>
      <c r="F30" s="49"/>
      <c r="G30" s="10"/>
      <c r="H30" s="10"/>
      <c r="I30" s="10"/>
      <c r="J30" s="10"/>
      <c r="K30" s="10"/>
      <c r="L30" s="32"/>
      <c r="S30" s="37"/>
      <c r="U30" s="32"/>
      <c r="V30" s="9" t="s">
        <v>161</v>
      </c>
      <c r="W30" s="130">
        <f ca="1">+VLOOKUP(W29,Z28:AA30,2,TRUE)</f>
        <v>6.3500000000000001E-2</v>
      </c>
      <c r="X30" s="130">
        <f ca="1">+IF(G21&gt;Y31,W28,0)</f>
        <v>6.5000000000000002E-2</v>
      </c>
      <c r="Y30" s="133">
        <v>1.1000000000000001</v>
      </c>
      <c r="Z30" s="23">
        <f>+Y30*W9</f>
        <v>45249.600000000006</v>
      </c>
      <c r="AA30" s="48">
        <f ca="1">IF(W29&gt;=Z30,X26+X27,0)</f>
        <v>6.3500000000000001E-2</v>
      </c>
      <c r="AB30" s="37"/>
    </row>
    <row r="31" spans="3:31" x14ac:dyDescent="0.25">
      <c r="C31" s="9" t="s">
        <v>397</v>
      </c>
      <c r="F31" s="49"/>
      <c r="G31" s="10"/>
      <c r="H31" s="10"/>
      <c r="I31" s="10"/>
      <c r="J31" s="10"/>
      <c r="K31" s="10"/>
      <c r="L31" s="32"/>
      <c r="M31" s="9" t="s">
        <v>425</v>
      </c>
      <c r="N31" s="36">
        <f>IF(AND(AD4=12,simulateur!H17&gt;0),simulateur!H17,0)</f>
        <v>0</v>
      </c>
      <c r="P31" s="9" t="s">
        <v>424</v>
      </c>
      <c r="S31" s="37"/>
      <c r="U31" s="32"/>
      <c r="V31" s="9" t="s">
        <v>170</v>
      </c>
      <c r="W31" s="151">
        <f ca="1">+W29*W30</f>
        <v>13060.68</v>
      </c>
      <c r="X31" s="151">
        <f ca="1">+X29*X30</f>
        <v>8181.7868272130181</v>
      </c>
      <c r="Y31" s="10">
        <f>5*N9</f>
        <v>205680</v>
      </c>
      <c r="Z31" s="10">
        <f>+Y31</f>
        <v>205680</v>
      </c>
      <c r="AA31" s="150">
        <f ca="1">+IF(W29&gt;=Z31,W25,0)</f>
        <v>7.1999999999999995E-2</v>
      </c>
      <c r="AB31" s="37"/>
    </row>
    <row r="32" spans="3:31" ht="15.75" thickBot="1" x14ac:dyDescent="0.3">
      <c r="C32" s="9" t="s">
        <v>398</v>
      </c>
      <c r="D32" s="10">
        <f ca="1">+G21</f>
        <v>331553.6434955849</v>
      </c>
      <c r="F32" s="10"/>
      <c r="G32" s="10"/>
      <c r="H32" s="10"/>
      <c r="L32" s="50"/>
      <c r="M32" s="26"/>
      <c r="N32" s="26"/>
      <c r="O32" s="26"/>
      <c r="P32" s="216">
        <f>IF(N31&gt;0,0,-IF(OR(AD4=10,AD4=12,AD4=14,AD4=15),N27*S29,0))</f>
        <v>0</v>
      </c>
      <c r="Q32" s="26"/>
      <c r="R32" s="26"/>
      <c r="S32" s="51"/>
      <c r="U32" s="50"/>
      <c r="V32" s="131"/>
      <c r="W32" s="152">
        <f ca="1">+W31+X31</f>
        <v>21242.466827213018</v>
      </c>
      <c r="X32" s="131"/>
      <c r="Y32" s="131"/>
      <c r="Z32" s="131"/>
      <c r="AA32" s="131"/>
      <c r="AB32" s="132"/>
    </row>
    <row r="33" spans="3:31" ht="15.75" thickBot="1" x14ac:dyDescent="0.3">
      <c r="C33" s="9" t="s">
        <v>399</v>
      </c>
      <c r="D33" s="10">
        <f ca="1">+H21</f>
        <v>42984.739575576139</v>
      </c>
      <c r="F33" s="10"/>
      <c r="G33" s="10"/>
      <c r="H33" s="10"/>
    </row>
    <row r="34" spans="3:31" x14ac:dyDescent="0.25">
      <c r="C34" s="9" t="s">
        <v>400</v>
      </c>
      <c r="D34" s="10">
        <f>-H18</f>
        <v>10000</v>
      </c>
      <c r="L34" s="124"/>
      <c r="M34" s="125" t="s">
        <v>218</v>
      </c>
      <c r="N34" s="126"/>
      <c r="O34" s="126"/>
      <c r="P34" s="126"/>
      <c r="Q34" s="126"/>
      <c r="R34" s="126"/>
      <c r="S34" s="127"/>
      <c r="U34" s="135"/>
      <c r="V34" s="136" t="s">
        <v>218</v>
      </c>
      <c r="W34" s="137"/>
      <c r="X34" s="137"/>
      <c r="Y34" s="137"/>
      <c r="Z34" s="137"/>
      <c r="AA34" s="137"/>
      <c r="AB34" s="138"/>
    </row>
    <row r="35" spans="3:31" x14ac:dyDescent="0.25">
      <c r="C35" s="9" t="s">
        <v>401</v>
      </c>
      <c r="D35" s="10">
        <f ca="1">+G10-H12</f>
        <v>310695.01274652127</v>
      </c>
      <c r="L35" s="32"/>
      <c r="N35" s="49"/>
      <c r="S35" s="37"/>
      <c r="U35" s="139"/>
      <c r="W35" s="49"/>
      <c r="AB35" s="140"/>
    </row>
    <row r="36" spans="3:31" x14ac:dyDescent="0.25">
      <c r="L36" s="32"/>
      <c r="M36" s="54" t="s">
        <v>171</v>
      </c>
      <c r="S36" s="37"/>
      <c r="U36" s="139"/>
      <c r="V36" s="54" t="s">
        <v>171</v>
      </c>
      <c r="Z36" s="10"/>
      <c r="AA36" s="10"/>
      <c r="AB36" s="140"/>
    </row>
    <row r="37" spans="3:31" x14ac:dyDescent="0.25">
      <c r="L37" s="32"/>
      <c r="M37" s="9" t="s">
        <v>173</v>
      </c>
      <c r="N37" s="128">
        <f>IF(AD4=2,0,8.23%)</f>
        <v>8.2299999999999998E-2</v>
      </c>
      <c r="O37" s="10">
        <f ca="1">+MIN(N39,N9)</f>
        <v>41136</v>
      </c>
      <c r="P37" s="10">
        <f ca="1">+O37*N37</f>
        <v>3385.4928</v>
      </c>
      <c r="S37" s="37"/>
      <c r="U37" s="139"/>
      <c r="V37" s="9" t="s">
        <v>173</v>
      </c>
      <c r="W37" s="133">
        <v>0.17749999999999999</v>
      </c>
      <c r="X37" s="10">
        <f ca="1">+MIN(W39,W9)</f>
        <v>41136</v>
      </c>
      <c r="Y37" s="10">
        <f ca="1">+W37*X37</f>
        <v>7301.6399999999994</v>
      </c>
      <c r="Z37" s="10"/>
      <c r="AA37" s="10"/>
      <c r="AB37" s="140"/>
    </row>
    <row r="38" spans="3:31" x14ac:dyDescent="0.25">
      <c r="L38" s="32"/>
      <c r="M38" s="9" t="s">
        <v>174</v>
      </c>
      <c r="N38" s="128">
        <f>IF(AD4=2,0,1.87%)</f>
        <v>1.8700000000000001E-2</v>
      </c>
      <c r="O38" s="10">
        <f ca="1">+MIN(N39,5*N9)</f>
        <v>205680</v>
      </c>
      <c r="P38" s="10">
        <f ca="1">+O38*N38</f>
        <v>3846.2160000000003</v>
      </c>
      <c r="S38" s="37"/>
      <c r="U38" s="139"/>
      <c r="V38" s="9" t="s">
        <v>174</v>
      </c>
      <c r="W38" s="133">
        <v>6.0000000000000001E-3</v>
      </c>
      <c r="X38" s="10">
        <f ca="1">+MAX(0,W39-X37)</f>
        <v>290417.6434955849</v>
      </c>
      <c r="Y38" s="10">
        <f ca="1">+W38*X38</f>
        <v>1742.5058609735095</v>
      </c>
      <c r="Z38" s="10"/>
      <c r="AA38" s="10"/>
      <c r="AB38" s="140"/>
    </row>
    <row r="39" spans="3:31" x14ac:dyDescent="0.25">
      <c r="H39" s="10"/>
      <c r="L39" s="32"/>
      <c r="M39" s="9" t="s">
        <v>19</v>
      </c>
      <c r="N39" s="10">
        <f ca="1">IF($AD$4="AC",0,$G$21)</f>
        <v>331553.6434955849</v>
      </c>
      <c r="O39" s="129"/>
      <c r="P39" s="130"/>
      <c r="S39" s="37"/>
      <c r="U39" s="139"/>
      <c r="V39" s="9" t="s">
        <v>19</v>
      </c>
      <c r="W39" s="10">
        <f ca="1">+G21</f>
        <v>331553.6434955849</v>
      </c>
      <c r="X39" s="129"/>
      <c r="Y39" s="130"/>
      <c r="Z39" s="10"/>
      <c r="AA39" s="10"/>
      <c r="AB39" s="140"/>
    </row>
    <row r="40" spans="3:31" x14ac:dyDescent="0.25">
      <c r="L40" s="32"/>
      <c r="M40" s="9" t="s">
        <v>175</v>
      </c>
      <c r="N40" s="36"/>
      <c r="S40" s="37"/>
      <c r="U40" s="139"/>
      <c r="V40" s="9" t="s">
        <v>175</v>
      </c>
      <c r="Y40" s="36">
        <f ca="1">+Y37+Y38</f>
        <v>9044.1458609735091</v>
      </c>
      <c r="Z40" s="130">
        <f ca="1">+IFERROR(Y40/W39,0)</f>
        <v>2.727807713292086E-2</v>
      </c>
      <c r="AA40" s="10"/>
      <c r="AB40" s="140"/>
    </row>
    <row r="41" spans="3:31" x14ac:dyDescent="0.25">
      <c r="I41" s="61"/>
      <c r="L41" s="32"/>
      <c r="S41" s="37"/>
      <c r="U41" s="141"/>
      <c r="Z41" s="10"/>
      <c r="AA41" s="10"/>
      <c r="AB41" s="140"/>
    </row>
    <row r="42" spans="3:31" x14ac:dyDescent="0.25">
      <c r="L42" s="32"/>
      <c r="M42" s="9" t="s">
        <v>236</v>
      </c>
      <c r="P42" s="10">
        <f>IF($AD$4=2,VLOOKUP(AE42,EI_IR_retraite_ID!$O$15:$Q$24,3,FALSE),0)</f>
        <v>0</v>
      </c>
      <c r="S42" s="37"/>
      <c r="U42" s="141"/>
      <c r="Z42" s="10"/>
      <c r="AA42" s="10"/>
      <c r="AB42" s="140"/>
      <c r="AD42" s="9" t="s">
        <v>385</v>
      </c>
      <c r="AE42" s="9" t="str">
        <f>$AD$4&amp;"_"&amp;AD42</f>
        <v>4_RB1</v>
      </c>
    </row>
    <row r="43" spans="3:31" x14ac:dyDescent="0.25">
      <c r="L43" s="32"/>
      <c r="M43" s="9" t="s">
        <v>235</v>
      </c>
      <c r="P43" s="10">
        <f>IF($AD$4=2,VLOOKUP(AE43,EI_IR_retraite_ID!$O$15:$Q$24,3,FALSE),0)</f>
        <v>0</v>
      </c>
      <c r="S43" s="37"/>
      <c r="U43" s="141"/>
      <c r="Z43" s="130"/>
      <c r="AA43" s="10"/>
      <c r="AB43" s="140"/>
      <c r="AD43" s="9" t="s">
        <v>386</v>
      </c>
      <c r="AE43" s="9" t="str">
        <f>$AD$4&amp;"_"&amp;AD43</f>
        <v>4_RB2</v>
      </c>
    </row>
    <row r="44" spans="3:31" x14ac:dyDescent="0.25">
      <c r="J44" s="62"/>
      <c r="L44" s="32"/>
      <c r="P44" s="36">
        <f ca="1">+P37+P38+P42+P43</f>
        <v>7231.7088000000003</v>
      </c>
      <c r="S44" s="37"/>
      <c r="U44" s="141"/>
      <c r="Z44" s="130"/>
      <c r="AA44" s="10"/>
      <c r="AB44" s="140"/>
    </row>
    <row r="45" spans="3:31" x14ac:dyDescent="0.25">
      <c r="L45" s="60"/>
      <c r="S45" s="37"/>
      <c r="U45" s="141"/>
      <c r="Z45" s="130"/>
      <c r="AA45" s="10"/>
      <c r="AB45" s="140"/>
    </row>
    <row r="46" spans="3:31" x14ac:dyDescent="0.25">
      <c r="L46" s="32"/>
      <c r="M46" s="54" t="s">
        <v>176</v>
      </c>
      <c r="P46" s="36">
        <f>SUM(P47:P53)</f>
        <v>2420.0410000000002</v>
      </c>
      <c r="S46" s="37"/>
      <c r="U46" s="141"/>
      <c r="V46" s="54" t="s">
        <v>176</v>
      </c>
      <c r="Y46" s="36">
        <f>IFERROR(VLOOKUP(AE46,EI_IR_retraite_ID!$O$15:$Q$24,3,FALSE),0)</f>
        <v>2420</v>
      </c>
      <c r="Z46" s="10"/>
      <c r="AA46" s="10"/>
      <c r="AB46" s="140"/>
      <c r="AD46" s="9" t="s">
        <v>229</v>
      </c>
      <c r="AE46" s="9" t="str">
        <f t="shared" ref="AE46:AE52" si="0">$AD$4&amp;"_"&amp;AD46</f>
        <v>4_RC2</v>
      </c>
    </row>
    <row r="47" spans="3:31" x14ac:dyDescent="0.25">
      <c r="L47" s="32"/>
      <c r="M47" s="9" t="s">
        <v>223</v>
      </c>
      <c r="P47" s="10">
        <f>IF($AD$4="AC",0,VLOOKUP(AE47,EI_IR_retraite_ID!$O$15:$Q$24,3,FALSE))</f>
        <v>4.1000000000000002E-2</v>
      </c>
      <c r="S47" s="37"/>
      <c r="U47" s="139"/>
      <c r="X47" s="10"/>
      <c r="Z47" s="10"/>
      <c r="AA47" s="10"/>
      <c r="AB47" s="140"/>
      <c r="AD47" s="9" t="s">
        <v>228</v>
      </c>
      <c r="AE47" s="9" t="str">
        <f t="shared" si="0"/>
        <v>4_RC1</v>
      </c>
    </row>
    <row r="48" spans="3:31" x14ac:dyDescent="0.25">
      <c r="L48" s="32"/>
      <c r="M48" s="9" t="s">
        <v>224</v>
      </c>
      <c r="P48" s="10">
        <f>IF($AD$4="AC",0,VLOOKUP(AE48,EI_IR_retraite_ID!$O$15:$Q$24,3,FALSE))</f>
        <v>2420</v>
      </c>
      <c r="S48" s="37"/>
      <c r="U48" s="139"/>
      <c r="AB48" s="140"/>
      <c r="AD48" s="9" t="s">
        <v>229</v>
      </c>
      <c r="AE48" s="9" t="str">
        <f t="shared" si="0"/>
        <v>4_RC2</v>
      </c>
    </row>
    <row r="49" spans="9:31" x14ac:dyDescent="0.25">
      <c r="I49" s="10"/>
      <c r="L49" s="32"/>
      <c r="M49" s="9" t="s">
        <v>225</v>
      </c>
      <c r="P49" s="10">
        <f>IF($AD$4="AC",0,VLOOKUP(AE49,EI_IR_retraite_ID!$O$15:$Q$24,3,FALSE))</f>
        <v>0</v>
      </c>
      <c r="S49" s="37"/>
      <c r="U49" s="139"/>
      <c r="AB49" s="140"/>
      <c r="AD49" s="9" t="s">
        <v>230</v>
      </c>
      <c r="AE49" s="9" t="str">
        <f t="shared" si="0"/>
        <v>4_RC3</v>
      </c>
    </row>
    <row r="50" spans="9:31" x14ac:dyDescent="0.25">
      <c r="I50" s="10"/>
      <c r="L50" s="32"/>
      <c r="M50" s="9" t="s">
        <v>226</v>
      </c>
      <c r="P50" s="10">
        <f>IF($AD$4="AC",0,VLOOKUP(AE50,EI_IR_retraite_ID!$O$15:$Q$24,3,FALSE))</f>
        <v>0</v>
      </c>
      <c r="S50" s="37"/>
      <c r="U50" s="139"/>
      <c r="V50" s="54"/>
      <c r="W50" s="36"/>
      <c r="AB50" s="140"/>
      <c r="AD50" s="9" t="s">
        <v>231</v>
      </c>
      <c r="AE50" s="9" t="str">
        <f t="shared" si="0"/>
        <v>4_RC4</v>
      </c>
    </row>
    <row r="51" spans="9:31" x14ac:dyDescent="0.25">
      <c r="I51" s="10"/>
      <c r="L51" s="32"/>
      <c r="M51" s="9" t="s">
        <v>227</v>
      </c>
      <c r="P51" s="10">
        <f>IF($AD$4="AC",0,VLOOKUP(AE51,EI_IR_retraite_ID!$O$15:$Q$24,3,FALSE))</f>
        <v>0</v>
      </c>
      <c r="S51" s="37"/>
      <c r="U51" s="139"/>
      <c r="W51" s="36"/>
      <c r="X51" s="134"/>
      <c r="Y51" s="64"/>
      <c r="AA51" s="134"/>
      <c r="AB51" s="142"/>
      <c r="AD51" s="9" t="s">
        <v>232</v>
      </c>
      <c r="AE51" s="9" t="str">
        <f t="shared" si="0"/>
        <v>4_RC5</v>
      </c>
    </row>
    <row r="52" spans="9:31" x14ac:dyDescent="0.25">
      <c r="I52" s="10"/>
      <c r="L52" s="32"/>
      <c r="M52" s="9" t="s">
        <v>55</v>
      </c>
      <c r="P52" s="10">
        <f>IF($AD$4="AC",0,VLOOKUP(AE52,EI_IR_retraite_ID!$O$15:$Q$24,3,FALSE))</f>
        <v>0</v>
      </c>
      <c r="S52" s="37"/>
      <c r="U52" s="139"/>
      <c r="AB52" s="140"/>
      <c r="AD52" s="9" t="s">
        <v>233</v>
      </c>
      <c r="AE52" s="9" t="str">
        <f t="shared" si="0"/>
        <v>4_RC6</v>
      </c>
    </row>
    <row r="53" spans="9:31" x14ac:dyDescent="0.25">
      <c r="I53" s="10"/>
      <c r="L53" s="32"/>
      <c r="S53" s="37"/>
      <c r="U53" s="139"/>
      <c r="AB53" s="140"/>
    </row>
    <row r="54" spans="9:31" x14ac:dyDescent="0.25">
      <c r="I54" s="10"/>
      <c r="L54" s="32"/>
      <c r="S54" s="37"/>
      <c r="U54" s="139"/>
      <c r="AB54" s="140"/>
    </row>
    <row r="55" spans="9:31" x14ac:dyDescent="0.25">
      <c r="I55" s="10"/>
      <c r="L55" s="32"/>
      <c r="M55" s="54" t="s">
        <v>177</v>
      </c>
      <c r="P55" s="36">
        <f>IF($AD$4="AC",0,VLOOKUP(AE55,EI_IR_retraite_ID!$O$15:$Q$24,3,FALSE))</f>
        <v>1031</v>
      </c>
      <c r="S55" s="37"/>
      <c r="T55" s="33"/>
      <c r="U55" s="139"/>
      <c r="V55" s="54" t="s">
        <v>177</v>
      </c>
      <c r="Y55" s="36">
        <f>IFERROR(VLOOKUP(AE55,EI_IR_retraite_ID!$O$15:$Q$24,3,FALSE),0)</f>
        <v>1031</v>
      </c>
      <c r="AB55" s="140"/>
      <c r="AD55" s="9" t="s">
        <v>234</v>
      </c>
      <c r="AE55" s="9" t="str">
        <f>$AD$4&amp;"_"&amp;AD55</f>
        <v>4_ID</v>
      </c>
    </row>
    <row r="56" spans="9:31" ht="15.75" thickBot="1" x14ac:dyDescent="0.3">
      <c r="I56" s="10"/>
      <c r="L56" s="50"/>
      <c r="M56" s="131"/>
      <c r="N56" s="131"/>
      <c r="O56" s="131"/>
      <c r="P56" s="131"/>
      <c r="Q56" s="131"/>
      <c r="R56" s="131"/>
      <c r="S56" s="132"/>
      <c r="T56" s="33"/>
      <c r="U56" s="143"/>
      <c r="V56" s="144"/>
      <c r="W56" s="144"/>
      <c r="X56" s="144"/>
      <c r="Y56" s="144"/>
      <c r="Z56" s="144"/>
      <c r="AA56" s="144"/>
      <c r="AB56" s="145"/>
    </row>
    <row r="57" spans="9:31" x14ac:dyDescent="0.25">
      <c r="I57" s="10"/>
    </row>
    <row r="58" spans="9:31" ht="15.75" thickBot="1" x14ac:dyDescent="0.3">
      <c r="M58" s="54"/>
      <c r="N58" s="64"/>
    </row>
    <row r="59" spans="9:31" x14ac:dyDescent="0.25">
      <c r="L59" s="15"/>
      <c r="M59" s="16" t="s">
        <v>10</v>
      </c>
      <c r="N59" s="17"/>
      <c r="O59" s="17"/>
      <c r="P59" s="17"/>
      <c r="Q59" s="17"/>
      <c r="R59" s="17"/>
      <c r="S59" s="18"/>
      <c r="U59" s="15"/>
      <c r="V59" s="16" t="s">
        <v>10</v>
      </c>
      <c r="W59" s="17"/>
      <c r="X59" s="17"/>
      <c r="Y59" s="17"/>
      <c r="Z59" s="17"/>
      <c r="AA59" s="17"/>
      <c r="AB59" s="18"/>
    </row>
    <row r="60" spans="9:31" x14ac:dyDescent="0.25">
      <c r="L60" s="20"/>
      <c r="N60" s="24" t="s">
        <v>19</v>
      </c>
      <c r="O60" s="24" t="s">
        <v>18</v>
      </c>
      <c r="P60" s="24" t="s">
        <v>178</v>
      </c>
      <c r="S60" s="22"/>
      <c r="U60" s="20"/>
      <c r="W60" s="24" t="s">
        <v>19</v>
      </c>
      <c r="X60" s="24" t="s">
        <v>18</v>
      </c>
      <c r="Y60" s="24" t="s">
        <v>178</v>
      </c>
      <c r="AB60" s="22"/>
    </row>
    <row r="61" spans="9:31" x14ac:dyDescent="0.25">
      <c r="L61" s="20"/>
      <c r="M61" s="9" t="s">
        <v>179</v>
      </c>
      <c r="N61" s="66">
        <f ca="1">IFERROR(N27+N70,0)</f>
        <v>374435.54307116102</v>
      </c>
      <c r="O61" s="63">
        <v>6.8000000000000005E-2</v>
      </c>
      <c r="P61" s="66">
        <f ca="1">+O61*N61</f>
        <v>25461.61692883895</v>
      </c>
      <c r="S61" s="22"/>
      <c r="U61" s="20"/>
      <c r="V61" s="9" t="s">
        <v>179</v>
      </c>
      <c r="W61" s="66">
        <f ca="1">IFERROR(W14+Y70,0)</f>
        <v>377317.41913213453</v>
      </c>
      <c r="X61" s="63">
        <v>6.8000000000000005E-2</v>
      </c>
      <c r="Y61" s="66">
        <f ca="1">+X61*W61</f>
        <v>25657.584500985151</v>
      </c>
      <c r="AB61" s="22"/>
    </row>
    <row r="62" spans="9:31" x14ac:dyDescent="0.25">
      <c r="L62" s="20"/>
      <c r="M62" s="9" t="s">
        <v>180</v>
      </c>
      <c r="N62" s="66">
        <f ca="1">+N61</f>
        <v>374435.54307116102</v>
      </c>
      <c r="O62" s="63">
        <v>2.9000000000000001E-2</v>
      </c>
      <c r="P62" s="66">
        <f ca="1">+O62*N62</f>
        <v>10858.63074906367</v>
      </c>
      <c r="S62" s="22"/>
      <c r="U62" s="20"/>
      <c r="V62" s="9" t="s">
        <v>180</v>
      </c>
      <c r="W62" s="66">
        <f ca="1">+W61</f>
        <v>377317.41913213453</v>
      </c>
      <c r="X62" s="63">
        <v>2.9000000000000001E-2</v>
      </c>
      <c r="Y62" s="66">
        <f ca="1">+X62*W62</f>
        <v>10942.205154831901</v>
      </c>
      <c r="AB62" s="22"/>
    </row>
    <row r="63" spans="9:31" x14ac:dyDescent="0.25">
      <c r="I63" s="10"/>
      <c r="L63" s="32"/>
      <c r="S63" s="35"/>
      <c r="U63" s="32"/>
      <c r="AB63" s="35"/>
    </row>
    <row r="64" spans="9:31" x14ac:dyDescent="0.25">
      <c r="L64" s="32"/>
      <c r="P64" s="36">
        <f ca="1">+SUM(P61:P62)</f>
        <v>36320.247677902618</v>
      </c>
      <c r="S64" s="37"/>
      <c r="T64" s="10"/>
      <c r="U64" s="32"/>
      <c r="Y64" s="36">
        <f ca="1">+SUM(Y61:Y62)</f>
        <v>36599.789655817054</v>
      </c>
      <c r="AB64" s="37"/>
    </row>
    <row r="65" spans="9:28" x14ac:dyDescent="0.25">
      <c r="I65" s="10"/>
      <c r="L65" s="32"/>
      <c r="N65" s="10"/>
      <c r="S65" s="37"/>
      <c r="U65" s="32"/>
      <c r="AB65" s="37"/>
    </row>
    <row r="66" spans="9:28" ht="15.75" thickBot="1" x14ac:dyDescent="0.3">
      <c r="L66" s="39"/>
      <c r="M66" s="26"/>
      <c r="N66" s="26"/>
      <c r="O66" s="26"/>
      <c r="P66" s="26"/>
      <c r="Q66" s="26"/>
      <c r="R66" s="26"/>
      <c r="S66" s="40"/>
      <c r="U66" s="39"/>
      <c r="V66" s="26"/>
      <c r="W66" s="26"/>
      <c r="X66" s="26"/>
      <c r="Y66" s="26"/>
      <c r="Z66" s="26"/>
      <c r="AA66" s="26"/>
      <c r="AB66" s="40"/>
    </row>
    <row r="68" spans="9:28" x14ac:dyDescent="0.25">
      <c r="I68" s="10"/>
      <c r="O68" s="10"/>
    </row>
    <row r="70" spans="9:28" x14ac:dyDescent="0.25">
      <c r="I70" s="10"/>
      <c r="L70" s="9" t="s">
        <v>326</v>
      </c>
      <c r="N70" s="10">
        <f ca="1">+N29+N16+P44+P46+P55+R25+P20+P32+N31</f>
        <v>42881.89957557615</v>
      </c>
      <c r="O70" s="10"/>
      <c r="P70" s="10"/>
      <c r="V70" s="9" t="s">
        <v>326</v>
      </c>
      <c r="Y70" s="10">
        <f ca="1">+W16+W32+Y40+Y46+Y55+AA25</f>
        <v>45763.775636549661</v>
      </c>
    </row>
    <row r="71" spans="9:28" x14ac:dyDescent="0.25">
      <c r="L71" s="9" t="s">
        <v>182</v>
      </c>
      <c r="N71" s="10">
        <f ca="1">+N16+N18+N29+P44+P46+P55+R25+N20+P20+P32+N31</f>
        <v>42984.739575576146</v>
      </c>
      <c r="O71" s="10"/>
      <c r="P71" s="65"/>
      <c r="Q71" s="65"/>
      <c r="V71" s="9" t="s">
        <v>183</v>
      </c>
      <c r="Y71" s="10">
        <f ca="1">+W16+W18+W32+Y40+Y46+Y55+AA25</f>
        <v>45866.615636549657</v>
      </c>
    </row>
    <row r="72" spans="9:28" x14ac:dyDescent="0.25">
      <c r="L72" s="9" t="s">
        <v>184</v>
      </c>
      <c r="N72" s="10">
        <f ca="1">+N16+N18+N29+P44+P46+P55+P64+R25+N20+P20+P32+N31</f>
        <v>79304.987253478757</v>
      </c>
      <c r="P72" s="65"/>
      <c r="Q72" s="65"/>
      <c r="V72" s="9" t="s">
        <v>185</v>
      </c>
      <c r="Y72" s="10">
        <f ca="1">+W16+W18+W32+Y40+Y46+Y55+Y64+AA25</f>
        <v>82466.405292366719</v>
      </c>
      <c r="Z72" s="10"/>
    </row>
    <row r="73" spans="9:28" x14ac:dyDescent="0.25">
      <c r="L73" s="9" t="s">
        <v>171</v>
      </c>
      <c r="N73" s="10">
        <f ca="1">P44</f>
        <v>7231.7088000000003</v>
      </c>
      <c r="V73" s="9" t="s">
        <v>171</v>
      </c>
      <c r="Y73" s="10">
        <f ca="1">Y40</f>
        <v>9044.1458609735091</v>
      </c>
    </row>
    <row r="74" spans="9:28" x14ac:dyDescent="0.25">
      <c r="L74" s="9" t="s">
        <v>186</v>
      </c>
      <c r="N74" s="10">
        <f>P46</f>
        <v>2420.0410000000002</v>
      </c>
      <c r="V74" s="9" t="s">
        <v>186</v>
      </c>
      <c r="Y74" s="10">
        <f>Y46</f>
        <v>2420</v>
      </c>
    </row>
    <row r="75" spans="9:28" x14ac:dyDescent="0.25">
      <c r="N75" s="10">
        <f ca="1">N16+N18+N29+P44+P46+P55+P64+R25+N20+P20+P32+N31</f>
        <v>79304.987253478757</v>
      </c>
      <c r="Y75" s="10">
        <f ca="1">Y64+Y55+Y46+Y40+W32+W16+W18+AA25</f>
        <v>82466.405292366704</v>
      </c>
    </row>
    <row r="76" spans="9:28" x14ac:dyDescent="0.25">
      <c r="L76" s="9" t="s">
        <v>402</v>
      </c>
      <c r="N76" s="10">
        <f ca="1">+N29+R25+P32+N16+N18+N20+P20+N31</f>
        <v>32301.989775576152</v>
      </c>
    </row>
    <row r="77" spans="9:28" x14ac:dyDescent="0.25">
      <c r="L77" s="9" t="s">
        <v>403</v>
      </c>
      <c r="N77" s="10">
        <f ca="1">+N76+P64</f>
        <v>68622.237453478767</v>
      </c>
    </row>
    <row r="88" spans="3:9" s="33" customFormat="1" ht="47.25" customHeight="1" x14ac:dyDescent="0.25">
      <c r="C88" s="9"/>
      <c r="D88" s="9"/>
      <c r="E88" s="9"/>
      <c r="F88" s="9"/>
      <c r="G88" s="9"/>
      <c r="H88" s="9"/>
      <c r="I88" s="23"/>
    </row>
    <row r="89" spans="3:9" x14ac:dyDescent="0.25">
      <c r="I89" s="24"/>
    </row>
  </sheetData>
  <scenarios current="0" sqref="G21">
    <scenario name="EI_IS_H1" count="1" user="Fabien Bocci" comment="Créé par Fabien Bocci le 24/06/2022_x000a_Modifié par: Fabien Bocci le 24/06/2022">
      <inputCells r="G10" val="60000"/>
    </scenario>
    <scenario name="H2" locked="1" count="3" user="Fabien Bocci" comment="Créé par Fabien Bocci le 24/06/2022">
      <inputCells r="G10" val="120000"/>
      <inputCells r="G20" val="0" numFmtId="6"/>
      <inputCells r="G21" val="92299,2257339026"/>
    </scenario>
  </scenarios>
  <mergeCells count="6">
    <mergeCell ref="P13:R13"/>
    <mergeCell ref="Y13:AA13"/>
    <mergeCell ref="L2:S2"/>
    <mergeCell ref="L4:S4"/>
    <mergeCell ref="U4:AB4"/>
    <mergeCell ref="U2:AB2"/>
  </mergeCells>
  <phoneticPr fontId="53" type="noConversion"/>
  <pageMargins left="0.70866141732283472" right="0.70866141732283472" top="0.74803149606299213" bottom="0.74803149606299213" header="0.31496062992125984" footer="0.31496062992125984"/>
  <pageSetup scale="61" orientation="portrait" r:id="rId1"/>
  <headerFooter>
    <oddHeader>&amp;L&amp;G</oddHeader>
    <oddFooter>&amp;RDate d'impression : &amp;D</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F67BE-BA80-4F31-82F6-2F817B00946E}">
  <sheetPr>
    <tabColor theme="6"/>
  </sheetPr>
  <dimension ref="A1:Z378"/>
  <sheetViews>
    <sheetView topLeftCell="A44" workbookViewId="0">
      <selection activeCell="J14" sqref="J14"/>
    </sheetView>
  </sheetViews>
  <sheetFormatPr baseColWidth="10" defaultRowHeight="12.75" x14ac:dyDescent="0.2"/>
  <cols>
    <col min="1" max="1" width="26.140625" style="111" customWidth="1"/>
    <col min="2" max="2" width="9" style="111" customWidth="1"/>
    <col min="3" max="3" width="4.42578125" style="111" customWidth="1"/>
    <col min="4" max="4" width="71" customWidth="1"/>
    <col min="5" max="5" width="22.7109375" style="111" customWidth="1"/>
    <col min="13" max="14" width="26.140625" style="111" customWidth="1"/>
    <col min="15" max="15" width="17.85546875" customWidth="1"/>
    <col min="16" max="16" width="19" customWidth="1"/>
  </cols>
  <sheetData>
    <row r="1" spans="1:26" x14ac:dyDescent="0.2">
      <c r="J1" s="75"/>
      <c r="O1" s="111"/>
      <c r="P1" s="111"/>
      <c r="Q1" s="111"/>
      <c r="R1" s="111"/>
      <c r="S1" s="111"/>
      <c r="T1" s="111"/>
      <c r="U1" s="111"/>
      <c r="V1" s="111"/>
      <c r="W1" s="111"/>
      <c r="X1" s="111"/>
      <c r="Y1" s="111"/>
      <c r="Z1" s="111"/>
    </row>
    <row r="2" spans="1:26" x14ac:dyDescent="0.2">
      <c r="D2" t="s">
        <v>53</v>
      </c>
      <c r="E2" s="219">
        <v>41136</v>
      </c>
      <c r="O2" s="111"/>
      <c r="P2" s="111"/>
      <c r="Q2" s="111"/>
      <c r="R2" s="111"/>
      <c r="S2" s="111"/>
      <c r="T2" s="111"/>
      <c r="U2" s="111"/>
      <c r="V2" s="111"/>
      <c r="W2" s="111"/>
      <c r="X2" s="111"/>
      <c r="Y2" s="111"/>
      <c r="Z2" s="111"/>
    </row>
    <row r="3" spans="1:26" x14ac:dyDescent="0.2">
      <c r="O3" s="111"/>
      <c r="P3" s="111"/>
      <c r="Q3" s="111"/>
      <c r="R3" s="111"/>
      <c r="S3" s="111"/>
      <c r="T3" s="111"/>
      <c r="U3" s="111"/>
      <c r="V3" s="111"/>
      <c r="W3" s="111"/>
      <c r="X3" s="111"/>
      <c r="Y3" s="111"/>
      <c r="Z3" s="111"/>
    </row>
    <row r="4" spans="1:26" x14ac:dyDescent="0.2">
      <c r="O4" s="111"/>
      <c r="P4" s="111"/>
      <c r="Q4" s="111"/>
      <c r="R4" s="111"/>
      <c r="S4" s="111"/>
      <c r="T4" s="111"/>
      <c r="U4" s="111"/>
      <c r="V4" s="111"/>
      <c r="W4" s="111"/>
      <c r="X4" s="111"/>
      <c r="Y4" s="111"/>
      <c r="Z4" s="111"/>
    </row>
    <row r="5" spans="1:26" ht="11.25" customHeight="1" x14ac:dyDescent="0.2">
      <c r="A5" s="209"/>
      <c r="B5" s="209"/>
      <c r="C5" s="209"/>
      <c r="D5" s="210"/>
      <c r="E5" s="209"/>
      <c r="F5" s="210"/>
      <c r="G5" s="210"/>
      <c r="H5" s="210"/>
      <c r="I5" s="210"/>
      <c r="J5" s="210"/>
      <c r="K5" s="210"/>
      <c r="L5" s="210"/>
      <c r="O5" s="111"/>
      <c r="P5" s="111"/>
      <c r="Q5" s="111"/>
      <c r="R5" s="111"/>
      <c r="S5" s="111"/>
      <c r="T5" s="111"/>
      <c r="U5" s="111"/>
      <c r="V5" s="111"/>
      <c r="W5" s="111"/>
      <c r="X5" s="111"/>
      <c r="Y5" s="111"/>
      <c r="Z5" s="111"/>
    </row>
    <row r="6" spans="1:26" x14ac:dyDescent="0.2">
      <c r="A6" s="111" t="s">
        <v>220</v>
      </c>
      <c r="D6" t="s">
        <v>140</v>
      </c>
      <c r="E6" s="220">
        <f ca="1">EI_IR_cotisations!G21</f>
        <v>331553.6434955849</v>
      </c>
      <c r="O6" s="111"/>
      <c r="P6" s="111"/>
      <c r="Q6" s="111"/>
      <c r="R6" s="111"/>
      <c r="S6" s="111"/>
      <c r="T6" s="111"/>
      <c r="U6" s="111"/>
      <c r="V6" s="111"/>
      <c r="W6" s="111"/>
      <c r="X6" s="111"/>
      <c r="Y6" s="111"/>
      <c r="Z6" s="111"/>
    </row>
    <row r="7" spans="1:26" x14ac:dyDescent="0.2">
      <c r="D7" t="s">
        <v>156</v>
      </c>
      <c r="E7" s="219">
        <v>38916</v>
      </c>
      <c r="O7" s="111"/>
      <c r="P7" s="111"/>
      <c r="Q7" s="111"/>
      <c r="R7" s="111"/>
      <c r="S7" s="111"/>
      <c r="T7" s="111"/>
      <c r="U7" s="111"/>
      <c r="V7" s="111"/>
      <c r="W7" s="111"/>
      <c r="X7" s="111"/>
      <c r="Y7" s="111"/>
      <c r="Z7" s="111"/>
    </row>
    <row r="8" spans="1:26" ht="13.5" thickBot="1" x14ac:dyDescent="0.25">
      <c r="P8" s="113"/>
      <c r="Q8" s="113"/>
      <c r="R8" s="113"/>
      <c r="S8" s="113"/>
      <c r="T8" s="113"/>
    </row>
    <row r="9" spans="1:26" ht="14.25" thickTop="1" thickBot="1" x14ac:dyDescent="0.25">
      <c r="B9" s="111" t="s">
        <v>332</v>
      </c>
      <c r="D9" s="108" t="s">
        <v>54</v>
      </c>
      <c r="E9" s="221">
        <f>E10*$E$2</f>
        <v>534.76800000000003</v>
      </c>
      <c r="P9" s="113"/>
      <c r="Q9" s="113"/>
      <c r="R9" s="113"/>
      <c r="S9" s="113"/>
      <c r="T9" s="113"/>
    </row>
    <row r="10" spans="1:26" ht="13.5" thickTop="1" x14ac:dyDescent="0.2">
      <c r="E10" s="222">
        <v>1.2999999999999999E-2</v>
      </c>
      <c r="M10"/>
      <c r="P10" s="113"/>
      <c r="Q10" s="113"/>
      <c r="R10" s="113"/>
      <c r="S10" s="113"/>
      <c r="T10" s="113"/>
    </row>
    <row r="11" spans="1:26" ht="13.5" thickBot="1" x14ac:dyDescent="0.25">
      <c r="M11"/>
      <c r="P11" s="113"/>
      <c r="Q11" s="113"/>
      <c r="R11" s="113"/>
      <c r="S11" s="113"/>
      <c r="T11" s="113"/>
    </row>
    <row r="12" spans="1:26" ht="14.25" thickTop="1" thickBot="1" x14ac:dyDescent="0.25">
      <c r="B12" s="111" t="s">
        <v>333</v>
      </c>
      <c r="D12" s="108" t="s">
        <v>198</v>
      </c>
      <c r="E12" s="221">
        <f ca="1">H18</f>
        <v>12063.960000000001</v>
      </c>
      <c r="M12"/>
      <c r="N12" s="247" t="s">
        <v>389</v>
      </c>
      <c r="O12" s="248"/>
      <c r="P12" s="249"/>
      <c r="Q12" s="250"/>
      <c r="R12" s="113"/>
      <c r="S12" s="113"/>
      <c r="T12" s="113"/>
    </row>
    <row r="13" spans="1:26" ht="13.5" thickTop="1" x14ac:dyDescent="0.2">
      <c r="D13" s="72"/>
      <c r="E13" s="81"/>
      <c r="M13"/>
      <c r="N13" s="251">
        <f>EI_IR_cotisations!AD4</f>
        <v>4</v>
      </c>
      <c r="P13" s="113"/>
      <c r="Q13" s="252"/>
      <c r="R13" s="113"/>
      <c r="S13" s="113"/>
      <c r="T13" s="113"/>
    </row>
    <row r="14" spans="1:26" x14ac:dyDescent="0.2">
      <c r="D14" s="72"/>
      <c r="E14" s="81" t="s">
        <v>52</v>
      </c>
      <c r="F14" s="111" t="s">
        <v>56</v>
      </c>
      <c r="G14" t="s">
        <v>207</v>
      </c>
      <c r="H14" t="s">
        <v>221</v>
      </c>
      <c r="M14"/>
      <c r="N14" s="253" t="s">
        <v>419</v>
      </c>
      <c r="O14" t="s">
        <v>420</v>
      </c>
      <c r="P14" s="113" t="s">
        <v>421</v>
      </c>
      <c r="Q14" s="252" t="s">
        <v>383</v>
      </c>
      <c r="R14" s="113"/>
      <c r="S14" s="113"/>
      <c r="T14" s="113"/>
    </row>
    <row r="15" spans="1:26" x14ac:dyDescent="0.2">
      <c r="E15" s="223">
        <v>0</v>
      </c>
      <c r="F15" s="106">
        <f>E15</f>
        <v>0</v>
      </c>
      <c r="G15" s="78">
        <v>0</v>
      </c>
      <c r="H15" s="106">
        <f>F15*G15</f>
        <v>0</v>
      </c>
      <c r="M15"/>
      <c r="N15" s="253" t="s">
        <v>234</v>
      </c>
      <c r="O15" t="str">
        <f t="shared" ref="O15:O24" si="0">$N$13&amp;"_"&amp;N15</f>
        <v>4_ID</v>
      </c>
      <c r="P15" t="str">
        <f t="shared" ref="P15:P24" si="1">IFERROR(VLOOKUP(O15,B:E,3,FALSE),0)</f>
        <v>INVALIDITE DECES</v>
      </c>
      <c r="Q15" s="254">
        <f t="shared" ref="Q15" si="2">IFERROR(VLOOKUP(O15,B:E,4,FALSE),0)</f>
        <v>1031</v>
      </c>
      <c r="R15" s="113"/>
      <c r="S15" s="113"/>
      <c r="T15" s="113"/>
    </row>
    <row r="16" spans="1:26" x14ac:dyDescent="0.2">
      <c r="E16" s="223">
        <f>E7</f>
        <v>38916</v>
      </c>
      <c r="F16" s="106">
        <f ca="1">MIN(E6,E16)</f>
        <v>38916</v>
      </c>
      <c r="G16" s="78">
        <v>7.0000000000000007E-2</v>
      </c>
      <c r="H16" s="106">
        <f ca="1">F16*G16</f>
        <v>2724.1200000000003</v>
      </c>
      <c r="M16"/>
      <c r="N16" s="253" t="s">
        <v>385</v>
      </c>
      <c r="O16" t="str">
        <f t="shared" si="0"/>
        <v>4_RB1</v>
      </c>
      <c r="P16">
        <f t="shared" si="1"/>
        <v>0</v>
      </c>
      <c r="Q16" s="254">
        <f>IFERROR(VLOOKUP(O16,B:E,4,FALSE),0)</f>
        <v>0</v>
      </c>
      <c r="R16" s="113"/>
      <c r="S16" s="113"/>
      <c r="T16" s="113"/>
    </row>
    <row r="17" spans="1:20" x14ac:dyDescent="0.2">
      <c r="E17" s="223">
        <f>E16*4</f>
        <v>155664</v>
      </c>
      <c r="F17" s="106">
        <f ca="1">MAX(MIN(E6,4*E16)-E16,0)</f>
        <v>116748</v>
      </c>
      <c r="G17" s="78">
        <v>0.08</v>
      </c>
      <c r="H17" s="106">
        <f ca="1">F17*G17</f>
        <v>9339.84</v>
      </c>
      <c r="M17"/>
      <c r="N17" s="253" t="s">
        <v>386</v>
      </c>
      <c r="O17" t="str">
        <f t="shared" si="0"/>
        <v>4_RB2</v>
      </c>
      <c r="P17">
        <f t="shared" si="1"/>
        <v>0</v>
      </c>
      <c r="Q17" s="254">
        <f t="shared" ref="Q17" si="3">IFERROR(VLOOKUP(O17,B:E,4,FALSE),0)</f>
        <v>0</v>
      </c>
      <c r="R17" s="113"/>
      <c r="S17" s="113"/>
      <c r="T17" s="113"/>
    </row>
    <row r="18" spans="1:20" x14ac:dyDescent="0.2">
      <c r="F18" s="120">
        <f ca="1">SUM(F15:F17)</f>
        <v>155664</v>
      </c>
      <c r="G18" s="121"/>
      <c r="H18" s="120">
        <f ca="1">SUM(H15:H17)</f>
        <v>12063.960000000001</v>
      </c>
      <c r="M18"/>
      <c r="N18" s="253" t="s">
        <v>228</v>
      </c>
      <c r="O18" t="str">
        <f t="shared" si="0"/>
        <v>4_RC1</v>
      </c>
      <c r="P18" t="str">
        <f t="shared" si="1"/>
        <v>COTISATION SECTION C</v>
      </c>
      <c r="Q18" s="254">
        <f t="shared" ref="Q18:Q24" si="4">IFERROR(VLOOKUP(O18,B:E,4,FALSE),0)</f>
        <v>4.1000000000000002E-2</v>
      </c>
      <c r="R18" s="113"/>
      <c r="S18" s="113"/>
      <c r="T18" s="113"/>
    </row>
    <row r="19" spans="1:20" ht="13.5" thickBot="1" x14ac:dyDescent="0.25">
      <c r="M19"/>
      <c r="N19" s="253" t="s">
        <v>229</v>
      </c>
      <c r="O19" t="str">
        <f t="shared" si="0"/>
        <v>4_RC2</v>
      </c>
      <c r="P19" t="str">
        <f t="shared" si="1"/>
        <v>COTISATION SECTION B</v>
      </c>
      <c r="Q19" s="254">
        <f t="shared" si="4"/>
        <v>2420</v>
      </c>
      <c r="R19" s="113"/>
      <c r="S19" s="113"/>
      <c r="T19" s="113"/>
    </row>
    <row r="20" spans="1:20" ht="14.25" thickTop="1" thickBot="1" x14ac:dyDescent="0.25">
      <c r="D20" s="112" t="s">
        <v>206</v>
      </c>
      <c r="E20" s="224">
        <f ca="1">E9+E12</f>
        <v>12598.728000000001</v>
      </c>
      <c r="M20"/>
      <c r="N20" s="253" t="s">
        <v>230</v>
      </c>
      <c r="O20" t="str">
        <f t="shared" si="0"/>
        <v>4_RC3</v>
      </c>
      <c r="P20">
        <f t="shared" si="1"/>
        <v>0</v>
      </c>
      <c r="Q20" s="254">
        <f t="shared" si="4"/>
        <v>0</v>
      </c>
      <c r="R20" s="113"/>
      <c r="S20" s="113"/>
      <c r="T20" s="113"/>
    </row>
    <row r="21" spans="1:20" ht="13.5" thickTop="1" x14ac:dyDescent="0.2">
      <c r="M21"/>
      <c r="N21" s="253" t="s">
        <v>231</v>
      </c>
      <c r="O21" t="str">
        <f t="shared" si="0"/>
        <v>4_RC4</v>
      </c>
      <c r="P21">
        <f t="shared" si="1"/>
        <v>0</v>
      </c>
      <c r="Q21" s="254">
        <f t="shared" si="4"/>
        <v>0</v>
      </c>
      <c r="R21" s="113"/>
      <c r="S21" s="113"/>
      <c r="T21" s="113"/>
    </row>
    <row r="22" spans="1:20" x14ac:dyDescent="0.2">
      <c r="M22"/>
      <c r="N22" s="253" t="s">
        <v>232</v>
      </c>
      <c r="O22" t="str">
        <f t="shared" si="0"/>
        <v>4_RC5</v>
      </c>
      <c r="P22">
        <f t="shared" si="1"/>
        <v>0</v>
      </c>
      <c r="Q22" s="254">
        <f t="shared" si="4"/>
        <v>0</v>
      </c>
      <c r="R22" s="113"/>
      <c r="S22" s="113"/>
      <c r="T22" s="113"/>
    </row>
    <row r="23" spans="1:20" x14ac:dyDescent="0.2">
      <c r="M23"/>
      <c r="N23" s="253" t="s">
        <v>233</v>
      </c>
      <c r="O23" t="str">
        <f t="shared" si="0"/>
        <v>4_RC6</v>
      </c>
      <c r="P23">
        <f t="shared" si="1"/>
        <v>0</v>
      </c>
      <c r="Q23" s="254">
        <f t="shared" si="4"/>
        <v>0</v>
      </c>
      <c r="R23" s="113"/>
      <c r="S23" s="113"/>
      <c r="T23" s="113"/>
    </row>
    <row r="24" spans="1:20" ht="13.5" thickBot="1" x14ac:dyDescent="0.25">
      <c r="A24" s="209"/>
      <c r="B24" s="209"/>
      <c r="C24" s="209"/>
      <c r="D24" s="210"/>
      <c r="E24" s="209"/>
      <c r="F24" s="210"/>
      <c r="G24" s="210"/>
      <c r="H24" s="210"/>
      <c r="I24" s="210"/>
      <c r="J24" s="210"/>
      <c r="K24" s="210"/>
      <c r="L24" s="210"/>
      <c r="M24"/>
      <c r="N24" s="255" t="s">
        <v>23</v>
      </c>
      <c r="O24" s="256" t="str">
        <f t="shared" si="0"/>
        <v>4_URPS</v>
      </c>
      <c r="P24" s="256">
        <f t="shared" si="1"/>
        <v>0</v>
      </c>
      <c r="Q24" s="257">
        <f t="shared" si="4"/>
        <v>0</v>
      </c>
      <c r="R24" s="113"/>
      <c r="S24" s="113"/>
      <c r="T24" s="113"/>
    </row>
    <row r="25" spans="1:20" x14ac:dyDescent="0.2">
      <c r="A25" s="111" t="s">
        <v>219</v>
      </c>
      <c r="D25" t="s">
        <v>140</v>
      </c>
      <c r="E25" s="220">
        <f ca="1">EI_IR_cotisations!G21</f>
        <v>331553.6434955849</v>
      </c>
      <c r="M25"/>
      <c r="P25" s="113"/>
      <c r="Q25" s="113"/>
      <c r="R25" s="113"/>
      <c r="S25" s="113"/>
      <c r="T25" s="113"/>
    </row>
    <row r="26" spans="1:20" ht="13.5" thickBot="1" x14ac:dyDescent="0.25">
      <c r="M26"/>
      <c r="P26" s="113"/>
      <c r="Q26" s="113"/>
      <c r="R26" s="113"/>
      <c r="S26" s="113"/>
      <c r="T26" s="113"/>
    </row>
    <row r="27" spans="1:20" ht="14.25" thickTop="1" thickBot="1" x14ac:dyDescent="0.25">
      <c r="B27" s="111" t="s">
        <v>334</v>
      </c>
      <c r="D27" s="108" t="s">
        <v>54</v>
      </c>
      <c r="E27" s="221">
        <f>E28*$E$2</f>
        <v>534.76800000000003</v>
      </c>
      <c r="M27"/>
      <c r="P27" s="113"/>
      <c r="Q27" s="113"/>
      <c r="R27" s="113"/>
      <c r="S27" s="113"/>
      <c r="T27" s="113"/>
    </row>
    <row r="28" spans="1:20" ht="13.5" thickTop="1" x14ac:dyDescent="0.2">
      <c r="E28" s="222">
        <v>1.2999999999999999E-2</v>
      </c>
      <c r="M28"/>
      <c r="P28" s="113"/>
      <c r="Q28" s="113"/>
      <c r="R28" s="113"/>
      <c r="S28" s="113"/>
      <c r="T28" s="113"/>
    </row>
    <row r="29" spans="1:20" ht="13.5" thickBot="1" x14ac:dyDescent="0.25">
      <c r="M29"/>
      <c r="P29" s="113"/>
      <c r="Q29" s="113"/>
      <c r="R29" s="113"/>
      <c r="S29" s="113"/>
      <c r="T29" s="113"/>
    </row>
    <row r="30" spans="1:20" ht="14.25" thickTop="1" thickBot="1" x14ac:dyDescent="0.25">
      <c r="B30" s="111" t="s">
        <v>335</v>
      </c>
      <c r="D30" s="108" t="s">
        <v>198</v>
      </c>
      <c r="E30" s="221">
        <f ca="1">H35</f>
        <v>17277.120000000003</v>
      </c>
      <c r="M30"/>
      <c r="P30" s="113"/>
      <c r="Q30" s="113"/>
      <c r="R30" s="113"/>
      <c r="S30" s="113"/>
      <c r="T30" s="113"/>
    </row>
    <row r="31" spans="1:20" ht="13.5" thickTop="1" x14ac:dyDescent="0.2">
      <c r="D31" s="72"/>
      <c r="E31" s="81"/>
      <c r="M31"/>
      <c r="P31" s="113"/>
      <c r="Q31" s="113"/>
      <c r="R31" s="113"/>
      <c r="S31" s="113"/>
      <c r="T31" s="113"/>
    </row>
    <row r="32" spans="1:20" x14ac:dyDescent="0.2">
      <c r="D32" s="72"/>
      <c r="E32" s="81" t="s">
        <v>52</v>
      </c>
      <c r="F32" s="111" t="s">
        <v>56</v>
      </c>
      <c r="G32" t="s">
        <v>207</v>
      </c>
      <c r="H32" t="s">
        <v>221</v>
      </c>
      <c r="M32"/>
      <c r="P32" s="113"/>
      <c r="Q32" s="113"/>
      <c r="R32" s="113"/>
      <c r="S32" s="113"/>
      <c r="T32" s="113"/>
    </row>
    <row r="33" spans="1:20" x14ac:dyDescent="0.2">
      <c r="E33" s="223">
        <v>0</v>
      </c>
      <c r="F33" s="106">
        <f>E33*G33</f>
        <v>0</v>
      </c>
      <c r="G33" s="78">
        <v>0</v>
      </c>
      <c r="H33" s="106">
        <f>F33*G33</f>
        <v>0</v>
      </c>
      <c r="M33"/>
      <c r="P33" s="113"/>
      <c r="Q33" s="113"/>
      <c r="R33" s="113"/>
      <c r="S33" s="113"/>
      <c r="T33" s="113"/>
    </row>
    <row r="34" spans="1:20" x14ac:dyDescent="0.2">
      <c r="E34" s="223">
        <f>E2</f>
        <v>41136</v>
      </c>
      <c r="F34" s="106">
        <f ca="1">MAX(MIN(E25,4*E34)-E34,0)</f>
        <v>123408</v>
      </c>
      <c r="G34" s="78">
        <v>0.14000000000000001</v>
      </c>
      <c r="H34" s="106">
        <f ca="1">F34*G34</f>
        <v>17277.120000000003</v>
      </c>
      <c r="M34"/>
      <c r="P34" s="113"/>
      <c r="Q34" s="113"/>
      <c r="R34" s="113"/>
      <c r="S34" s="113"/>
      <c r="T34" s="113"/>
    </row>
    <row r="35" spans="1:20" x14ac:dyDescent="0.2">
      <c r="E35" s="223"/>
      <c r="F35" s="106"/>
      <c r="H35" s="106">
        <f ca="1">SUM(H33:H34)</f>
        <v>17277.120000000003</v>
      </c>
      <c r="M35"/>
      <c r="P35" s="113"/>
      <c r="Q35" s="113"/>
      <c r="R35" s="113"/>
      <c r="S35" s="113"/>
      <c r="T35" s="113"/>
    </row>
    <row r="36" spans="1:20" x14ac:dyDescent="0.2">
      <c r="M36"/>
      <c r="P36" s="113"/>
      <c r="Q36" s="113"/>
      <c r="R36" s="113"/>
      <c r="S36" s="113"/>
      <c r="T36" s="113"/>
    </row>
    <row r="37" spans="1:20" ht="13.5" thickBot="1" x14ac:dyDescent="0.25">
      <c r="M37"/>
      <c r="P37" s="113"/>
      <c r="Q37" s="113"/>
      <c r="R37" s="113"/>
      <c r="S37" s="113"/>
      <c r="T37" s="113"/>
    </row>
    <row r="38" spans="1:20" ht="14.25" thickTop="1" thickBot="1" x14ac:dyDescent="0.25">
      <c r="D38" s="112" t="s">
        <v>206</v>
      </c>
      <c r="E38" s="224">
        <f ca="1">E27+E30</f>
        <v>17811.888000000003</v>
      </c>
      <c r="M38"/>
      <c r="P38" s="113"/>
      <c r="Q38" s="113"/>
      <c r="R38" s="113"/>
      <c r="S38" s="113"/>
      <c r="T38" s="113"/>
    </row>
    <row r="39" spans="1:20" ht="13.5" thickTop="1" x14ac:dyDescent="0.2">
      <c r="M39"/>
      <c r="P39" s="113"/>
      <c r="Q39" s="113"/>
      <c r="R39" s="113"/>
      <c r="S39" s="113"/>
      <c r="T39" s="113"/>
    </row>
    <row r="40" spans="1:20" x14ac:dyDescent="0.2">
      <c r="M40"/>
      <c r="P40" s="113"/>
      <c r="Q40" s="113"/>
      <c r="R40" s="113"/>
      <c r="S40" s="113"/>
      <c r="T40" s="113"/>
    </row>
    <row r="41" spans="1:20" x14ac:dyDescent="0.2">
      <c r="M41"/>
      <c r="P41" s="113"/>
      <c r="Q41" s="113"/>
      <c r="R41" s="113"/>
      <c r="S41" s="113"/>
      <c r="T41" s="113"/>
    </row>
    <row r="42" spans="1:20" x14ac:dyDescent="0.2">
      <c r="M42"/>
      <c r="P42" s="113"/>
      <c r="Q42" s="113"/>
      <c r="R42" s="113"/>
      <c r="S42" s="113"/>
      <c r="T42" s="113"/>
    </row>
    <row r="43" spans="1:20" x14ac:dyDescent="0.2">
      <c r="M43"/>
      <c r="P43" s="113"/>
      <c r="Q43" s="113"/>
      <c r="R43" s="113"/>
      <c r="S43" s="113"/>
      <c r="T43" s="113"/>
    </row>
    <row r="44" spans="1:20" x14ac:dyDescent="0.2">
      <c r="A44" s="209"/>
      <c r="B44" s="209"/>
      <c r="C44" s="209"/>
      <c r="D44" s="210"/>
      <c r="E44" s="209"/>
      <c r="F44" s="210"/>
      <c r="G44" s="210"/>
      <c r="H44" s="210"/>
      <c r="I44" s="210"/>
      <c r="J44" s="210"/>
      <c r="K44" s="210"/>
      <c r="L44" s="210"/>
      <c r="M44"/>
      <c r="P44" s="113"/>
      <c r="Q44" s="113"/>
      <c r="R44" s="113"/>
      <c r="S44" s="113"/>
      <c r="T44" s="113"/>
    </row>
    <row r="45" spans="1:20" x14ac:dyDescent="0.2">
      <c r="A45" s="111" t="s">
        <v>12</v>
      </c>
      <c r="M45"/>
      <c r="P45" s="113"/>
      <c r="Q45" s="113"/>
      <c r="R45" s="113"/>
      <c r="S45" s="113"/>
      <c r="T45" s="113"/>
    </row>
    <row r="46" spans="1:20" x14ac:dyDescent="0.2">
      <c r="A46" s="111">
        <v>2</v>
      </c>
      <c r="D46" s="72"/>
      <c r="E46" s="81"/>
      <c r="F46" s="72"/>
      <c r="G46" s="82"/>
      <c r="M46"/>
      <c r="P46" s="113"/>
      <c r="Q46" s="113"/>
      <c r="R46" s="113"/>
      <c r="S46" s="113"/>
      <c r="T46" s="113"/>
    </row>
    <row r="47" spans="1:20" x14ac:dyDescent="0.2">
      <c r="D47" t="s">
        <v>140</v>
      </c>
      <c r="E47" s="220">
        <f ca="1">EI_IR_cotisations!G21</f>
        <v>331553.6434955849</v>
      </c>
      <c r="F47" s="72"/>
      <c r="G47" s="82"/>
      <c r="M47"/>
      <c r="P47" s="113"/>
      <c r="Q47" s="113"/>
      <c r="R47" s="113"/>
      <c r="S47" s="113"/>
      <c r="T47" s="113"/>
    </row>
    <row r="48" spans="1:20" x14ac:dyDescent="0.2">
      <c r="D48" s="72" t="s">
        <v>13</v>
      </c>
      <c r="E48" s="225">
        <v>1</v>
      </c>
      <c r="M48"/>
      <c r="P48" s="113"/>
      <c r="Q48" s="113"/>
      <c r="R48" s="113"/>
      <c r="S48" s="113"/>
      <c r="T48" s="113"/>
    </row>
    <row r="49" spans="2:20" ht="13.5" thickBot="1" x14ac:dyDescent="0.25">
      <c r="M49"/>
      <c r="P49" s="113"/>
      <c r="Q49" s="113"/>
      <c r="R49" s="113"/>
      <c r="S49" s="113"/>
      <c r="T49" s="113"/>
    </row>
    <row r="50" spans="2:20" ht="14.25" thickTop="1" thickBot="1" x14ac:dyDescent="0.25">
      <c r="B50" s="111" t="s">
        <v>387</v>
      </c>
      <c r="D50" s="107" t="s">
        <v>237</v>
      </c>
      <c r="E50" s="226">
        <v>1658</v>
      </c>
      <c r="M50"/>
      <c r="P50" s="113"/>
      <c r="Q50" s="113"/>
      <c r="R50" s="113"/>
      <c r="S50" s="113"/>
      <c r="T50" s="113"/>
    </row>
    <row r="51" spans="2:20" ht="13.5" thickTop="1" x14ac:dyDescent="0.2">
      <c r="M51"/>
      <c r="P51" s="113"/>
      <c r="Q51" s="113"/>
      <c r="R51" s="113"/>
      <c r="S51" s="113"/>
      <c r="T51" s="113"/>
    </row>
    <row r="52" spans="2:20" x14ac:dyDescent="0.2">
      <c r="B52" s="111" t="s">
        <v>388</v>
      </c>
      <c r="D52" s="107" t="s">
        <v>245</v>
      </c>
      <c r="E52" s="227">
        <f ca="1">E47*E53</f>
        <v>10278.162948363131</v>
      </c>
      <c r="M52"/>
      <c r="P52" s="113"/>
      <c r="Q52" s="113"/>
      <c r="R52" s="113"/>
      <c r="S52" s="113"/>
      <c r="T52" s="113"/>
    </row>
    <row r="53" spans="2:20" x14ac:dyDescent="0.2">
      <c r="E53" s="222">
        <v>3.1E-2</v>
      </c>
      <c r="M53"/>
      <c r="P53" s="113"/>
      <c r="Q53" s="113"/>
      <c r="R53" s="113"/>
      <c r="S53" s="113"/>
      <c r="T53" s="113"/>
    </row>
    <row r="54" spans="2:20" x14ac:dyDescent="0.2">
      <c r="M54"/>
      <c r="P54" s="113"/>
      <c r="Q54" s="113"/>
      <c r="R54" s="113"/>
      <c r="S54" s="113"/>
      <c r="T54" s="113"/>
    </row>
    <row r="55" spans="2:20" x14ac:dyDescent="0.2">
      <c r="M55"/>
      <c r="N55"/>
      <c r="P55" s="113"/>
      <c r="Q55" s="113"/>
      <c r="R55" s="113"/>
      <c r="S55" s="113"/>
      <c r="T55" s="113"/>
    </row>
    <row r="56" spans="2:20" ht="13.5" thickBot="1" x14ac:dyDescent="0.25">
      <c r="E56" s="123"/>
      <c r="M56"/>
      <c r="N56"/>
      <c r="P56" s="113"/>
      <c r="Q56" s="113"/>
      <c r="R56" s="113"/>
      <c r="S56" s="113"/>
      <c r="T56" s="113"/>
    </row>
    <row r="57" spans="2:20" ht="14.25" thickTop="1" thickBot="1" x14ac:dyDescent="0.25">
      <c r="B57" s="111" t="s">
        <v>330</v>
      </c>
      <c r="D57" s="108" t="s">
        <v>195</v>
      </c>
      <c r="E57" s="226">
        <v>145</v>
      </c>
      <c r="M57"/>
      <c r="N57"/>
      <c r="P57" s="113"/>
      <c r="Q57" s="113"/>
      <c r="R57" s="113"/>
      <c r="S57" s="113"/>
      <c r="T57" s="113"/>
    </row>
    <row r="58" spans="2:20" ht="14.25" thickTop="1" thickBot="1" x14ac:dyDescent="0.25">
      <c r="E58" s="123"/>
      <c r="M58"/>
      <c r="N58"/>
      <c r="P58" s="113"/>
      <c r="Q58" s="113"/>
      <c r="R58" s="113"/>
      <c r="S58" s="113"/>
      <c r="T58" s="113"/>
    </row>
    <row r="59" spans="2:20" ht="14.25" thickTop="1" thickBot="1" x14ac:dyDescent="0.25">
      <c r="B59" s="111" t="s">
        <v>331</v>
      </c>
      <c r="D59" s="107" t="s">
        <v>198</v>
      </c>
      <c r="E59" s="221">
        <f ca="1">L62</f>
        <v>20488.374</v>
      </c>
      <c r="M59"/>
      <c r="N59"/>
      <c r="P59" s="113"/>
      <c r="Q59" s="113"/>
      <c r="R59" s="113"/>
      <c r="S59" s="113"/>
      <c r="T59" s="113"/>
    </row>
    <row r="60" spans="2:20" ht="13.5" thickTop="1" x14ac:dyDescent="0.2">
      <c r="M60"/>
      <c r="N60"/>
      <c r="P60" s="113"/>
      <c r="Q60" s="113"/>
      <c r="R60" s="113"/>
      <c r="S60" s="113"/>
      <c r="T60" s="113"/>
    </row>
    <row r="61" spans="2:20" x14ac:dyDescent="0.2">
      <c r="D61" t="s">
        <v>194</v>
      </c>
      <c r="E61" s="103">
        <v>297549</v>
      </c>
      <c r="F61" s="81" t="s">
        <v>14</v>
      </c>
      <c r="G61" s="81" t="s">
        <v>15</v>
      </c>
      <c r="H61" s="81" t="s">
        <v>16</v>
      </c>
      <c r="I61" s="81" t="s">
        <v>17</v>
      </c>
      <c r="J61" s="81"/>
      <c r="L61" s="81" t="s">
        <v>197</v>
      </c>
      <c r="M61"/>
      <c r="N61"/>
      <c r="P61" s="113"/>
      <c r="Q61" s="113"/>
      <c r="R61" s="113"/>
      <c r="S61" s="113"/>
      <c r="T61" s="113"/>
    </row>
    <row r="62" spans="2:20" x14ac:dyDescent="0.2">
      <c r="D62" s="72"/>
      <c r="E62" s="81"/>
      <c r="F62" s="81">
        <v>1</v>
      </c>
      <c r="G62" s="81">
        <v>2</v>
      </c>
      <c r="H62" s="81">
        <v>3</v>
      </c>
      <c r="I62" s="81">
        <v>4</v>
      </c>
      <c r="J62" s="81"/>
      <c r="K62" s="85"/>
      <c r="L62" s="102">
        <f ca="1">+SUM(L63:L68)</f>
        <v>20488.374</v>
      </c>
      <c r="M62"/>
      <c r="N62"/>
      <c r="P62" s="113"/>
      <c r="Q62" s="113"/>
      <c r="R62" s="113"/>
      <c r="S62" s="113"/>
      <c r="T62" s="113"/>
    </row>
    <row r="63" spans="2:20" x14ac:dyDescent="0.2">
      <c r="D63" s="72"/>
      <c r="E63" s="228">
        <v>0</v>
      </c>
      <c r="F63" s="104">
        <v>4.5999999999999999E-2</v>
      </c>
      <c r="G63" s="104">
        <v>5.2999999999999999E-2</v>
      </c>
      <c r="H63" s="104">
        <v>0.06</v>
      </c>
      <c r="I63" s="104">
        <v>0.06</v>
      </c>
      <c r="J63" s="81">
        <v>2</v>
      </c>
      <c r="K63" s="105">
        <f ca="1">+IF($E$47&lt;E63,0,MIN($E$47-E63,E64-E63))</f>
        <v>42507</v>
      </c>
      <c r="L63" s="105">
        <f t="shared" ref="L63:L68" ca="1" si="5">IFERROR(K63*HLOOKUP($E$48,$F$62:$I$68,J63,FALSE),0)</f>
        <v>1955.3219999999999</v>
      </c>
      <c r="M63"/>
      <c r="N63"/>
      <c r="P63" s="113"/>
      <c r="Q63" s="113"/>
      <c r="R63" s="113"/>
      <c r="S63" s="113"/>
      <c r="T63" s="113"/>
    </row>
    <row r="64" spans="2:20" x14ac:dyDescent="0.2">
      <c r="D64" s="81" t="s">
        <v>189</v>
      </c>
      <c r="E64" s="229">
        <v>42507</v>
      </c>
      <c r="F64" s="104">
        <v>8.7999999999999995E-2</v>
      </c>
      <c r="G64" s="104">
        <v>0.10199999999999999</v>
      </c>
      <c r="H64" s="104">
        <v>0.11600000000000001</v>
      </c>
      <c r="I64" s="104">
        <v>0.11600000000000001</v>
      </c>
      <c r="J64" s="81">
        <v>3</v>
      </c>
      <c r="K64" s="105">
        <f ca="1">+IF($E$47&lt;E64,0,MIN($E$47-E64,E65-E64))</f>
        <v>42507</v>
      </c>
      <c r="L64" s="105">
        <f t="shared" ca="1" si="5"/>
        <v>3740.616</v>
      </c>
      <c r="M64"/>
      <c r="N64"/>
      <c r="P64" s="113"/>
      <c r="Q64" s="113"/>
      <c r="R64" s="113"/>
      <c r="S64" s="113"/>
      <c r="T64" s="113"/>
    </row>
    <row r="65" spans="1:20" x14ac:dyDescent="0.2">
      <c r="D65" s="81" t="s">
        <v>190</v>
      </c>
      <c r="E65" s="229">
        <v>85014</v>
      </c>
      <c r="F65" s="104">
        <v>0.10199999999999999</v>
      </c>
      <c r="G65" s="104">
        <v>0.1195</v>
      </c>
      <c r="H65" s="104">
        <v>0.13700000000000001</v>
      </c>
      <c r="I65" s="104">
        <v>0.13700000000000001</v>
      </c>
      <c r="J65" s="81">
        <v>4</v>
      </c>
      <c r="K65" s="105">
        <f ca="1">+IF($E$47&lt;E65,0,MIN($E$47-E65,E66-E65))</f>
        <v>42507</v>
      </c>
      <c r="L65" s="105">
        <f t="shared" ca="1" si="5"/>
        <v>4335.7139999999999</v>
      </c>
      <c r="M65"/>
      <c r="N65"/>
      <c r="P65" s="113"/>
      <c r="Q65" s="113"/>
      <c r="R65" s="113"/>
      <c r="S65" s="113"/>
      <c r="T65" s="113"/>
    </row>
    <row r="66" spans="1:20" x14ac:dyDescent="0.2">
      <c r="D66" s="81" t="s">
        <v>191</v>
      </c>
      <c r="E66" s="229">
        <v>127521</v>
      </c>
      <c r="F66" s="104">
        <v>0.11600000000000001</v>
      </c>
      <c r="G66" s="104">
        <v>0.13700000000000001</v>
      </c>
      <c r="H66" s="104">
        <v>0.158</v>
      </c>
      <c r="I66" s="104">
        <v>0.158</v>
      </c>
      <c r="J66" s="81">
        <v>5</v>
      </c>
      <c r="K66" s="105">
        <f ca="1">+IF($E$47&lt;E66,0,MIN($E$47-E66,E67-E66))</f>
        <v>42507</v>
      </c>
      <c r="L66" s="105">
        <f t="shared" ca="1" si="5"/>
        <v>4930.8119999999999</v>
      </c>
      <c r="M66"/>
      <c r="N66"/>
      <c r="P66" s="113"/>
      <c r="Q66" s="113"/>
      <c r="R66" s="113"/>
      <c r="S66" s="113"/>
      <c r="T66" s="113"/>
    </row>
    <row r="67" spans="1:20" x14ac:dyDescent="0.2">
      <c r="D67" s="81" t="s">
        <v>192</v>
      </c>
      <c r="E67" s="229">
        <v>170028</v>
      </c>
      <c r="F67" s="104">
        <v>0.13</v>
      </c>
      <c r="G67" s="104">
        <v>0.1545</v>
      </c>
      <c r="H67" s="104">
        <v>0.17899999999999999</v>
      </c>
      <c r="I67" s="104">
        <v>0.20399999999999999</v>
      </c>
      <c r="J67" s="81">
        <v>6</v>
      </c>
      <c r="K67" s="105">
        <f ca="1">+IF($E$47&lt;E67,0,MIN($E$47-E67,E68-E67))</f>
        <v>42507</v>
      </c>
      <c r="L67" s="105">
        <f t="shared" ca="1" si="5"/>
        <v>5525.91</v>
      </c>
      <c r="M67"/>
      <c r="N67"/>
      <c r="P67" s="113"/>
      <c r="Q67" s="113"/>
      <c r="R67" s="113"/>
      <c r="S67" s="113"/>
      <c r="T67" s="113"/>
    </row>
    <row r="68" spans="1:20" x14ac:dyDescent="0.2">
      <c r="D68" s="81" t="s">
        <v>193</v>
      </c>
      <c r="E68" s="229">
        <v>212535</v>
      </c>
      <c r="F68" s="82"/>
      <c r="G68" s="82"/>
      <c r="H68" s="82"/>
      <c r="I68" s="82"/>
      <c r="J68" s="81">
        <v>7</v>
      </c>
      <c r="K68" s="105">
        <f ca="1">+IF($E$47&lt;E68,0,MIN($E$47-E68,G73-E68))</f>
        <v>-212535</v>
      </c>
      <c r="L68" s="105">
        <f t="shared" ca="1" si="5"/>
        <v>0</v>
      </c>
      <c r="M68"/>
      <c r="N68"/>
      <c r="P68" s="113"/>
      <c r="Q68" s="113"/>
      <c r="R68" s="113"/>
      <c r="S68" s="113"/>
      <c r="T68" s="113"/>
    </row>
    <row r="69" spans="1:20" x14ac:dyDescent="0.2">
      <c r="M69"/>
      <c r="N69"/>
      <c r="P69" s="113"/>
      <c r="Q69" s="113"/>
      <c r="R69" s="113"/>
      <c r="S69" s="113"/>
      <c r="T69" s="113"/>
    </row>
    <row r="70" spans="1:20" ht="13.5" thickBot="1" x14ac:dyDescent="0.25">
      <c r="M70"/>
      <c r="N70"/>
      <c r="P70" s="113"/>
      <c r="Q70" s="113"/>
      <c r="R70" s="113"/>
      <c r="S70" s="113"/>
      <c r="T70" s="113"/>
    </row>
    <row r="71" spans="1:20" ht="14.25" thickTop="1" thickBot="1" x14ac:dyDescent="0.25">
      <c r="D71" s="112" t="s">
        <v>206</v>
      </c>
      <c r="E71" s="224">
        <f ca="1">E50+E57+E59</f>
        <v>22291.374</v>
      </c>
      <c r="M71"/>
      <c r="N71"/>
      <c r="P71" s="113"/>
      <c r="Q71" s="113"/>
      <c r="R71" s="113"/>
      <c r="S71" s="113"/>
      <c r="T71" s="113"/>
    </row>
    <row r="72" spans="1:20" ht="13.5" thickTop="1" x14ac:dyDescent="0.2">
      <c r="M72"/>
      <c r="N72"/>
      <c r="P72" s="113"/>
      <c r="Q72" s="113"/>
      <c r="R72" s="113"/>
      <c r="S72" s="113"/>
      <c r="T72" s="113"/>
    </row>
    <row r="73" spans="1:20" x14ac:dyDescent="0.2">
      <c r="A73" s="209"/>
      <c r="B73" s="209"/>
      <c r="C73" s="209"/>
      <c r="D73" s="210"/>
      <c r="E73" s="209"/>
      <c r="F73" s="210"/>
      <c r="G73" s="210"/>
      <c r="H73" s="210"/>
      <c r="I73" s="210"/>
      <c r="J73" s="210"/>
      <c r="K73" s="210"/>
      <c r="L73" s="210"/>
      <c r="M73"/>
      <c r="N73"/>
      <c r="P73" s="113"/>
      <c r="Q73" s="113"/>
      <c r="R73" s="113"/>
      <c r="S73" s="113"/>
      <c r="T73" s="113"/>
    </row>
    <row r="74" spans="1:20" x14ac:dyDescent="0.2">
      <c r="A74" s="111" t="s">
        <v>21</v>
      </c>
      <c r="D74" s="73" t="s">
        <v>21</v>
      </c>
      <c r="E74" s="111">
        <v>14</v>
      </c>
      <c r="H74" s="73"/>
      <c r="I74" s="73"/>
      <c r="J74" s="73"/>
      <c r="K74" s="73"/>
      <c r="L74" s="73"/>
      <c r="M74"/>
      <c r="N74"/>
      <c r="P74" s="113"/>
      <c r="Q74" s="113"/>
      <c r="R74" s="113"/>
      <c r="S74" s="113"/>
      <c r="T74" s="113"/>
    </row>
    <row r="75" spans="1:20" x14ac:dyDescent="0.2">
      <c r="A75" s="111">
        <v>14</v>
      </c>
      <c r="D75" t="s">
        <v>140</v>
      </c>
      <c r="E75" s="220">
        <f ca="1">EI_IR_cotisations!G21</f>
        <v>331553.6434955849</v>
      </c>
      <c r="H75" s="73"/>
      <c r="I75" s="73"/>
      <c r="J75" s="73"/>
      <c r="K75" s="73"/>
      <c r="L75" s="73"/>
      <c r="M75"/>
      <c r="N75"/>
      <c r="P75" s="113"/>
      <c r="Q75" s="113"/>
      <c r="R75" s="113"/>
      <c r="S75" s="113"/>
      <c r="T75" s="113"/>
    </row>
    <row r="76" spans="1:20" ht="13.5" thickBot="1" x14ac:dyDescent="0.25">
      <c r="H76" s="73"/>
      <c r="I76" s="73"/>
      <c r="J76" s="73"/>
      <c r="K76" s="73"/>
      <c r="L76" s="73"/>
      <c r="M76"/>
      <c r="N76"/>
      <c r="P76" s="113"/>
      <c r="Q76" s="113"/>
      <c r="R76" s="113"/>
      <c r="S76" s="113"/>
      <c r="T76" s="113"/>
    </row>
    <row r="77" spans="1:20" ht="14.25" thickTop="1" thickBot="1" x14ac:dyDescent="0.25">
      <c r="B77" s="111" t="s">
        <v>337</v>
      </c>
      <c r="D77" s="108" t="s">
        <v>199</v>
      </c>
      <c r="E77" s="230">
        <v>1840</v>
      </c>
      <c r="H77" s="73"/>
      <c r="I77" s="73"/>
      <c r="J77" s="73"/>
      <c r="K77" s="73"/>
      <c r="L77" s="73"/>
      <c r="M77"/>
      <c r="N77"/>
      <c r="P77" s="113"/>
      <c r="Q77" s="113"/>
      <c r="R77" s="113"/>
      <c r="S77" s="113"/>
      <c r="T77" s="113"/>
    </row>
    <row r="78" spans="1:20" ht="14.25" thickTop="1" thickBot="1" x14ac:dyDescent="0.25">
      <c r="D78" s="73"/>
      <c r="E78" s="231"/>
      <c r="H78" s="73"/>
      <c r="I78" s="73"/>
      <c r="J78" s="73"/>
      <c r="K78" s="73"/>
      <c r="L78" s="73"/>
      <c r="M78"/>
      <c r="N78"/>
      <c r="P78" s="113"/>
      <c r="Q78" s="113"/>
      <c r="R78" s="113"/>
      <c r="S78" s="113"/>
      <c r="T78" s="113"/>
    </row>
    <row r="79" spans="1:20" ht="14.25" thickTop="1" thickBot="1" x14ac:dyDescent="0.25">
      <c r="B79" s="111" t="s">
        <v>338</v>
      </c>
      <c r="D79" s="108" t="s">
        <v>54</v>
      </c>
      <c r="E79" s="230">
        <v>776</v>
      </c>
      <c r="M79"/>
      <c r="N79"/>
      <c r="P79" s="113"/>
      <c r="Q79" s="113"/>
      <c r="R79" s="113"/>
      <c r="S79" s="113"/>
      <c r="T79" s="113"/>
    </row>
    <row r="80" spans="1:20" ht="14.25" thickTop="1" thickBot="1" x14ac:dyDescent="0.25">
      <c r="E80" s="123"/>
      <c r="M80"/>
      <c r="N80"/>
      <c r="P80" s="113"/>
      <c r="Q80" s="113"/>
      <c r="R80" s="113"/>
      <c r="S80" s="113"/>
      <c r="T80" s="113"/>
    </row>
    <row r="81" spans="2:20" ht="14.25" thickTop="1" thickBot="1" x14ac:dyDescent="0.25">
      <c r="B81" s="111" t="s">
        <v>336</v>
      </c>
      <c r="D81" s="108" t="s">
        <v>238</v>
      </c>
      <c r="E81" s="230">
        <v>200</v>
      </c>
      <c r="M81"/>
      <c r="N81"/>
      <c r="P81" s="113"/>
      <c r="Q81" s="113"/>
      <c r="R81" s="113"/>
      <c r="S81" s="113"/>
      <c r="T81" s="113"/>
    </row>
    <row r="82" spans="2:20" ht="14.25" thickTop="1" thickBot="1" x14ac:dyDescent="0.25">
      <c r="M82"/>
      <c r="N82"/>
      <c r="P82" s="113"/>
      <c r="Q82" s="113"/>
      <c r="R82" s="113"/>
      <c r="S82" s="113"/>
      <c r="T82" s="113"/>
    </row>
    <row r="83" spans="2:20" ht="14.25" thickTop="1" thickBot="1" x14ac:dyDescent="0.25">
      <c r="B83" s="111" t="s">
        <v>422</v>
      </c>
      <c r="D83" s="108" t="s">
        <v>23</v>
      </c>
      <c r="E83" s="116">
        <f ca="1">MIN(F85,G85)</f>
        <v>205.68</v>
      </c>
      <c r="M83"/>
      <c r="N83"/>
      <c r="P83" s="113"/>
      <c r="Q83" s="113"/>
      <c r="R83" s="113"/>
      <c r="S83" s="113"/>
      <c r="T83" s="113"/>
    </row>
    <row r="84" spans="2:20" ht="13.5" thickTop="1" x14ac:dyDescent="0.2">
      <c r="D84" s="81" t="s">
        <v>202</v>
      </c>
      <c r="E84" s="111" t="s">
        <v>18</v>
      </c>
      <c r="G84" t="s">
        <v>240</v>
      </c>
      <c r="M84"/>
      <c r="N84"/>
      <c r="P84" s="113"/>
      <c r="Q84" s="113"/>
      <c r="R84" s="113"/>
      <c r="S84" s="113"/>
      <c r="T84" s="113"/>
    </row>
    <row r="85" spans="2:20" x14ac:dyDescent="0.2">
      <c r="D85">
        <v>14</v>
      </c>
      <c r="E85" s="95">
        <v>1E-3</v>
      </c>
      <c r="F85" s="109">
        <f ca="1">$E$75*E85</f>
        <v>331.55364349558488</v>
      </c>
      <c r="G85" s="122">
        <f>E2*0.5%</f>
        <v>205.68</v>
      </c>
      <c r="M85"/>
      <c r="N85"/>
      <c r="P85" s="113"/>
      <c r="Q85" s="113"/>
      <c r="R85" s="113"/>
      <c r="S85" s="113"/>
      <c r="T85" s="113"/>
    </row>
    <row r="86" spans="2:20" x14ac:dyDescent="0.2">
      <c r="M86"/>
      <c r="N86"/>
      <c r="P86" s="113"/>
      <c r="Q86" s="113"/>
      <c r="R86" s="113"/>
      <c r="S86" s="113"/>
      <c r="T86" s="113"/>
    </row>
    <row r="87" spans="2:20" x14ac:dyDescent="0.2">
      <c r="D87" s="108" t="s">
        <v>239</v>
      </c>
      <c r="M87"/>
      <c r="N87"/>
      <c r="P87" s="113"/>
      <c r="Q87" s="113"/>
      <c r="R87" s="113"/>
      <c r="S87" s="113"/>
      <c r="T87" s="113"/>
    </row>
    <row r="88" spans="2:20" ht="13.5" thickBot="1" x14ac:dyDescent="0.25">
      <c r="D88" t="s">
        <v>18</v>
      </c>
      <c r="E88" s="232">
        <f>40%*0.4%</f>
        <v>1.6000000000000001E-3</v>
      </c>
      <c r="M88"/>
      <c r="N88"/>
      <c r="P88" s="113"/>
      <c r="Q88" s="113"/>
      <c r="R88" s="113"/>
      <c r="S88" s="113"/>
      <c r="T88" s="113"/>
    </row>
    <row r="89" spans="2:20" ht="14.25" thickTop="1" thickBot="1" x14ac:dyDescent="0.25">
      <c r="B89" s="111" t="s">
        <v>339</v>
      </c>
      <c r="D89" s="72" t="s">
        <v>178</v>
      </c>
      <c r="E89" s="116">
        <f ca="1">MIN(5*E2,E75)*E88</f>
        <v>329.08800000000002</v>
      </c>
      <c r="M89"/>
      <c r="N89"/>
      <c r="P89" s="113"/>
      <c r="Q89" s="113"/>
      <c r="R89" s="113"/>
      <c r="S89" s="113"/>
      <c r="T89" s="113"/>
    </row>
    <row r="90" spans="2:20" ht="14.25" thickTop="1" thickBot="1" x14ac:dyDescent="0.25">
      <c r="M90"/>
      <c r="N90"/>
      <c r="P90" s="113"/>
      <c r="Q90" s="113"/>
      <c r="R90" s="113"/>
      <c r="S90" s="113"/>
      <c r="T90" s="113"/>
    </row>
    <row r="91" spans="2:20" ht="14.25" thickTop="1" thickBot="1" x14ac:dyDescent="0.25">
      <c r="B91" s="111" t="s">
        <v>340</v>
      </c>
      <c r="D91" s="108" t="s">
        <v>198</v>
      </c>
      <c r="E91" s="116">
        <f ca="1">H94</f>
        <v>5060.01</v>
      </c>
      <c r="F91" t="s">
        <v>200</v>
      </c>
      <c r="H91" t="s">
        <v>222</v>
      </c>
      <c r="M91"/>
      <c r="N91"/>
      <c r="P91" s="113"/>
      <c r="Q91" s="113"/>
      <c r="R91" s="113"/>
      <c r="S91" s="113"/>
      <c r="T91" s="113"/>
    </row>
    <row r="92" spans="2:20" ht="13.5" thickTop="1" x14ac:dyDescent="0.2">
      <c r="D92" s="77" t="str">
        <f>"&lt;"&amp;TEXT(E92,"000 0")</f>
        <v>&lt;25 246</v>
      </c>
      <c r="E92" s="233">
        <v>25246</v>
      </c>
      <c r="F92" s="106">
        <f>$E92*$G92</f>
        <v>0</v>
      </c>
      <c r="G92" s="79">
        <v>0</v>
      </c>
      <c r="H92" s="106">
        <f>F92*G92</f>
        <v>0</v>
      </c>
      <c r="M92"/>
      <c r="N92"/>
      <c r="P92" s="113"/>
      <c r="Q92" s="113"/>
      <c r="R92" s="113"/>
      <c r="S92" s="113"/>
      <c r="T92" s="113"/>
    </row>
    <row r="93" spans="2:20" x14ac:dyDescent="0.2">
      <c r="D93" s="77" t="str">
        <f>"&lt;"&amp;TEXT(E93,"000 0")</f>
        <v>&lt;193 913</v>
      </c>
      <c r="E93" s="233">
        <v>193913</v>
      </c>
      <c r="F93" s="106">
        <f ca="1">MIN($E93,E75)-$E92</f>
        <v>168667</v>
      </c>
      <c r="G93" s="79">
        <v>0.03</v>
      </c>
      <c r="H93" s="106">
        <f ca="1">F93*G93</f>
        <v>5060.01</v>
      </c>
      <c r="M93"/>
      <c r="N93"/>
      <c r="P93" s="113"/>
      <c r="Q93" s="113"/>
      <c r="R93" s="113"/>
      <c r="S93" s="113"/>
      <c r="T93" s="113"/>
    </row>
    <row r="94" spans="2:20" x14ac:dyDescent="0.2">
      <c r="D94" s="110" t="s">
        <v>201</v>
      </c>
      <c r="H94" s="106">
        <f ca="1">SUM(H92:H93)</f>
        <v>5060.01</v>
      </c>
      <c r="M94"/>
      <c r="N94"/>
      <c r="P94" s="113"/>
      <c r="Q94" s="113"/>
      <c r="R94" s="113"/>
      <c r="S94" s="113"/>
      <c r="T94" s="113"/>
    </row>
    <row r="95" spans="2:20" ht="13.5" thickBot="1" x14ac:dyDescent="0.25">
      <c r="M95"/>
      <c r="N95"/>
      <c r="P95" s="113"/>
      <c r="Q95" s="113"/>
      <c r="R95" s="113"/>
      <c r="S95" s="113"/>
      <c r="T95" s="113"/>
    </row>
    <row r="96" spans="2:20" ht="14.25" thickTop="1" thickBot="1" x14ac:dyDescent="0.25">
      <c r="D96" s="112" t="s">
        <v>206</v>
      </c>
      <c r="E96" s="224">
        <f ca="1">E77+E79+E81+E83+RC_5_14+E91</f>
        <v>8410.7780000000002</v>
      </c>
      <c r="M96"/>
      <c r="N96"/>
      <c r="P96" s="113"/>
      <c r="Q96" s="113"/>
      <c r="R96" s="113"/>
      <c r="S96" s="113"/>
      <c r="T96" s="113"/>
    </row>
    <row r="97" spans="1:20" ht="13.5" thickTop="1" x14ac:dyDescent="0.2">
      <c r="M97"/>
      <c r="N97"/>
      <c r="P97" s="113"/>
      <c r="Q97" s="113"/>
      <c r="R97" s="113"/>
      <c r="S97" s="113"/>
      <c r="T97" s="113"/>
    </row>
    <row r="98" spans="1:20" x14ac:dyDescent="0.2">
      <c r="A98" s="209"/>
      <c r="B98" s="209"/>
      <c r="C98" s="209"/>
      <c r="D98" s="210"/>
      <c r="E98" s="209"/>
      <c r="F98" s="210"/>
      <c r="G98" s="210"/>
      <c r="H98" s="210"/>
      <c r="I98" s="210"/>
      <c r="J98" s="210"/>
      <c r="K98" s="210"/>
      <c r="L98" s="210"/>
      <c r="M98"/>
      <c r="N98"/>
      <c r="P98" s="113"/>
      <c r="Q98" s="113"/>
      <c r="R98" s="113"/>
      <c r="S98" s="113"/>
      <c r="T98" s="113"/>
    </row>
    <row r="99" spans="1:20" x14ac:dyDescent="0.2">
      <c r="A99" s="111" t="s">
        <v>329</v>
      </c>
      <c r="D99" s="73" t="s">
        <v>35</v>
      </c>
      <c r="E99" s="111" t="s">
        <v>327</v>
      </c>
      <c r="F99" s="73"/>
      <c r="G99" s="73"/>
      <c r="H99" s="73"/>
      <c r="I99" s="73"/>
      <c r="J99" s="73"/>
      <c r="K99" s="73"/>
      <c r="L99" s="73"/>
      <c r="M99"/>
      <c r="N99"/>
      <c r="P99" s="113"/>
      <c r="Q99" s="113"/>
      <c r="R99" s="113"/>
      <c r="S99" s="113"/>
      <c r="T99" s="113"/>
    </row>
    <row r="100" spans="1:20" x14ac:dyDescent="0.2">
      <c r="A100" s="111">
        <v>12</v>
      </c>
      <c r="D100" s="73"/>
      <c r="F100" s="73"/>
      <c r="G100" s="73"/>
      <c r="H100" s="73"/>
      <c r="I100" s="73"/>
      <c r="J100" s="73"/>
      <c r="K100" s="73"/>
      <c r="L100" s="73"/>
      <c r="M100"/>
      <c r="N100"/>
      <c r="P100" s="113"/>
      <c r="Q100" s="113"/>
      <c r="R100" s="113"/>
      <c r="S100" s="113"/>
      <c r="T100" s="113"/>
    </row>
    <row r="101" spans="1:20" x14ac:dyDescent="0.2">
      <c r="D101" t="s">
        <v>140</v>
      </c>
      <c r="E101" s="220">
        <f ca="1">EI_IR_cotisations!G21</f>
        <v>331553.6434955849</v>
      </c>
      <c r="F101" s="72"/>
      <c r="G101" s="82"/>
      <c r="H101" s="73"/>
      <c r="I101" s="73"/>
      <c r="J101" s="73"/>
      <c r="K101" s="73"/>
      <c r="L101" s="73"/>
      <c r="M101"/>
      <c r="N101"/>
      <c r="P101" s="113"/>
      <c r="Q101" s="113"/>
      <c r="R101" s="113"/>
      <c r="S101" s="113"/>
      <c r="T101" s="113"/>
    </row>
    <row r="102" spans="1:20" x14ac:dyDescent="0.2">
      <c r="F102" s="72"/>
      <c r="G102" s="82"/>
      <c r="H102" s="73"/>
      <c r="I102" s="73"/>
      <c r="J102" s="73"/>
      <c r="K102" s="73"/>
      <c r="L102" s="73"/>
      <c r="M102"/>
      <c r="N102"/>
      <c r="P102" s="113"/>
      <c r="Q102" s="113"/>
      <c r="R102" s="113"/>
      <c r="S102" s="113"/>
      <c r="T102" s="113"/>
    </row>
    <row r="103" spans="1:20" ht="13.5" thickBot="1" x14ac:dyDescent="0.25">
      <c r="F103" s="72"/>
      <c r="G103" s="82"/>
      <c r="H103" s="73"/>
      <c r="I103" s="73"/>
      <c r="J103" s="73"/>
      <c r="K103" s="73"/>
      <c r="L103" s="73"/>
      <c r="M103"/>
      <c r="N103"/>
      <c r="P103" s="113"/>
      <c r="Q103" s="113"/>
      <c r="R103" s="113"/>
      <c r="S103" s="113"/>
      <c r="T103" s="113"/>
    </row>
    <row r="104" spans="1:20" ht="14.25" thickTop="1" thickBot="1" x14ac:dyDescent="0.25">
      <c r="B104" s="111" t="s">
        <v>341</v>
      </c>
      <c r="D104" s="108" t="s">
        <v>20</v>
      </c>
      <c r="E104" s="230">
        <v>2769</v>
      </c>
      <c r="F104" s="73"/>
      <c r="G104" s="73"/>
      <c r="H104" s="73"/>
      <c r="I104" s="73"/>
      <c r="J104" s="73"/>
      <c r="K104" s="73"/>
      <c r="L104" s="73"/>
      <c r="M104"/>
      <c r="N104"/>
      <c r="P104" s="113"/>
      <c r="Q104" s="113"/>
      <c r="R104" s="113"/>
      <c r="S104" s="113"/>
      <c r="T104" s="113"/>
    </row>
    <row r="105" spans="1:20" ht="14.25" thickTop="1" thickBot="1" x14ac:dyDescent="0.25">
      <c r="D105" s="72"/>
      <c r="E105" s="77"/>
      <c r="F105" s="73"/>
      <c r="G105" s="73"/>
      <c r="H105" s="73"/>
      <c r="I105" s="73"/>
      <c r="J105" s="73"/>
      <c r="K105" s="73"/>
      <c r="L105" s="73"/>
      <c r="M105"/>
      <c r="N105"/>
      <c r="P105" s="113"/>
      <c r="Q105" s="113"/>
      <c r="R105" s="113"/>
      <c r="S105" s="113"/>
      <c r="T105" s="113"/>
    </row>
    <row r="106" spans="1:20" ht="14.25" thickTop="1" thickBot="1" x14ac:dyDescent="0.25">
      <c r="B106" s="111" t="s">
        <v>342</v>
      </c>
      <c r="D106" s="108" t="s">
        <v>196</v>
      </c>
      <c r="E106" s="116">
        <f ca="1">G109*F109</f>
        <v>18181.083599999998</v>
      </c>
      <c r="H106" s="73"/>
      <c r="I106" s="73"/>
      <c r="J106" s="73"/>
      <c r="K106" s="73"/>
      <c r="L106" s="73"/>
      <c r="M106"/>
      <c r="N106"/>
      <c r="P106" s="113"/>
      <c r="Q106" s="113"/>
      <c r="R106" s="113"/>
      <c r="S106" s="113"/>
      <c r="T106" s="113"/>
    </row>
    <row r="107" spans="1:20" ht="13.5" thickTop="1" x14ac:dyDescent="0.2">
      <c r="D107" s="72"/>
      <c r="E107" s="123" t="s">
        <v>381</v>
      </c>
      <c r="F107" t="s">
        <v>207</v>
      </c>
      <c r="G107" t="s">
        <v>19</v>
      </c>
      <c r="H107" s="73"/>
      <c r="I107" s="73"/>
      <c r="J107" s="73"/>
      <c r="K107" s="73"/>
      <c r="L107" s="73"/>
      <c r="M107"/>
      <c r="N107"/>
      <c r="P107" s="113"/>
      <c r="Q107" s="113"/>
      <c r="R107" s="113"/>
      <c r="S107" s="113"/>
      <c r="T107" s="113"/>
    </row>
    <row r="108" spans="1:20" x14ac:dyDescent="0.2">
      <c r="D108" s="77"/>
      <c r="E108" s="234">
        <f>0.85*E2</f>
        <v>34965.599999999999</v>
      </c>
      <c r="F108" s="79">
        <v>0</v>
      </c>
      <c r="G108" s="106">
        <f>E108*F108</f>
        <v>0</v>
      </c>
      <c r="H108" s="73"/>
      <c r="I108" s="73"/>
      <c r="J108" s="73"/>
      <c r="K108" s="73"/>
      <c r="L108" s="73"/>
      <c r="M108"/>
      <c r="N108"/>
      <c r="P108" s="113"/>
      <c r="Q108" s="113"/>
      <c r="R108" s="113"/>
      <c r="S108" s="113"/>
      <c r="T108" s="113"/>
    </row>
    <row r="109" spans="1:20" x14ac:dyDescent="0.2">
      <c r="D109" s="77"/>
      <c r="E109" s="234">
        <f>5*E2</f>
        <v>205680</v>
      </c>
      <c r="F109" s="79">
        <v>0.1065</v>
      </c>
      <c r="G109" s="106">
        <f ca="1">MIN(E109,E101)-E108</f>
        <v>170714.4</v>
      </c>
      <c r="H109" s="73"/>
      <c r="I109" s="73"/>
      <c r="J109" s="73"/>
      <c r="K109" s="73"/>
      <c r="L109" s="73"/>
      <c r="M109"/>
      <c r="N109"/>
      <c r="P109" s="113"/>
      <c r="Q109" s="113"/>
      <c r="R109" s="113"/>
      <c r="S109" s="113"/>
      <c r="T109" s="113"/>
    </row>
    <row r="110" spans="1:20" x14ac:dyDescent="0.2">
      <c r="D110" s="110"/>
      <c r="H110" s="73"/>
      <c r="I110" s="73"/>
      <c r="J110" s="73"/>
      <c r="K110" s="73"/>
      <c r="L110" s="73"/>
      <c r="M110"/>
      <c r="N110"/>
      <c r="P110" s="113"/>
      <c r="Q110" s="113"/>
      <c r="R110" s="113"/>
      <c r="S110" s="113"/>
      <c r="T110" s="113"/>
    </row>
    <row r="111" spans="1:20" ht="13.5" thickBot="1" x14ac:dyDescent="0.25">
      <c r="D111" s="72"/>
      <c r="E111" s="77"/>
      <c r="F111" s="73"/>
      <c r="G111" s="73"/>
      <c r="H111" s="73"/>
      <c r="I111" s="73"/>
      <c r="J111" s="73"/>
      <c r="K111" s="73"/>
      <c r="L111" s="73"/>
      <c r="M111"/>
      <c r="N111"/>
      <c r="P111" s="113"/>
      <c r="Q111" s="113"/>
      <c r="R111" s="113"/>
      <c r="S111" s="113"/>
      <c r="T111" s="113"/>
    </row>
    <row r="112" spans="1:20" ht="14.25" thickTop="1" thickBot="1" x14ac:dyDescent="0.25">
      <c r="B112" s="111" t="s">
        <v>423</v>
      </c>
      <c r="D112" s="108" t="s">
        <v>23</v>
      </c>
      <c r="E112" s="116">
        <f ca="1">MIN(E114*E101,F114)</f>
        <v>205.68</v>
      </c>
      <c r="F112" s="73"/>
      <c r="G112" s="73"/>
      <c r="H112" s="73"/>
      <c r="I112" s="73"/>
      <c r="J112" s="73"/>
      <c r="K112" s="73"/>
      <c r="L112" s="73"/>
      <c r="M112"/>
      <c r="N112"/>
      <c r="P112" s="113"/>
      <c r="Q112" s="113"/>
      <c r="R112" s="113"/>
      <c r="S112" s="113"/>
      <c r="T112" s="113"/>
    </row>
    <row r="113" spans="2:20" ht="14.25" thickTop="1" thickBot="1" x14ac:dyDescent="0.25">
      <c r="D113" s="72"/>
      <c r="F113" s="77" t="s">
        <v>241</v>
      </c>
      <c r="G113" s="73"/>
      <c r="H113" s="73"/>
      <c r="I113" s="73"/>
      <c r="J113" s="73"/>
      <c r="K113" s="73"/>
      <c r="L113" s="73"/>
      <c r="M113"/>
      <c r="N113"/>
      <c r="P113" s="113"/>
      <c r="Q113" s="113"/>
      <c r="R113" s="113"/>
      <c r="S113" s="113"/>
      <c r="T113" s="113"/>
    </row>
    <row r="114" spans="2:20" ht="14.25" thickTop="1" thickBot="1" x14ac:dyDescent="0.25">
      <c r="D114" s="73" t="s">
        <v>207</v>
      </c>
      <c r="E114" s="235">
        <v>3.0000000000000001E-3</v>
      </c>
      <c r="F114" s="80">
        <f>E2*0.5%</f>
        <v>205.68</v>
      </c>
      <c r="G114" s="109"/>
      <c r="H114" s="73"/>
      <c r="I114" s="73"/>
      <c r="J114" s="73"/>
      <c r="K114" s="73"/>
      <c r="L114" s="73"/>
      <c r="M114"/>
      <c r="N114"/>
      <c r="P114" s="113"/>
      <c r="Q114" s="113"/>
      <c r="R114" s="113"/>
      <c r="S114" s="113"/>
      <c r="T114" s="113"/>
    </row>
    <row r="115" spans="2:20" ht="13.5" thickTop="1" x14ac:dyDescent="0.2">
      <c r="D115" s="111"/>
      <c r="F115" s="111"/>
      <c r="G115" s="111"/>
      <c r="H115" s="73"/>
      <c r="I115" s="73"/>
      <c r="J115" s="73"/>
      <c r="K115" s="73"/>
      <c r="L115" s="73"/>
      <c r="M115"/>
      <c r="N115"/>
      <c r="P115" s="113"/>
      <c r="Q115" s="113"/>
      <c r="R115" s="113"/>
      <c r="S115" s="113"/>
      <c r="T115" s="113"/>
    </row>
    <row r="116" spans="2:20" ht="13.5" thickBot="1" x14ac:dyDescent="0.25">
      <c r="D116" s="72"/>
      <c r="E116" s="77"/>
      <c r="F116" s="73"/>
      <c r="G116" s="73"/>
      <c r="H116" s="73"/>
      <c r="I116" s="73"/>
      <c r="J116" s="73"/>
      <c r="K116" s="73"/>
      <c r="L116" s="73"/>
      <c r="M116"/>
      <c r="N116"/>
      <c r="P116" s="113"/>
      <c r="Q116" s="113"/>
      <c r="R116" s="113"/>
      <c r="S116" s="113"/>
      <c r="T116" s="113"/>
    </row>
    <row r="117" spans="2:20" ht="14.25" thickTop="1" thickBot="1" x14ac:dyDescent="0.25">
      <c r="B117" s="111" t="s">
        <v>343</v>
      </c>
      <c r="D117" s="108" t="s">
        <v>203</v>
      </c>
      <c r="E117" s="230">
        <v>1466</v>
      </c>
      <c r="F117" s="73"/>
      <c r="G117" s="73"/>
      <c r="H117" s="73"/>
      <c r="I117" s="73"/>
      <c r="J117" s="73"/>
      <c r="K117" s="73"/>
      <c r="L117" s="73"/>
      <c r="M117"/>
      <c r="N117"/>
      <c r="P117" s="113"/>
      <c r="Q117" s="113"/>
      <c r="R117" s="113"/>
      <c r="S117" s="113"/>
      <c r="T117" s="113"/>
    </row>
    <row r="118" spans="2:20" ht="14.25" thickTop="1" thickBot="1" x14ac:dyDescent="0.25">
      <c r="D118" s="111"/>
      <c r="F118" s="111"/>
      <c r="G118" s="111"/>
      <c r="H118" s="73"/>
      <c r="I118" s="73"/>
      <c r="J118" s="73"/>
      <c r="K118" s="73"/>
      <c r="L118" s="73"/>
      <c r="M118"/>
      <c r="N118"/>
      <c r="P118" s="113"/>
      <c r="Q118" s="113"/>
      <c r="R118" s="113"/>
      <c r="S118" s="113"/>
      <c r="T118" s="113"/>
    </row>
    <row r="119" spans="2:20" ht="14.25" thickTop="1" thickBot="1" x14ac:dyDescent="0.25">
      <c r="B119" s="111" t="s">
        <v>344</v>
      </c>
      <c r="D119" s="108" t="s">
        <v>204</v>
      </c>
      <c r="E119" s="236">
        <f ca="1">MIN(E47,5*E2)*E121</f>
        <v>1491.18</v>
      </c>
      <c r="F119" s="73"/>
      <c r="G119" s="73"/>
      <c r="H119" s="73"/>
      <c r="I119" s="73"/>
      <c r="J119" s="73"/>
      <c r="K119" s="73"/>
      <c r="L119" s="73"/>
      <c r="M119"/>
      <c r="N119"/>
      <c r="P119" s="113"/>
      <c r="Q119" s="113"/>
      <c r="R119" s="113"/>
      <c r="S119" s="113"/>
      <c r="T119" s="113"/>
    </row>
    <row r="120" spans="2:20" ht="13.5" thickTop="1" x14ac:dyDescent="0.2">
      <c r="D120" s="72"/>
      <c r="E120" s="77"/>
      <c r="F120" s="73"/>
      <c r="G120" s="73"/>
      <c r="H120" s="73"/>
      <c r="I120" s="73"/>
      <c r="J120" s="73"/>
      <c r="K120" s="73"/>
      <c r="L120" s="73"/>
      <c r="M120"/>
      <c r="N120"/>
      <c r="P120" s="113"/>
      <c r="Q120" s="113"/>
      <c r="R120" s="113"/>
      <c r="S120" s="113"/>
      <c r="T120" s="113"/>
    </row>
    <row r="121" spans="2:20" x14ac:dyDescent="0.2">
      <c r="D121" t="s">
        <v>207</v>
      </c>
      <c r="E121" s="237">
        <v>7.2500000000000004E-3</v>
      </c>
      <c r="G121" s="73"/>
      <c r="H121" s="73"/>
      <c r="I121" s="73"/>
      <c r="J121" s="73"/>
      <c r="K121" s="73"/>
      <c r="L121" s="73"/>
      <c r="M121"/>
      <c r="N121"/>
      <c r="P121" s="113"/>
      <c r="Q121" s="113"/>
      <c r="R121" s="113"/>
      <c r="S121" s="113"/>
      <c r="T121" s="113"/>
    </row>
    <row r="122" spans="2:20" x14ac:dyDescent="0.2">
      <c r="D122" s="72"/>
      <c r="F122" s="73"/>
      <c r="G122" s="73"/>
      <c r="H122" s="73"/>
      <c r="I122" s="73"/>
      <c r="J122" s="73"/>
      <c r="K122" s="73"/>
      <c r="L122" s="73"/>
      <c r="M122"/>
      <c r="N122"/>
      <c r="P122" s="113"/>
      <c r="Q122" s="113"/>
      <c r="R122" s="113"/>
      <c r="S122" s="113"/>
      <c r="T122" s="113"/>
    </row>
    <row r="123" spans="2:20" ht="13.5" thickBot="1" x14ac:dyDescent="0.25">
      <c r="D123" s="73"/>
      <c r="E123" s="77"/>
      <c r="F123" s="73"/>
      <c r="G123" s="73"/>
      <c r="H123" s="73"/>
      <c r="I123" s="73"/>
      <c r="J123" s="73"/>
      <c r="K123" s="73"/>
      <c r="L123" s="73"/>
      <c r="M123"/>
      <c r="N123"/>
      <c r="P123" s="113"/>
      <c r="Q123" s="113"/>
      <c r="R123" s="113"/>
      <c r="S123" s="113"/>
      <c r="T123" s="113"/>
    </row>
    <row r="124" spans="2:20" ht="14.25" thickTop="1" thickBot="1" x14ac:dyDescent="0.25">
      <c r="B124" s="111" t="s">
        <v>345</v>
      </c>
      <c r="D124" s="108" t="s">
        <v>54</v>
      </c>
      <c r="E124" s="230">
        <v>1160</v>
      </c>
      <c r="F124" s="73"/>
      <c r="G124" s="73"/>
      <c r="H124" s="73"/>
      <c r="I124" s="73"/>
      <c r="J124" s="73"/>
      <c r="K124" s="73"/>
      <c r="L124" s="73"/>
      <c r="M124"/>
      <c r="N124"/>
      <c r="P124" s="113"/>
      <c r="Q124" s="113"/>
      <c r="R124" s="113"/>
      <c r="S124" s="113"/>
      <c r="T124" s="113"/>
    </row>
    <row r="125" spans="2:20" ht="13.5" thickTop="1" x14ac:dyDescent="0.2">
      <c r="D125" s="111"/>
      <c r="F125" s="111"/>
      <c r="G125" s="111"/>
      <c r="H125" s="73"/>
      <c r="I125" s="73"/>
      <c r="J125" s="73"/>
      <c r="K125" s="73"/>
      <c r="L125" s="73"/>
      <c r="M125"/>
      <c r="N125"/>
      <c r="O125" s="111"/>
      <c r="P125" s="113"/>
      <c r="Q125" s="113"/>
      <c r="R125" s="113"/>
      <c r="S125" s="113"/>
      <c r="T125" s="113"/>
    </row>
    <row r="126" spans="2:20" x14ac:dyDescent="0.2">
      <c r="D126" s="111"/>
      <c r="F126" s="111"/>
      <c r="G126" s="111"/>
      <c r="H126" s="73"/>
      <c r="I126" s="73"/>
      <c r="J126" s="73"/>
      <c r="K126" s="73"/>
      <c r="L126" s="73"/>
      <c r="M126"/>
      <c r="N126"/>
      <c r="O126" s="111"/>
      <c r="P126" s="113"/>
      <c r="Q126" s="113"/>
      <c r="R126" s="113"/>
      <c r="S126" s="113"/>
      <c r="T126" s="113"/>
    </row>
    <row r="127" spans="2:20" x14ac:dyDescent="0.2">
      <c r="D127" s="111"/>
      <c r="F127" s="111"/>
      <c r="G127" s="111"/>
      <c r="H127" s="73"/>
      <c r="I127" s="73"/>
      <c r="J127" s="73"/>
      <c r="K127" s="73"/>
      <c r="L127" s="73"/>
      <c r="M127"/>
      <c r="N127"/>
      <c r="O127" s="111"/>
      <c r="P127" s="113"/>
      <c r="Q127" s="113"/>
      <c r="R127" s="113"/>
      <c r="S127" s="113"/>
      <c r="T127" s="113"/>
    </row>
    <row r="128" spans="2:20" ht="13.5" thickBot="1" x14ac:dyDescent="0.25">
      <c r="D128" s="111"/>
      <c r="F128" s="111"/>
      <c r="G128" s="111"/>
      <c r="H128" s="73"/>
      <c r="I128" s="73"/>
      <c r="J128" s="73"/>
      <c r="K128" s="73"/>
      <c r="L128" s="73"/>
      <c r="M128"/>
      <c r="N128"/>
      <c r="O128" s="111"/>
      <c r="P128" s="113"/>
      <c r="Q128" s="113"/>
      <c r="R128" s="113"/>
      <c r="S128" s="113"/>
      <c r="T128" s="113"/>
    </row>
    <row r="129" spans="1:20" ht="14.25" thickTop="1" thickBot="1" x14ac:dyDescent="0.25">
      <c r="B129" s="111" t="s">
        <v>346</v>
      </c>
      <c r="D129" s="108" t="s">
        <v>205</v>
      </c>
      <c r="E129" s="230">
        <v>0</v>
      </c>
      <c r="F129" s="73"/>
      <c r="G129" s="73"/>
      <c r="H129" s="73"/>
      <c r="I129" s="73"/>
      <c r="J129" s="73"/>
      <c r="K129" s="73"/>
      <c r="L129" s="73"/>
      <c r="M129"/>
      <c r="N129"/>
      <c r="P129" s="113"/>
      <c r="Q129" s="113"/>
      <c r="R129" s="113"/>
      <c r="S129" s="113"/>
      <c r="T129" s="113"/>
    </row>
    <row r="130" spans="1:20" ht="13.5" thickTop="1" x14ac:dyDescent="0.2">
      <c r="D130" s="73"/>
      <c r="E130" s="77"/>
      <c r="F130" s="73"/>
      <c r="G130" s="73"/>
      <c r="H130" s="73"/>
      <c r="I130" s="73"/>
      <c r="J130" s="73"/>
      <c r="K130" s="73"/>
      <c r="L130" s="73"/>
      <c r="M130"/>
      <c r="N130"/>
      <c r="P130" s="113"/>
      <c r="Q130" s="113"/>
      <c r="R130" s="113"/>
      <c r="S130" s="113"/>
      <c r="T130" s="113"/>
    </row>
    <row r="131" spans="1:20" x14ac:dyDescent="0.2">
      <c r="D131" s="73"/>
      <c r="E131" s="77"/>
      <c r="F131" s="73"/>
      <c r="G131" s="73"/>
      <c r="H131" s="73"/>
      <c r="I131" s="73"/>
      <c r="J131" s="73"/>
      <c r="K131" s="73"/>
      <c r="L131" s="73"/>
      <c r="M131"/>
      <c r="N131"/>
      <c r="P131" s="113"/>
      <c r="Q131" s="113"/>
      <c r="R131" s="113"/>
      <c r="S131" s="113"/>
      <c r="T131" s="113"/>
    </row>
    <row r="132" spans="1:20" x14ac:dyDescent="0.2">
      <c r="D132" s="73"/>
      <c r="E132" s="238">
        <f ca="1">+E104+E106+E112+E117+E119+E129</f>
        <v>24112.943599999999</v>
      </c>
      <c r="F132" s="73"/>
      <c r="G132" s="73"/>
      <c r="H132" s="73"/>
      <c r="I132" s="73"/>
      <c r="J132" s="73"/>
      <c r="K132" s="73"/>
      <c r="L132" s="73"/>
      <c r="M132"/>
      <c r="N132"/>
      <c r="P132" s="113"/>
      <c r="Q132" s="113"/>
      <c r="R132" s="113"/>
      <c r="S132" s="113"/>
      <c r="T132" s="113"/>
    </row>
    <row r="133" spans="1:20" x14ac:dyDescent="0.2">
      <c r="D133" s="73"/>
      <c r="E133" s="77"/>
      <c r="F133" s="73"/>
      <c r="G133" s="73"/>
      <c r="H133" s="73"/>
      <c r="I133" s="73"/>
      <c r="J133" s="73"/>
      <c r="K133" s="73"/>
      <c r="L133" s="73"/>
      <c r="M133"/>
      <c r="N133"/>
      <c r="P133" s="113"/>
      <c r="Q133" s="113"/>
      <c r="R133" s="113"/>
      <c r="S133" s="113"/>
      <c r="T133" s="113"/>
    </row>
    <row r="134" spans="1:20" x14ac:dyDescent="0.2">
      <c r="D134" s="73"/>
      <c r="E134" s="77"/>
      <c r="F134" s="73"/>
      <c r="G134" s="73"/>
      <c r="H134" s="73"/>
      <c r="I134" s="73"/>
      <c r="J134" s="73"/>
      <c r="K134" s="73"/>
      <c r="L134" s="73"/>
      <c r="M134"/>
      <c r="N134"/>
      <c r="P134" s="113"/>
      <c r="Q134" s="113"/>
      <c r="R134" s="113"/>
      <c r="S134" s="113"/>
      <c r="T134" s="113"/>
    </row>
    <row r="135" spans="1:20" x14ac:dyDescent="0.2">
      <c r="A135" s="209"/>
      <c r="B135" s="209"/>
      <c r="C135" s="209"/>
      <c r="D135" s="210"/>
      <c r="E135" s="209"/>
      <c r="F135" s="210"/>
      <c r="G135" s="210"/>
      <c r="H135" s="210"/>
      <c r="I135" s="210"/>
      <c r="J135" s="210"/>
      <c r="K135" s="210"/>
      <c r="L135" s="210"/>
      <c r="M135"/>
      <c r="N135"/>
      <c r="P135" s="113"/>
      <c r="Q135" s="113"/>
      <c r="R135" s="113"/>
      <c r="S135" s="113"/>
      <c r="T135" s="113"/>
    </row>
    <row r="136" spans="1:20" x14ac:dyDescent="0.2">
      <c r="A136" s="111" t="s">
        <v>35</v>
      </c>
      <c r="D136" s="73" t="s">
        <v>35</v>
      </c>
      <c r="E136" s="111" t="s">
        <v>328</v>
      </c>
      <c r="F136" s="73"/>
      <c r="G136" s="73"/>
      <c r="H136" s="73"/>
      <c r="I136" s="73"/>
      <c r="J136" s="73"/>
      <c r="K136" s="73"/>
      <c r="L136" s="73"/>
      <c r="M136"/>
      <c r="N136"/>
      <c r="P136" s="113"/>
      <c r="Q136" s="113"/>
      <c r="R136" s="113"/>
      <c r="S136" s="113"/>
      <c r="T136" s="113"/>
    </row>
    <row r="137" spans="1:20" x14ac:dyDescent="0.2">
      <c r="A137" s="111">
        <v>15</v>
      </c>
      <c r="D137" s="73"/>
      <c r="F137" s="73"/>
      <c r="G137" s="73"/>
      <c r="H137" s="73"/>
      <c r="I137" s="73"/>
      <c r="J137" s="73"/>
      <c r="K137" s="73"/>
      <c r="L137" s="73"/>
      <c r="M137"/>
      <c r="N137"/>
      <c r="P137" s="113"/>
      <c r="Q137" s="113"/>
      <c r="R137" s="113"/>
      <c r="S137" s="113"/>
      <c r="T137" s="113"/>
    </row>
    <row r="138" spans="1:20" x14ac:dyDescent="0.2">
      <c r="D138" t="s">
        <v>140</v>
      </c>
      <c r="E138" s="220">
        <f ca="1">EI_IR_cotisations!G21</f>
        <v>331553.6434955849</v>
      </c>
      <c r="F138" s="72"/>
      <c r="G138" s="82"/>
      <c r="M138"/>
      <c r="N138"/>
      <c r="P138" s="113"/>
      <c r="Q138" s="113"/>
      <c r="R138" s="113"/>
      <c r="S138" s="113"/>
      <c r="T138" s="113"/>
    </row>
    <row r="139" spans="1:20" x14ac:dyDescent="0.2">
      <c r="F139" s="72"/>
      <c r="G139" s="82"/>
      <c r="M139"/>
      <c r="N139"/>
      <c r="P139" s="113"/>
      <c r="Q139" s="113"/>
      <c r="R139" s="113"/>
      <c r="S139" s="113"/>
      <c r="T139" s="113"/>
    </row>
    <row r="140" spans="1:20" ht="13.5" thickBot="1" x14ac:dyDescent="0.25">
      <c r="F140" s="72"/>
      <c r="G140" s="82"/>
      <c r="M140"/>
      <c r="N140"/>
      <c r="P140" s="113"/>
      <c r="Q140" s="113"/>
      <c r="R140" s="113"/>
      <c r="S140" s="113"/>
      <c r="T140" s="113"/>
    </row>
    <row r="141" spans="1:20" ht="14.25" thickTop="1" thickBot="1" x14ac:dyDescent="0.25">
      <c r="B141" s="111" t="s">
        <v>349</v>
      </c>
      <c r="D141" s="108" t="s">
        <v>20</v>
      </c>
      <c r="E141" s="230">
        <v>2769</v>
      </c>
      <c r="F141" s="73"/>
      <c r="G141" s="73"/>
      <c r="H141" s="73"/>
      <c r="I141" s="73"/>
      <c r="J141" s="73"/>
      <c r="K141" s="73"/>
      <c r="L141" s="73"/>
      <c r="M141"/>
      <c r="N141"/>
      <c r="P141" s="113"/>
      <c r="Q141" s="113"/>
      <c r="R141" s="113"/>
      <c r="S141" s="113"/>
      <c r="T141" s="113"/>
    </row>
    <row r="142" spans="1:20" ht="14.25" thickTop="1" thickBot="1" x14ac:dyDescent="0.25">
      <c r="D142" s="72"/>
      <c r="E142" s="77"/>
      <c r="F142" s="73"/>
      <c r="G142" s="73"/>
      <c r="H142" s="73"/>
      <c r="I142" s="73"/>
      <c r="J142" s="73"/>
      <c r="K142" s="73"/>
      <c r="L142" s="73"/>
      <c r="M142"/>
      <c r="N142"/>
      <c r="P142" s="113"/>
      <c r="Q142" s="113"/>
      <c r="R142" s="113"/>
      <c r="S142" s="113"/>
      <c r="T142" s="113"/>
    </row>
    <row r="143" spans="1:20" ht="14.25" thickTop="1" thickBot="1" x14ac:dyDescent="0.25">
      <c r="B143" s="111" t="s">
        <v>350</v>
      </c>
      <c r="D143" s="108" t="s">
        <v>196</v>
      </c>
      <c r="E143" s="116">
        <f ca="1">G146*F146</f>
        <v>18181.083599999998</v>
      </c>
      <c r="M143"/>
      <c r="N143"/>
      <c r="P143" s="113"/>
      <c r="Q143" s="113"/>
      <c r="R143" s="113"/>
      <c r="S143" s="113"/>
      <c r="T143" s="113"/>
    </row>
    <row r="144" spans="1:20" ht="13.5" thickTop="1" x14ac:dyDescent="0.2">
      <c r="D144" s="72"/>
      <c r="E144" s="123" t="s">
        <v>381</v>
      </c>
      <c r="F144" t="s">
        <v>207</v>
      </c>
      <c r="G144" t="s">
        <v>19</v>
      </c>
      <c r="M144"/>
      <c r="N144"/>
      <c r="P144" s="113"/>
      <c r="Q144" s="113"/>
      <c r="R144" s="113"/>
      <c r="S144" s="113"/>
      <c r="T144" s="113"/>
    </row>
    <row r="145" spans="2:20" x14ac:dyDescent="0.2">
      <c r="D145" s="77"/>
      <c r="E145" s="234">
        <f>0.85*E2</f>
        <v>34965.599999999999</v>
      </c>
      <c r="F145" s="79">
        <v>0</v>
      </c>
      <c r="G145" s="106">
        <f>E145*F145</f>
        <v>0</v>
      </c>
      <c r="M145"/>
      <c r="N145"/>
      <c r="P145" s="113"/>
      <c r="Q145" s="113"/>
      <c r="R145" s="113"/>
      <c r="S145" s="113"/>
      <c r="T145" s="113"/>
    </row>
    <row r="146" spans="2:20" x14ac:dyDescent="0.2">
      <c r="D146" s="77"/>
      <c r="E146" s="234">
        <f>5*E2</f>
        <v>205680</v>
      </c>
      <c r="F146" s="79">
        <v>0.1065</v>
      </c>
      <c r="G146" s="106">
        <f ca="1">MIN(E146,E138)-E145</f>
        <v>170714.4</v>
      </c>
      <c r="H146" s="106"/>
      <c r="I146" s="106"/>
      <c r="J146" s="106"/>
      <c r="K146" s="106"/>
      <c r="L146" s="106"/>
      <c r="M146"/>
      <c r="N146"/>
      <c r="P146" s="113"/>
      <c r="Q146" s="113"/>
      <c r="R146" s="113"/>
      <c r="S146" s="113"/>
      <c r="T146" s="113"/>
    </row>
    <row r="147" spans="2:20" x14ac:dyDescent="0.2">
      <c r="D147" s="110"/>
      <c r="M147"/>
      <c r="N147"/>
      <c r="P147" s="113"/>
      <c r="Q147" s="113"/>
      <c r="R147" s="113"/>
      <c r="S147" s="113"/>
      <c r="T147" s="113"/>
    </row>
    <row r="148" spans="2:20" ht="13.5" thickBot="1" x14ac:dyDescent="0.25">
      <c r="D148" s="72"/>
      <c r="E148" s="77"/>
      <c r="F148" s="73"/>
      <c r="G148" s="73"/>
      <c r="H148" s="73"/>
      <c r="I148" s="73"/>
      <c r="J148" s="73"/>
      <c r="K148" s="73"/>
      <c r="L148" s="73"/>
      <c r="M148"/>
      <c r="N148"/>
      <c r="P148" s="113"/>
      <c r="Q148" s="113"/>
      <c r="R148" s="113"/>
      <c r="S148" s="113"/>
      <c r="T148" s="113"/>
    </row>
    <row r="149" spans="2:20" ht="14.25" thickTop="1" thickBot="1" x14ac:dyDescent="0.25">
      <c r="B149" s="111" t="s">
        <v>354</v>
      </c>
      <c r="D149" s="108" t="s">
        <v>23</v>
      </c>
      <c r="E149" s="116">
        <f ca="1">MIN(F151,E151*E138)</f>
        <v>205.68</v>
      </c>
      <c r="F149" s="73"/>
      <c r="G149" s="73"/>
      <c r="H149" s="73"/>
      <c r="I149" s="73"/>
      <c r="J149" s="73"/>
      <c r="K149" s="73"/>
      <c r="L149" s="73"/>
      <c r="M149"/>
      <c r="N149"/>
      <c r="P149" s="113"/>
      <c r="Q149" s="113"/>
      <c r="R149" s="113"/>
      <c r="S149" s="113"/>
      <c r="T149" s="113"/>
    </row>
    <row r="150" spans="2:20" ht="14.25" thickTop="1" thickBot="1" x14ac:dyDescent="0.25">
      <c r="D150" s="72"/>
      <c r="F150" s="77" t="s">
        <v>241</v>
      </c>
      <c r="G150" s="73"/>
      <c r="H150" s="73"/>
      <c r="I150" s="73"/>
      <c r="J150" s="73"/>
      <c r="K150" s="73"/>
      <c r="L150" s="73"/>
      <c r="M150"/>
      <c r="N150"/>
      <c r="P150" s="113"/>
      <c r="Q150" s="113"/>
      <c r="R150" s="113"/>
      <c r="S150" s="113"/>
      <c r="T150" s="113"/>
    </row>
    <row r="151" spans="2:20" ht="14.25" thickTop="1" thickBot="1" x14ac:dyDescent="0.25">
      <c r="D151" s="73" t="s">
        <v>207</v>
      </c>
      <c r="E151" s="235">
        <v>1E-3</v>
      </c>
      <c r="F151" s="80">
        <f>E2*0.5%</f>
        <v>205.68</v>
      </c>
      <c r="G151" s="73"/>
      <c r="H151" s="73"/>
      <c r="I151" s="73"/>
      <c r="J151" s="73"/>
      <c r="K151" s="73"/>
      <c r="L151" s="73"/>
      <c r="M151"/>
      <c r="N151"/>
      <c r="P151" s="113"/>
      <c r="Q151" s="113"/>
      <c r="R151" s="113"/>
      <c r="S151" s="113"/>
      <c r="T151" s="113"/>
    </row>
    <row r="152" spans="2:20" ht="14.25" thickTop="1" thickBot="1" x14ac:dyDescent="0.25">
      <c r="D152" s="72"/>
      <c r="E152" s="77"/>
      <c r="F152" s="73"/>
      <c r="G152" s="73"/>
      <c r="H152" s="73"/>
      <c r="I152" s="73"/>
      <c r="J152" s="73"/>
      <c r="K152" s="73"/>
      <c r="L152" s="73"/>
      <c r="M152"/>
      <c r="N152"/>
      <c r="P152" s="113"/>
      <c r="Q152" s="113"/>
      <c r="R152" s="113"/>
      <c r="S152" s="113"/>
      <c r="T152" s="113"/>
    </row>
    <row r="153" spans="2:20" ht="14.25" thickTop="1" thickBot="1" x14ac:dyDescent="0.25">
      <c r="B153" s="111" t="s">
        <v>351</v>
      </c>
      <c r="D153" s="108" t="s">
        <v>203</v>
      </c>
      <c r="E153" s="230">
        <f>780/3</f>
        <v>260</v>
      </c>
      <c r="F153" s="73"/>
      <c r="G153" s="73"/>
      <c r="H153" s="73"/>
      <c r="I153" s="73"/>
      <c r="J153" s="73"/>
      <c r="K153" s="73"/>
      <c r="L153" s="73"/>
      <c r="M153"/>
      <c r="N153"/>
      <c r="P153" s="113"/>
      <c r="Q153" s="113"/>
      <c r="R153" s="113"/>
      <c r="S153" s="113"/>
      <c r="T153" s="113"/>
    </row>
    <row r="154" spans="2:20" ht="14.25" thickTop="1" thickBot="1" x14ac:dyDescent="0.25">
      <c r="D154" s="73"/>
      <c r="E154" s="77"/>
      <c r="F154" s="73"/>
      <c r="G154" s="73"/>
      <c r="H154" s="73"/>
      <c r="I154" s="73"/>
      <c r="J154" s="73"/>
      <c r="K154" s="73"/>
      <c r="L154" s="73"/>
      <c r="M154"/>
      <c r="N154"/>
      <c r="P154" s="113"/>
      <c r="Q154" s="113"/>
      <c r="R154" s="113"/>
      <c r="S154" s="113"/>
      <c r="T154" s="113"/>
    </row>
    <row r="155" spans="2:20" ht="14.25" thickTop="1" thickBot="1" x14ac:dyDescent="0.25">
      <c r="B155" s="111" t="s">
        <v>352</v>
      </c>
      <c r="D155" s="108" t="s">
        <v>54</v>
      </c>
      <c r="E155" s="230">
        <v>260</v>
      </c>
      <c r="F155" s="73"/>
      <c r="G155" s="73"/>
      <c r="H155" s="73"/>
      <c r="I155" s="73"/>
      <c r="J155" s="73"/>
      <c r="K155" s="73"/>
      <c r="L155" s="73"/>
      <c r="M155"/>
      <c r="N155"/>
      <c r="P155" s="113"/>
      <c r="Q155" s="113"/>
      <c r="R155" s="113"/>
      <c r="S155" s="113"/>
      <c r="T155" s="113"/>
    </row>
    <row r="156" spans="2:20" ht="14.25" thickTop="1" thickBot="1" x14ac:dyDescent="0.25">
      <c r="D156" s="73"/>
      <c r="E156" s="77"/>
      <c r="F156" s="73"/>
      <c r="G156" s="73"/>
      <c r="H156" s="73"/>
      <c r="I156" s="73"/>
      <c r="J156" s="73"/>
      <c r="K156" s="73"/>
      <c r="L156" s="73"/>
      <c r="M156"/>
      <c r="N156"/>
      <c r="P156" s="113"/>
      <c r="Q156" s="113"/>
      <c r="R156" s="113"/>
      <c r="S156" s="113"/>
      <c r="T156" s="113"/>
    </row>
    <row r="157" spans="2:20" ht="14.25" thickTop="1" thickBot="1" x14ac:dyDescent="0.25">
      <c r="B157" s="111" t="s">
        <v>353</v>
      </c>
      <c r="D157" s="108" t="s">
        <v>205</v>
      </c>
      <c r="E157" s="230">
        <v>0</v>
      </c>
      <c r="F157" s="73"/>
      <c r="G157" s="73"/>
      <c r="H157" s="73"/>
      <c r="I157" s="73"/>
      <c r="J157" s="73"/>
      <c r="K157" s="73"/>
      <c r="L157" s="73"/>
      <c r="M157"/>
      <c r="N157"/>
      <c r="P157" s="113"/>
      <c r="Q157" s="113"/>
      <c r="R157" s="113"/>
      <c r="S157" s="113"/>
      <c r="T157" s="113"/>
    </row>
    <row r="158" spans="2:20" ht="13.5" thickTop="1" x14ac:dyDescent="0.2">
      <c r="D158" s="73"/>
      <c r="E158" s="77"/>
      <c r="F158" s="73"/>
      <c r="G158" s="73"/>
      <c r="H158" s="73"/>
      <c r="I158" s="73"/>
      <c r="J158" s="73"/>
      <c r="K158" s="73"/>
      <c r="L158" s="73"/>
      <c r="M158"/>
      <c r="N158"/>
      <c r="P158" s="113"/>
      <c r="Q158" s="113"/>
      <c r="R158" s="113"/>
      <c r="S158" s="113"/>
      <c r="T158" s="113"/>
    </row>
    <row r="159" spans="2:20" x14ac:dyDescent="0.2">
      <c r="D159" s="73"/>
      <c r="E159" s="77"/>
      <c r="F159" s="73"/>
      <c r="G159" s="73"/>
      <c r="H159" s="73"/>
      <c r="I159" s="73"/>
      <c r="J159" s="73"/>
      <c r="K159" s="73"/>
      <c r="L159" s="73"/>
      <c r="M159"/>
      <c r="N159"/>
      <c r="P159" s="113"/>
      <c r="Q159" s="113"/>
      <c r="R159" s="113"/>
      <c r="S159" s="113"/>
      <c r="T159" s="113"/>
    </row>
    <row r="160" spans="2:20" x14ac:dyDescent="0.2">
      <c r="D160" s="73"/>
      <c r="E160" s="238">
        <f ca="1">E141+E143+E149+E153+E155+E157</f>
        <v>21675.763599999998</v>
      </c>
      <c r="F160" s="73"/>
      <c r="G160" s="73"/>
      <c r="H160" s="73"/>
      <c r="I160" s="73"/>
      <c r="J160" s="73"/>
      <c r="K160" s="73"/>
      <c r="L160" s="73"/>
      <c r="M160"/>
      <c r="N160"/>
      <c r="P160" s="113"/>
      <c r="Q160" s="113"/>
      <c r="R160" s="113"/>
      <c r="S160" s="113"/>
      <c r="T160" s="113"/>
    </row>
    <row r="161" spans="1:20" x14ac:dyDescent="0.2">
      <c r="D161" s="73"/>
      <c r="E161" s="77"/>
      <c r="F161" s="73"/>
      <c r="G161" s="73"/>
      <c r="H161" s="73"/>
      <c r="I161" s="73"/>
      <c r="J161" s="73"/>
      <c r="K161" s="73"/>
      <c r="L161" s="73"/>
      <c r="M161"/>
      <c r="N161"/>
      <c r="P161" s="113"/>
      <c r="Q161" s="113"/>
      <c r="R161" s="113"/>
      <c r="S161" s="113"/>
      <c r="T161" s="113"/>
    </row>
    <row r="162" spans="1:20" x14ac:dyDescent="0.2">
      <c r="D162" s="73"/>
      <c r="E162" s="77"/>
      <c r="F162" s="73"/>
      <c r="G162" s="73"/>
      <c r="H162" s="73"/>
      <c r="I162" s="73"/>
      <c r="J162" s="73"/>
      <c r="K162" s="73"/>
      <c r="L162" s="73"/>
      <c r="M162"/>
      <c r="N162"/>
      <c r="P162" s="113"/>
      <c r="Q162" s="113"/>
      <c r="R162" s="113"/>
      <c r="S162" s="113"/>
      <c r="T162" s="113"/>
    </row>
    <row r="163" spans="1:20" x14ac:dyDescent="0.2">
      <c r="A163" s="209"/>
      <c r="B163" s="209"/>
      <c r="C163" s="209"/>
      <c r="D163" s="210"/>
      <c r="E163" s="209"/>
      <c r="F163" s="210"/>
      <c r="G163" s="210"/>
      <c r="H163" s="210"/>
      <c r="I163" s="210"/>
      <c r="J163" s="210"/>
      <c r="K163" s="210"/>
      <c r="L163" s="210"/>
      <c r="M163"/>
      <c r="N163"/>
      <c r="P163" s="113"/>
      <c r="Q163" s="113"/>
      <c r="R163" s="113"/>
      <c r="S163" s="113"/>
      <c r="T163" s="113"/>
    </row>
    <row r="164" spans="1:20" x14ac:dyDescent="0.2">
      <c r="D164" t="s">
        <v>208</v>
      </c>
      <c r="E164" s="111">
        <v>3</v>
      </c>
      <c r="M164"/>
      <c r="N164"/>
      <c r="P164" s="113"/>
      <c r="Q164" s="113"/>
      <c r="R164" s="113"/>
      <c r="S164" s="113"/>
      <c r="T164" s="113"/>
    </row>
    <row r="165" spans="1:20" x14ac:dyDescent="0.2">
      <c r="D165" t="s">
        <v>140</v>
      </c>
      <c r="E165" s="220">
        <f ca="1">EI_IR_cotisations!G21</f>
        <v>331553.6434955849</v>
      </c>
      <c r="M165"/>
      <c r="N165"/>
      <c r="P165" s="113"/>
      <c r="Q165" s="113"/>
      <c r="R165" s="113"/>
      <c r="S165" s="113"/>
      <c r="T165" s="113"/>
    </row>
    <row r="166" spans="1:20" ht="13.5" thickBot="1" x14ac:dyDescent="0.25">
      <c r="M166"/>
      <c r="N166"/>
      <c r="P166" s="113"/>
      <c r="Q166" s="113"/>
      <c r="R166" s="113"/>
      <c r="S166" s="113"/>
      <c r="T166" s="113"/>
    </row>
    <row r="167" spans="1:20" ht="14.25" thickTop="1" thickBot="1" x14ac:dyDescent="0.25">
      <c r="B167" s="111" t="s">
        <v>347</v>
      </c>
      <c r="D167" s="108" t="s">
        <v>198</v>
      </c>
      <c r="E167" s="116">
        <f ca="1">_xlfn.XLOOKUP(E165,E168:E175,F168:F175,,-1)</f>
        <v>20925</v>
      </c>
      <c r="M167"/>
      <c r="N167"/>
      <c r="P167" s="113"/>
      <c r="Q167" s="113"/>
      <c r="R167" s="113"/>
      <c r="S167" s="113"/>
      <c r="T167" s="113"/>
    </row>
    <row r="168" spans="1:20" ht="13.5" thickTop="1" x14ac:dyDescent="0.2">
      <c r="D168" s="73" t="str">
        <f>"&lt;"&amp;TEXT(E168,"#00 0")</f>
        <v>&lt;000</v>
      </c>
      <c r="E168" s="239">
        <v>0</v>
      </c>
      <c r="F168" s="87">
        <v>670</v>
      </c>
      <c r="L168" s="73"/>
      <c r="M168"/>
      <c r="N168"/>
      <c r="P168" s="113"/>
      <c r="Q168" s="113"/>
      <c r="R168" s="113"/>
      <c r="S168" s="113"/>
      <c r="T168" s="113"/>
    </row>
    <row r="169" spans="1:20" x14ac:dyDescent="0.2">
      <c r="D169" s="73" t="str">
        <f t="shared" ref="D169:D174" si="6">"&lt;"&amp;TEXT(E169,"#00 0")</f>
        <v>&lt;16 191</v>
      </c>
      <c r="E169" s="239">
        <v>16191</v>
      </c>
      <c r="F169" s="87">
        <v>2511</v>
      </c>
      <c r="L169" s="73"/>
      <c r="M169"/>
      <c r="N169"/>
      <c r="P169" s="113"/>
      <c r="Q169" s="113"/>
      <c r="R169" s="113"/>
      <c r="S169" s="113"/>
      <c r="T169" s="113"/>
    </row>
    <row r="170" spans="1:20" x14ac:dyDescent="0.2">
      <c r="D170" s="73" t="str">
        <f t="shared" si="6"/>
        <v>&lt;32 351</v>
      </c>
      <c r="E170" s="239">
        <v>32351</v>
      </c>
      <c r="F170" s="87">
        <v>3962</v>
      </c>
      <c r="L170" s="73"/>
      <c r="M170"/>
      <c r="N170"/>
      <c r="P170" s="113"/>
      <c r="Q170" s="113"/>
      <c r="R170" s="113"/>
      <c r="S170" s="113"/>
      <c r="T170" s="113"/>
    </row>
    <row r="171" spans="1:20" x14ac:dyDescent="0.2">
      <c r="D171" s="73" t="str">
        <f t="shared" si="6"/>
        <v>&lt;44 791</v>
      </c>
      <c r="E171" s="239">
        <v>44791</v>
      </c>
      <c r="F171" s="87">
        <v>6194</v>
      </c>
      <c r="L171" s="73"/>
      <c r="M171"/>
      <c r="N171"/>
    </row>
    <row r="172" spans="1:20" x14ac:dyDescent="0.2">
      <c r="D172" s="73" t="str">
        <f t="shared" si="6"/>
        <v>&lt;64 561</v>
      </c>
      <c r="E172" s="239">
        <v>64561</v>
      </c>
      <c r="F172" s="87">
        <v>9877</v>
      </c>
      <c r="J172" s="73"/>
      <c r="K172" s="73"/>
      <c r="L172" s="73"/>
      <c r="M172"/>
      <c r="N172"/>
    </row>
    <row r="173" spans="1:20" x14ac:dyDescent="0.2">
      <c r="D173" s="73" t="str">
        <f t="shared" si="6"/>
        <v>&lt;79 041</v>
      </c>
      <c r="E173" s="239">
        <v>79041</v>
      </c>
      <c r="F173" s="87">
        <v>15066</v>
      </c>
      <c r="J173" s="73"/>
      <c r="K173" s="73"/>
      <c r="L173" s="73"/>
      <c r="M173"/>
      <c r="N173"/>
    </row>
    <row r="174" spans="1:20" x14ac:dyDescent="0.2">
      <c r="D174" s="73" t="str">
        <f t="shared" si="6"/>
        <v>&lt;94 851</v>
      </c>
      <c r="E174" s="239">
        <v>94851</v>
      </c>
      <c r="F174" s="87">
        <v>16740</v>
      </c>
      <c r="J174" s="73"/>
      <c r="K174" s="73"/>
      <c r="L174" s="73"/>
      <c r="M174"/>
      <c r="N174"/>
    </row>
    <row r="175" spans="1:20" x14ac:dyDescent="0.2">
      <c r="D175" s="73" t="str">
        <f>TEXT(E175,"000 0")&amp;" et +"</f>
        <v>132 781 et +</v>
      </c>
      <c r="E175" s="239">
        <v>132781</v>
      </c>
      <c r="F175" s="87">
        <v>20925</v>
      </c>
      <c r="J175" s="73"/>
      <c r="K175" s="73"/>
      <c r="L175" s="73"/>
      <c r="M175"/>
      <c r="N175"/>
    </row>
    <row r="176" spans="1:20" ht="13.5" thickBot="1" x14ac:dyDescent="0.25">
      <c r="D176" s="73"/>
      <c r="E176" s="77"/>
      <c r="F176" s="73"/>
      <c r="G176" s="73"/>
      <c r="H176" s="73"/>
      <c r="I176" s="73"/>
      <c r="J176" s="73"/>
      <c r="K176" s="73"/>
      <c r="L176" s="73"/>
      <c r="M176"/>
      <c r="N176"/>
    </row>
    <row r="177" spans="2:14" ht="14.25" thickTop="1" thickBot="1" x14ac:dyDescent="0.25">
      <c r="B177" s="111" t="s">
        <v>348</v>
      </c>
      <c r="D177" s="108" t="s">
        <v>54</v>
      </c>
      <c r="E177" s="116">
        <f ca="1">_xlfn.XLOOKUP(E165,E178:E185,F178:F185,,-1)</f>
        <v>828</v>
      </c>
      <c r="F177" s="73"/>
      <c r="G177" s="73"/>
      <c r="H177" s="73"/>
      <c r="I177" s="73"/>
      <c r="J177" s="73"/>
      <c r="K177" s="73"/>
      <c r="L177" s="73"/>
      <c r="M177"/>
      <c r="N177"/>
    </row>
    <row r="178" spans="2:14" ht="13.5" thickTop="1" x14ac:dyDescent="0.2">
      <c r="D178" s="73" t="s">
        <v>22</v>
      </c>
      <c r="E178" s="239">
        <v>0</v>
      </c>
      <c r="F178" s="88">
        <v>288</v>
      </c>
      <c r="G178" s="73"/>
      <c r="H178" s="73"/>
      <c r="I178" s="73"/>
      <c r="J178" s="73"/>
      <c r="K178" s="73"/>
      <c r="L178" s="73"/>
      <c r="M178"/>
      <c r="N178"/>
    </row>
    <row r="179" spans="2:14" x14ac:dyDescent="0.2">
      <c r="D179" s="73" t="s">
        <v>22</v>
      </c>
      <c r="E179" s="239">
        <v>16191</v>
      </c>
      <c r="F179" s="88">
        <v>396</v>
      </c>
      <c r="G179" s="73"/>
      <c r="H179" s="73"/>
      <c r="I179" s="73"/>
      <c r="J179" s="73"/>
      <c r="K179" s="73"/>
      <c r="L179" s="73"/>
      <c r="M179"/>
      <c r="N179"/>
    </row>
    <row r="180" spans="2:14" x14ac:dyDescent="0.2">
      <c r="D180" s="73" t="s">
        <v>22</v>
      </c>
      <c r="E180" s="239">
        <v>32351</v>
      </c>
      <c r="F180" s="90">
        <f>+F179</f>
        <v>396</v>
      </c>
      <c r="G180" s="73"/>
      <c r="H180" s="73"/>
      <c r="I180" s="73"/>
      <c r="J180" s="73"/>
      <c r="K180" s="73"/>
      <c r="L180" s="73"/>
      <c r="M180"/>
      <c r="N180"/>
    </row>
    <row r="181" spans="2:14" x14ac:dyDescent="0.2">
      <c r="D181" s="73" t="s">
        <v>22</v>
      </c>
      <c r="E181" s="239">
        <v>44791</v>
      </c>
      <c r="F181" s="88">
        <v>612</v>
      </c>
      <c r="G181" s="73"/>
      <c r="H181" s="73"/>
      <c r="I181" s="73"/>
      <c r="J181" s="73"/>
      <c r="K181" s="73"/>
      <c r="L181" s="73"/>
      <c r="M181"/>
      <c r="N181"/>
    </row>
    <row r="182" spans="2:14" x14ac:dyDescent="0.2">
      <c r="D182" s="73" t="s">
        <v>22</v>
      </c>
      <c r="E182" s="239">
        <v>64561</v>
      </c>
      <c r="F182" s="90">
        <f>+F181</f>
        <v>612</v>
      </c>
      <c r="G182" s="73"/>
      <c r="H182" s="73"/>
      <c r="I182" s="73"/>
      <c r="J182" s="73"/>
      <c r="K182" s="73"/>
      <c r="L182" s="73"/>
      <c r="M182"/>
      <c r="N182"/>
    </row>
    <row r="183" spans="2:14" x14ac:dyDescent="0.2">
      <c r="D183" s="73" t="s">
        <v>22</v>
      </c>
      <c r="E183" s="239">
        <v>79041</v>
      </c>
      <c r="F183" s="88">
        <v>828</v>
      </c>
      <c r="G183" s="73"/>
      <c r="H183" s="73"/>
      <c r="I183" s="73"/>
      <c r="J183" s="73"/>
      <c r="K183" s="73"/>
      <c r="L183" s="73"/>
      <c r="M183"/>
      <c r="N183"/>
    </row>
    <row r="184" spans="2:14" x14ac:dyDescent="0.2">
      <c r="D184" s="73" t="s">
        <v>22</v>
      </c>
      <c r="E184" s="239">
        <v>94851</v>
      </c>
      <c r="F184" s="90">
        <f>+F183</f>
        <v>828</v>
      </c>
      <c r="G184" s="73"/>
      <c r="H184" s="73"/>
      <c r="I184" s="73"/>
      <c r="J184" s="73"/>
      <c r="K184" s="73"/>
      <c r="L184" s="73"/>
      <c r="M184"/>
      <c r="N184"/>
    </row>
    <row r="185" spans="2:14" x14ac:dyDescent="0.2">
      <c r="D185" s="73" t="s">
        <v>22</v>
      </c>
      <c r="E185" s="239">
        <v>132781</v>
      </c>
      <c r="F185" s="90">
        <f>+F184</f>
        <v>828</v>
      </c>
      <c r="G185" s="73"/>
      <c r="H185" s="73"/>
      <c r="I185" s="73"/>
      <c r="J185" s="73"/>
      <c r="K185" s="73"/>
      <c r="L185" s="73"/>
      <c r="M185"/>
      <c r="N185"/>
    </row>
    <row r="186" spans="2:14" x14ac:dyDescent="0.2">
      <c r="D186" s="73"/>
      <c r="E186" s="77"/>
      <c r="F186" s="73"/>
      <c r="G186" s="73"/>
      <c r="H186" s="73"/>
      <c r="I186" s="73"/>
      <c r="J186" s="73"/>
      <c r="K186" s="73"/>
      <c r="L186" s="73"/>
      <c r="M186"/>
      <c r="N186"/>
    </row>
    <row r="187" spans="2:14" x14ac:dyDescent="0.2">
      <c r="D187" s="73"/>
      <c r="E187" s="77"/>
      <c r="F187" s="73"/>
      <c r="G187" s="73"/>
      <c r="H187" s="73"/>
      <c r="I187" s="73"/>
      <c r="J187" s="73"/>
      <c r="K187" s="73"/>
      <c r="L187" s="73"/>
      <c r="M187"/>
      <c r="N187"/>
    </row>
    <row r="188" spans="2:14" x14ac:dyDescent="0.2">
      <c r="D188" s="73"/>
      <c r="E188" s="77"/>
      <c r="F188" s="73"/>
      <c r="G188" s="73"/>
      <c r="H188" s="73"/>
      <c r="I188" s="73"/>
      <c r="J188" s="73"/>
      <c r="K188" s="73"/>
      <c r="L188" s="73"/>
      <c r="M188"/>
      <c r="N188"/>
    </row>
    <row r="189" spans="2:14" x14ac:dyDescent="0.2">
      <c r="D189" s="73" t="s">
        <v>209</v>
      </c>
      <c r="E189" s="238">
        <f ca="1">E167+E177</f>
        <v>21753</v>
      </c>
      <c r="F189" s="73"/>
      <c r="G189" s="73"/>
      <c r="H189" s="73"/>
      <c r="I189" s="73"/>
      <c r="J189" s="73"/>
      <c r="K189" s="73"/>
      <c r="L189" s="73"/>
      <c r="M189"/>
      <c r="N189"/>
    </row>
    <row r="190" spans="2:14" x14ac:dyDescent="0.2">
      <c r="D190" s="73"/>
      <c r="E190" s="77"/>
      <c r="F190" s="73"/>
      <c r="G190" s="73"/>
      <c r="H190" s="73"/>
      <c r="I190" s="73"/>
      <c r="J190" s="73"/>
      <c r="K190" s="73"/>
      <c r="L190" s="73"/>
      <c r="M190"/>
      <c r="N190"/>
    </row>
    <row r="191" spans="2:14" x14ac:dyDescent="0.2">
      <c r="D191" s="73"/>
      <c r="E191" s="77"/>
      <c r="F191" s="73"/>
      <c r="G191" s="73"/>
      <c r="H191" s="73"/>
      <c r="I191" s="73"/>
      <c r="J191" s="73"/>
      <c r="K191" s="73"/>
      <c r="L191" s="73"/>
      <c r="M191"/>
      <c r="N191"/>
    </row>
    <row r="192" spans="2:14" x14ac:dyDescent="0.2">
      <c r="D192" s="73"/>
      <c r="E192" s="77"/>
      <c r="F192" s="73"/>
      <c r="G192" s="73"/>
      <c r="H192" s="73"/>
      <c r="I192" s="73"/>
      <c r="J192" s="73"/>
      <c r="K192" s="73"/>
      <c r="L192" s="73"/>
      <c r="M192"/>
      <c r="N192"/>
    </row>
    <row r="193" spans="1:14" x14ac:dyDescent="0.2">
      <c r="A193" s="209"/>
      <c r="B193" s="209"/>
      <c r="C193" s="209"/>
      <c r="D193" s="210"/>
      <c r="E193" s="209"/>
      <c r="F193" s="210"/>
      <c r="G193" s="210"/>
      <c r="H193" s="210"/>
      <c r="I193" s="210"/>
      <c r="J193" s="210"/>
      <c r="K193" s="210"/>
      <c r="L193" s="210"/>
      <c r="M193"/>
      <c r="N193"/>
    </row>
    <row r="194" spans="1:14" x14ac:dyDescent="0.2">
      <c r="D194" s="91" t="s">
        <v>25</v>
      </c>
      <c r="H194" s="73"/>
      <c r="I194" s="73"/>
      <c r="J194" s="73"/>
      <c r="K194" s="73"/>
      <c r="L194" s="73"/>
      <c r="M194"/>
      <c r="N194"/>
    </row>
    <row r="195" spans="1:14" x14ac:dyDescent="0.2">
      <c r="D195" s="73"/>
      <c r="E195" s="77"/>
      <c r="F195" s="73"/>
      <c r="G195" s="73"/>
      <c r="H195" s="73"/>
      <c r="I195" s="73"/>
      <c r="J195" s="73"/>
      <c r="K195" s="73"/>
      <c r="L195" s="73"/>
      <c r="M195"/>
      <c r="N195"/>
    </row>
    <row r="196" spans="1:14" x14ac:dyDescent="0.2">
      <c r="D196" t="s">
        <v>140</v>
      </c>
      <c r="E196" s="220">
        <f ca="1">EI_IR_cotisations!G21</f>
        <v>331553.6434955849</v>
      </c>
      <c r="F196" s="73"/>
      <c r="G196" s="73"/>
      <c r="H196" s="73"/>
      <c r="I196" s="73"/>
      <c r="J196" s="73"/>
      <c r="K196" s="73"/>
      <c r="L196" s="73"/>
      <c r="M196"/>
      <c r="N196"/>
    </row>
    <row r="197" spans="1:14" x14ac:dyDescent="0.2">
      <c r="D197" s="73"/>
      <c r="E197" s="77"/>
      <c r="F197" s="73"/>
      <c r="G197" s="73"/>
      <c r="H197" s="73"/>
      <c r="I197" s="73"/>
      <c r="J197" s="73"/>
      <c r="K197" s="73"/>
      <c r="L197" s="73"/>
      <c r="M197"/>
      <c r="N197"/>
    </row>
    <row r="198" spans="1:14" x14ac:dyDescent="0.2">
      <c r="D198" s="73"/>
      <c r="E198" s="77"/>
      <c r="F198" s="73"/>
      <c r="G198" s="73"/>
      <c r="H198" s="73"/>
      <c r="I198" s="73"/>
      <c r="J198" s="73"/>
      <c r="K198" s="73"/>
      <c r="L198" s="73"/>
      <c r="M198"/>
      <c r="N198"/>
    </row>
    <row r="199" spans="1:14" x14ac:dyDescent="0.2">
      <c r="D199" s="73"/>
      <c r="E199" s="77"/>
      <c r="F199" s="73"/>
      <c r="G199" s="73"/>
      <c r="H199" s="73"/>
      <c r="I199" s="73"/>
      <c r="J199" s="73"/>
      <c r="K199" s="73"/>
      <c r="L199" s="73"/>
      <c r="M199"/>
      <c r="N199"/>
    </row>
    <row r="200" spans="1:14" ht="13.5" thickBot="1" x14ac:dyDescent="0.25">
      <c r="D200" s="73"/>
      <c r="E200" s="77"/>
      <c r="F200" s="73"/>
      <c r="G200" s="73"/>
      <c r="H200" s="73"/>
      <c r="I200" s="73"/>
      <c r="J200" s="73"/>
      <c r="K200" s="73"/>
      <c r="L200" s="73"/>
      <c r="M200"/>
      <c r="N200"/>
    </row>
    <row r="201" spans="1:14" ht="14.25" thickTop="1" thickBot="1" x14ac:dyDescent="0.25">
      <c r="B201" s="111" t="s">
        <v>355</v>
      </c>
      <c r="D201" s="108" t="s">
        <v>198</v>
      </c>
      <c r="E201" s="116">
        <f ca="1">MIN(E196,E202)*F202</f>
        <v>14397.6</v>
      </c>
      <c r="F201" s="73"/>
      <c r="G201" s="73"/>
      <c r="H201" s="73"/>
      <c r="I201" s="73"/>
      <c r="J201" s="73"/>
      <c r="K201" s="73"/>
      <c r="L201" s="73"/>
      <c r="M201"/>
      <c r="N201"/>
    </row>
    <row r="202" spans="1:14" ht="13.5" thickTop="1" x14ac:dyDescent="0.2">
      <c r="D202" s="73" t="str">
        <f>"&lt;"&amp;TEXT(E202,"000 0")</f>
        <v>&lt;143 976</v>
      </c>
      <c r="E202" s="240">
        <f>3.5*E2</f>
        <v>143976</v>
      </c>
      <c r="F202" s="86">
        <v>0.1</v>
      </c>
      <c r="G202" s="73"/>
      <c r="H202" s="73"/>
      <c r="I202" s="73"/>
      <c r="J202" s="73"/>
      <c r="K202" s="73"/>
      <c r="L202" s="73"/>
      <c r="M202"/>
      <c r="N202"/>
    </row>
    <row r="203" spans="1:14" ht="13.5" thickBot="1" x14ac:dyDescent="0.25">
      <c r="D203" s="73"/>
      <c r="E203" s="77"/>
      <c r="F203" s="73"/>
      <c r="G203" s="73"/>
      <c r="H203" s="73"/>
      <c r="I203" s="73"/>
      <c r="J203" s="73"/>
      <c r="K203" s="73"/>
      <c r="L203" s="73"/>
      <c r="M203"/>
      <c r="N203"/>
    </row>
    <row r="204" spans="1:14" ht="14.25" thickTop="1" thickBot="1" x14ac:dyDescent="0.25">
      <c r="B204" s="111" t="s">
        <v>356</v>
      </c>
      <c r="D204" s="108" t="s">
        <v>54</v>
      </c>
      <c r="E204" s="116">
        <f ca="1">VLOOKUP(E196,E205:F207,2,TRUE)</f>
        <v>863</v>
      </c>
      <c r="F204" s="73"/>
      <c r="G204" s="73"/>
      <c r="H204" s="73"/>
      <c r="I204" s="73"/>
      <c r="J204" s="73"/>
      <c r="K204" s="73"/>
      <c r="L204" s="73"/>
      <c r="M204"/>
      <c r="N204"/>
    </row>
    <row r="205" spans="1:14" ht="13.5" thickTop="1" x14ac:dyDescent="0.2">
      <c r="D205" s="73"/>
      <c r="E205" s="123">
        <v>0</v>
      </c>
      <c r="F205" s="76">
        <v>631</v>
      </c>
      <c r="G205" s="73"/>
      <c r="H205" s="73"/>
      <c r="I205" s="73"/>
      <c r="J205" s="73"/>
      <c r="K205" s="73"/>
      <c r="L205" s="73"/>
      <c r="M205"/>
      <c r="N205"/>
    </row>
    <row r="206" spans="1:14" x14ac:dyDescent="0.2">
      <c r="D206" s="73"/>
      <c r="E206" s="123">
        <f>E2</f>
        <v>41136</v>
      </c>
      <c r="F206" s="76">
        <v>738</v>
      </c>
      <c r="G206" s="73"/>
      <c r="H206" s="73"/>
      <c r="I206" s="73"/>
      <c r="J206" s="73"/>
      <c r="K206" s="73"/>
      <c r="L206" s="73"/>
      <c r="M206"/>
      <c r="N206"/>
    </row>
    <row r="207" spans="1:14" x14ac:dyDescent="0.2">
      <c r="D207" s="73"/>
      <c r="E207" s="123">
        <f>E206*3</f>
        <v>123408</v>
      </c>
      <c r="F207" s="76">
        <v>863</v>
      </c>
      <c r="G207" s="73"/>
      <c r="H207" s="73"/>
      <c r="I207" s="73"/>
      <c r="J207" s="73"/>
      <c r="K207" s="73"/>
      <c r="L207" s="73"/>
      <c r="M207"/>
      <c r="N207"/>
    </row>
    <row r="208" spans="1:14" ht="13.5" thickBot="1" x14ac:dyDescent="0.25">
      <c r="D208" s="73"/>
      <c r="E208" s="77"/>
      <c r="F208" s="73"/>
      <c r="G208" s="73"/>
      <c r="H208" s="73"/>
      <c r="I208" s="73"/>
      <c r="J208" s="73"/>
      <c r="K208" s="73"/>
      <c r="L208" s="73"/>
      <c r="M208"/>
      <c r="N208"/>
    </row>
    <row r="209" spans="2:14" ht="14.25" thickTop="1" thickBot="1" x14ac:dyDescent="0.25">
      <c r="B209" s="111" t="s">
        <v>357</v>
      </c>
      <c r="D209" s="108" t="s">
        <v>23</v>
      </c>
      <c r="E209" s="116">
        <f ca="1">MIN(E211*E196,F211)</f>
        <v>205.68</v>
      </c>
      <c r="F209" s="73"/>
      <c r="G209" s="73"/>
      <c r="H209" s="73"/>
      <c r="I209" s="73"/>
      <c r="J209" s="73"/>
      <c r="K209" s="73"/>
      <c r="L209" s="73"/>
      <c r="M209"/>
      <c r="N209"/>
    </row>
    <row r="210" spans="2:14" ht="13.5" thickTop="1" x14ac:dyDescent="0.2">
      <c r="D210" s="72"/>
      <c r="F210" s="77" t="s">
        <v>382</v>
      </c>
      <c r="G210" s="73"/>
      <c r="H210" s="73"/>
      <c r="I210" s="73"/>
      <c r="J210" s="73"/>
      <c r="K210" s="73"/>
      <c r="L210" s="73"/>
      <c r="M210"/>
      <c r="N210"/>
    </row>
    <row r="211" spans="2:14" x14ac:dyDescent="0.2">
      <c r="D211" s="73" t="s">
        <v>207</v>
      </c>
      <c r="E211" s="241">
        <v>5.0000000000000001E-3</v>
      </c>
      <c r="F211" s="245">
        <f>E2*0.5%</f>
        <v>205.68</v>
      </c>
      <c r="G211" s="73"/>
      <c r="H211" s="73"/>
      <c r="I211" s="73"/>
      <c r="J211" s="73"/>
      <c r="K211" s="73"/>
      <c r="L211" s="73"/>
      <c r="M211"/>
      <c r="N211"/>
    </row>
    <row r="212" spans="2:14" x14ac:dyDescent="0.2">
      <c r="D212" s="111"/>
      <c r="F212" s="73"/>
      <c r="G212" s="111"/>
      <c r="H212" s="73"/>
      <c r="I212" s="73"/>
      <c r="J212" s="73"/>
      <c r="K212" s="73"/>
      <c r="L212" s="73"/>
      <c r="M212"/>
      <c r="N212"/>
    </row>
    <row r="213" spans="2:14" ht="13.5" thickBot="1" x14ac:dyDescent="0.25">
      <c r="D213" s="72"/>
      <c r="E213" s="77"/>
      <c r="F213" s="73"/>
      <c r="G213" s="73"/>
      <c r="H213" s="73"/>
      <c r="I213" s="73"/>
      <c r="J213" s="73"/>
      <c r="K213" s="73"/>
      <c r="L213" s="73"/>
      <c r="M213"/>
      <c r="N213"/>
    </row>
    <row r="214" spans="2:14" ht="14.25" thickTop="1" thickBot="1" x14ac:dyDescent="0.25">
      <c r="B214" s="111" t="s">
        <v>358</v>
      </c>
      <c r="D214" s="108" t="s">
        <v>215</v>
      </c>
      <c r="E214" s="242">
        <v>1712</v>
      </c>
      <c r="F214" s="73"/>
      <c r="G214" s="73"/>
      <c r="H214" s="73"/>
      <c r="I214" s="73"/>
      <c r="J214" s="73"/>
      <c r="K214" s="73"/>
      <c r="L214" s="73"/>
      <c r="M214"/>
      <c r="N214"/>
    </row>
    <row r="215" spans="2:14" ht="13.5" thickTop="1" x14ac:dyDescent="0.2">
      <c r="D215" s="111"/>
      <c r="F215" s="73"/>
      <c r="G215" s="111"/>
      <c r="H215" s="73"/>
      <c r="I215" s="73"/>
      <c r="J215" s="73"/>
      <c r="K215" s="73"/>
      <c r="L215" s="111"/>
      <c r="M215"/>
      <c r="N215"/>
    </row>
    <row r="216" spans="2:14" x14ac:dyDescent="0.2">
      <c r="D216" s="111"/>
      <c r="F216" s="73"/>
      <c r="G216" s="111"/>
      <c r="H216" s="73"/>
      <c r="I216" s="73"/>
      <c r="J216" s="73"/>
      <c r="K216" s="73"/>
      <c r="L216" s="111"/>
      <c r="M216"/>
      <c r="N216"/>
    </row>
    <row r="217" spans="2:14" x14ac:dyDescent="0.2">
      <c r="D217" s="111"/>
      <c r="F217" s="111"/>
      <c r="G217" s="111"/>
      <c r="H217" s="73"/>
      <c r="I217" s="73"/>
      <c r="J217" s="73"/>
      <c r="K217" s="73"/>
      <c r="L217" s="111"/>
      <c r="M217"/>
      <c r="N217"/>
    </row>
    <row r="218" spans="2:14" ht="13.5" thickBot="1" x14ac:dyDescent="0.25">
      <c r="D218" s="73"/>
      <c r="E218" s="77"/>
      <c r="F218" s="73"/>
      <c r="G218" s="73"/>
      <c r="H218" s="73"/>
      <c r="I218" s="73"/>
      <c r="J218" s="73"/>
      <c r="K218" s="73"/>
      <c r="L218" s="73"/>
      <c r="M218"/>
      <c r="N218"/>
    </row>
    <row r="219" spans="2:14" ht="14.25" thickTop="1" thickBot="1" x14ac:dyDescent="0.25">
      <c r="B219" s="111" t="s">
        <v>359</v>
      </c>
      <c r="D219" s="108" t="s">
        <v>216</v>
      </c>
      <c r="E219" s="116">
        <f ca="1">MIN(5*E2,E196)*E220</f>
        <v>2605.3485599999999</v>
      </c>
      <c r="F219" s="73"/>
      <c r="G219" s="73"/>
      <c r="H219" s="73"/>
      <c r="I219" s="73"/>
      <c r="J219" s="73"/>
      <c r="K219" s="73"/>
      <c r="L219" s="73"/>
      <c r="M219"/>
      <c r="N219"/>
    </row>
    <row r="220" spans="2:14" ht="13.5" thickTop="1" x14ac:dyDescent="0.2">
      <c r="D220" s="72" t="s">
        <v>207</v>
      </c>
      <c r="E220" s="241">
        <v>1.2666999999999999E-2</v>
      </c>
      <c r="G220" s="73"/>
      <c r="H220" s="73"/>
      <c r="I220" s="73"/>
      <c r="J220" s="73"/>
      <c r="K220" s="73"/>
      <c r="L220" s="73"/>
      <c r="M220"/>
      <c r="N220"/>
    </row>
    <row r="221" spans="2:14" x14ac:dyDescent="0.2">
      <c r="D221" s="111"/>
      <c r="F221" s="111"/>
      <c r="G221" s="111"/>
      <c r="H221" s="73"/>
      <c r="I221" s="73"/>
      <c r="J221" s="73"/>
      <c r="K221" s="73"/>
      <c r="L221" s="73"/>
      <c r="M221"/>
      <c r="N221"/>
    </row>
    <row r="222" spans="2:14" x14ac:dyDescent="0.2">
      <c r="D222" s="73"/>
      <c r="E222" s="77"/>
      <c r="F222" s="73"/>
      <c r="G222" s="73"/>
      <c r="H222" s="73"/>
      <c r="I222" s="73"/>
      <c r="J222" s="73"/>
      <c r="K222" s="73"/>
      <c r="L222" s="73"/>
      <c r="M222"/>
      <c r="N222"/>
    </row>
    <row r="223" spans="2:14" x14ac:dyDescent="0.2">
      <c r="D223" s="73"/>
      <c r="E223" s="77"/>
      <c r="F223" s="73"/>
      <c r="G223" s="73"/>
      <c r="H223" s="73"/>
      <c r="I223" s="73"/>
      <c r="J223" s="73"/>
      <c r="K223" s="73"/>
      <c r="L223" s="73"/>
      <c r="M223"/>
      <c r="N223"/>
    </row>
    <row r="224" spans="2:14" ht="13.5" thickBot="1" x14ac:dyDescent="0.25">
      <c r="D224" s="73"/>
      <c r="E224" s="77"/>
      <c r="F224" s="73"/>
      <c r="G224" s="73"/>
      <c r="H224" s="73"/>
      <c r="I224" s="73"/>
      <c r="J224" s="73"/>
      <c r="K224" s="73"/>
      <c r="L224" s="73"/>
      <c r="M224"/>
      <c r="N224"/>
    </row>
    <row r="225" spans="1:14" ht="14.25" thickTop="1" thickBot="1" x14ac:dyDescent="0.25">
      <c r="B225" s="111" t="s">
        <v>360</v>
      </c>
      <c r="D225" s="108" t="s">
        <v>217</v>
      </c>
      <c r="E225" s="116">
        <f ca="1">-E196*VLOOKUP(E196,E226:F228,2,TRUE)</f>
        <v>-3713.4008071505509</v>
      </c>
      <c r="F225" s="73"/>
      <c r="G225" s="73"/>
      <c r="H225" s="73"/>
      <c r="I225" s="73"/>
      <c r="J225" s="73"/>
      <c r="K225" s="73"/>
      <c r="L225" s="73"/>
      <c r="M225"/>
      <c r="N225"/>
    </row>
    <row r="226" spans="1:14" ht="13.5" thickTop="1" x14ac:dyDescent="0.2">
      <c r="D226" s="73"/>
      <c r="E226" s="123">
        <v>0</v>
      </c>
      <c r="F226" s="79">
        <v>2.1499999999999998E-2</v>
      </c>
      <c r="G226" s="73"/>
      <c r="H226" s="73"/>
      <c r="I226" s="73"/>
      <c r="J226" s="73"/>
      <c r="K226" s="73"/>
      <c r="L226" s="73"/>
      <c r="M226"/>
      <c r="N226"/>
    </row>
    <row r="227" spans="1:14" x14ac:dyDescent="0.2">
      <c r="D227" s="73"/>
      <c r="E227" s="123">
        <f>E2*1.4</f>
        <v>57590.399999999994</v>
      </c>
      <c r="F227" s="79">
        <v>1.5100000000000001E-2</v>
      </c>
      <c r="G227" s="73"/>
      <c r="H227" s="73"/>
      <c r="I227" s="73"/>
      <c r="J227" s="73"/>
      <c r="K227" s="73"/>
      <c r="L227" s="73"/>
      <c r="M227"/>
      <c r="N227"/>
    </row>
    <row r="228" spans="1:14" x14ac:dyDescent="0.2">
      <c r="D228" s="73"/>
      <c r="E228" s="123">
        <f>E2*2.5</f>
        <v>102840</v>
      </c>
      <c r="F228" s="79">
        <v>1.12E-2</v>
      </c>
      <c r="G228" s="73"/>
      <c r="H228" s="73"/>
      <c r="I228" s="73"/>
      <c r="J228" s="73"/>
      <c r="K228" s="73"/>
      <c r="L228" s="73"/>
      <c r="M228"/>
      <c r="N228"/>
    </row>
    <row r="229" spans="1:14" x14ac:dyDescent="0.2">
      <c r="D229" s="73"/>
      <c r="E229" s="77"/>
      <c r="F229" s="73"/>
      <c r="G229" s="73"/>
      <c r="H229" s="73"/>
      <c r="I229" s="73"/>
      <c r="J229" s="73"/>
      <c r="K229" s="73"/>
      <c r="L229" s="73"/>
      <c r="M229"/>
      <c r="N229"/>
    </row>
    <row r="230" spans="1:14" x14ac:dyDescent="0.2">
      <c r="D230" s="73"/>
      <c r="E230" s="77"/>
      <c r="F230" s="73"/>
      <c r="G230" s="73"/>
      <c r="H230" s="73"/>
      <c r="I230" s="73"/>
      <c r="J230" s="73"/>
      <c r="K230" s="73"/>
      <c r="L230" s="73"/>
      <c r="M230"/>
      <c r="N230"/>
    </row>
    <row r="231" spans="1:14" x14ac:dyDescent="0.2">
      <c r="D231" s="73"/>
      <c r="E231" s="238">
        <f ca="1">E201+E204+E209+E214+E219+E225</f>
        <v>16070.227752849447</v>
      </c>
      <c r="F231" s="73"/>
      <c r="G231" s="73"/>
      <c r="H231" s="73"/>
      <c r="I231" s="73"/>
      <c r="J231" s="73"/>
      <c r="K231" s="73"/>
      <c r="L231" s="73"/>
      <c r="M231"/>
      <c r="N231"/>
    </row>
    <row r="232" spans="1:14" x14ac:dyDescent="0.2">
      <c r="D232" s="73"/>
      <c r="E232" s="77"/>
      <c r="F232" s="73"/>
      <c r="G232" s="73"/>
      <c r="H232" s="73"/>
      <c r="I232" s="73"/>
      <c r="J232" s="73"/>
      <c r="K232" s="73"/>
      <c r="L232" s="73"/>
      <c r="M232"/>
      <c r="N232"/>
    </row>
    <row r="233" spans="1:14" x14ac:dyDescent="0.2">
      <c r="D233" s="73"/>
      <c r="E233" s="77"/>
      <c r="F233" s="73"/>
      <c r="G233" s="73"/>
      <c r="H233" s="73"/>
      <c r="I233" s="73"/>
      <c r="J233" s="73"/>
      <c r="K233" s="73"/>
      <c r="L233" s="73"/>
      <c r="M233"/>
      <c r="N233"/>
    </row>
    <row r="234" spans="1:14" x14ac:dyDescent="0.2">
      <c r="A234" s="209"/>
      <c r="B234" s="209"/>
      <c r="C234" s="209"/>
      <c r="D234" s="210"/>
      <c r="E234" s="209"/>
      <c r="F234" s="210"/>
      <c r="G234" s="210"/>
      <c r="H234" s="210"/>
      <c r="I234" s="210"/>
      <c r="J234" s="210"/>
      <c r="K234" s="210"/>
      <c r="L234" s="210"/>
      <c r="M234"/>
      <c r="N234"/>
    </row>
    <row r="235" spans="1:14" x14ac:dyDescent="0.2">
      <c r="D235" s="91" t="s">
        <v>25</v>
      </c>
      <c r="H235" s="73"/>
      <c r="I235" s="73"/>
      <c r="J235" s="73"/>
      <c r="K235" s="73"/>
      <c r="L235" s="73"/>
      <c r="M235"/>
      <c r="N235"/>
    </row>
    <row r="236" spans="1:14" x14ac:dyDescent="0.2">
      <c r="D236" s="73"/>
      <c r="E236" s="77"/>
      <c r="F236" s="73"/>
      <c r="G236" s="73"/>
      <c r="H236" s="73"/>
      <c r="I236" s="73"/>
      <c r="J236" s="73"/>
      <c r="K236" s="73"/>
      <c r="L236" s="73"/>
      <c r="M236"/>
      <c r="N236"/>
    </row>
    <row r="237" spans="1:14" x14ac:dyDescent="0.2">
      <c r="D237" t="s">
        <v>140</v>
      </c>
      <c r="E237" s="220">
        <f ca="1">EI_IR_cotisations!G21</f>
        <v>331553.6434955849</v>
      </c>
      <c r="F237" s="73"/>
      <c r="G237" s="73"/>
      <c r="H237" s="73"/>
      <c r="I237" s="73"/>
      <c r="J237" s="73"/>
      <c r="K237" s="73"/>
      <c r="L237" s="73"/>
      <c r="M237"/>
      <c r="N237"/>
    </row>
    <row r="238" spans="1:14" x14ac:dyDescent="0.2">
      <c r="D238" s="73"/>
      <c r="E238" s="77"/>
      <c r="F238" s="73"/>
      <c r="G238" s="73"/>
      <c r="H238" s="73"/>
      <c r="I238" s="73"/>
      <c r="J238" s="73"/>
      <c r="K238" s="73"/>
      <c r="L238" s="73"/>
      <c r="M238"/>
      <c r="N238"/>
    </row>
    <row r="239" spans="1:14" x14ac:dyDescent="0.2">
      <c r="D239" s="73"/>
      <c r="E239" s="77"/>
      <c r="F239" s="73"/>
      <c r="G239" s="73"/>
      <c r="H239" s="73"/>
      <c r="I239" s="73"/>
      <c r="J239" s="73"/>
      <c r="K239" s="73"/>
      <c r="L239" s="73"/>
      <c r="M239"/>
      <c r="N239"/>
    </row>
    <row r="240" spans="1:14" x14ac:dyDescent="0.2">
      <c r="D240" s="73"/>
      <c r="E240" s="77"/>
      <c r="F240" s="73"/>
      <c r="G240" s="73"/>
      <c r="H240" s="73"/>
      <c r="I240" s="73"/>
      <c r="J240" s="73"/>
      <c r="K240" s="73"/>
      <c r="L240" s="73"/>
      <c r="M240"/>
      <c r="N240"/>
    </row>
    <row r="241" spans="2:14" ht="13.5" thickBot="1" x14ac:dyDescent="0.25">
      <c r="D241" s="73"/>
      <c r="E241" s="77"/>
      <c r="F241" s="73"/>
      <c r="G241" s="73"/>
      <c r="H241" s="73"/>
      <c r="I241" s="73"/>
      <c r="J241" s="73"/>
      <c r="K241" s="73"/>
      <c r="L241" s="73"/>
      <c r="M241"/>
      <c r="N241"/>
    </row>
    <row r="242" spans="2:14" ht="14.25" thickTop="1" thickBot="1" x14ac:dyDescent="0.25">
      <c r="B242" s="111" t="s">
        <v>361</v>
      </c>
      <c r="D242" s="108" t="s">
        <v>198</v>
      </c>
      <c r="E242" s="116">
        <f ca="1">MIN(E237,E243)*F243</f>
        <v>14397.6</v>
      </c>
      <c r="F242" s="73"/>
      <c r="G242" s="73"/>
      <c r="H242" s="73"/>
      <c r="I242" s="73"/>
      <c r="J242" s="73"/>
      <c r="K242" s="73"/>
      <c r="L242" s="73"/>
      <c r="M242"/>
      <c r="N242"/>
    </row>
    <row r="243" spans="2:14" ht="13.5" thickTop="1" x14ac:dyDescent="0.2">
      <c r="D243" s="73" t="str">
        <f>"&lt;"&amp;TEXT(E243,"000 0")</f>
        <v>&lt;143 976</v>
      </c>
      <c r="E243" s="74">
        <f>3.5*E2</f>
        <v>143976</v>
      </c>
      <c r="F243" s="86">
        <v>0.1</v>
      </c>
      <c r="G243" s="73"/>
      <c r="H243" s="73"/>
      <c r="I243" s="73"/>
      <c r="J243" s="73"/>
      <c r="K243" s="73"/>
      <c r="L243" s="73"/>
      <c r="M243"/>
      <c r="N243"/>
    </row>
    <row r="244" spans="2:14" ht="13.5" thickBot="1" x14ac:dyDescent="0.25">
      <c r="D244" s="73"/>
      <c r="E244" s="77"/>
      <c r="F244" s="73"/>
      <c r="G244" s="73"/>
      <c r="H244" s="73"/>
      <c r="I244" s="73"/>
      <c r="J244" s="73"/>
      <c r="K244" s="73"/>
      <c r="L244" s="73"/>
      <c r="M244"/>
      <c r="N244"/>
    </row>
    <row r="245" spans="2:14" ht="14.25" thickTop="1" thickBot="1" x14ac:dyDescent="0.25">
      <c r="B245" s="111" t="s">
        <v>362</v>
      </c>
      <c r="D245" s="108" t="s">
        <v>54</v>
      </c>
      <c r="E245" s="116">
        <f ca="1">VLOOKUP(E237,E246:F248,2,TRUE)</f>
        <v>863</v>
      </c>
      <c r="F245" s="73"/>
      <c r="G245" s="73"/>
      <c r="H245" s="73"/>
      <c r="I245" s="73"/>
      <c r="J245" s="73"/>
      <c r="K245" s="73"/>
      <c r="L245" s="73"/>
      <c r="M245"/>
      <c r="N245"/>
    </row>
    <row r="246" spans="2:14" ht="13.5" thickTop="1" x14ac:dyDescent="0.2">
      <c r="D246" s="73"/>
      <c r="E246" s="123">
        <v>0</v>
      </c>
      <c r="F246" s="76">
        <v>631</v>
      </c>
      <c r="G246" s="73"/>
      <c r="H246" s="73"/>
      <c r="I246" s="73"/>
      <c r="J246" s="73"/>
      <c r="K246" s="73"/>
      <c r="L246" s="73"/>
      <c r="M246"/>
      <c r="N246"/>
    </row>
    <row r="247" spans="2:14" x14ac:dyDescent="0.2">
      <c r="D247" s="73"/>
      <c r="E247" s="123">
        <f>E2</f>
        <v>41136</v>
      </c>
      <c r="F247" s="76">
        <v>738</v>
      </c>
      <c r="G247" s="73"/>
      <c r="H247" s="73"/>
      <c r="I247" s="73"/>
      <c r="J247" s="73"/>
      <c r="K247" s="73"/>
      <c r="L247" s="73"/>
      <c r="M247"/>
      <c r="N247"/>
    </row>
    <row r="248" spans="2:14" x14ac:dyDescent="0.2">
      <c r="D248" s="73"/>
      <c r="E248" s="123">
        <f>E247*3</f>
        <v>123408</v>
      </c>
      <c r="F248" s="76">
        <v>863</v>
      </c>
      <c r="G248" s="73"/>
      <c r="H248" s="73"/>
      <c r="I248" s="73"/>
      <c r="J248" s="73"/>
      <c r="K248" s="73"/>
      <c r="L248" s="73"/>
      <c r="M248"/>
      <c r="N248"/>
    </row>
    <row r="249" spans="2:14" ht="13.5" thickBot="1" x14ac:dyDescent="0.25">
      <c r="D249" s="73"/>
      <c r="E249" s="77"/>
      <c r="F249" s="73"/>
      <c r="G249" s="73"/>
      <c r="H249" s="73"/>
      <c r="I249" s="73"/>
      <c r="J249" s="73"/>
      <c r="K249" s="73"/>
      <c r="L249" s="73"/>
      <c r="M249"/>
      <c r="N249"/>
    </row>
    <row r="250" spans="2:14" ht="14.25" thickTop="1" thickBot="1" x14ac:dyDescent="0.25">
      <c r="B250" s="111" t="s">
        <v>363</v>
      </c>
      <c r="D250" s="108" t="s">
        <v>23</v>
      </c>
      <c r="E250" s="116">
        <f ca="1">MIN(F252,E252*E237)</f>
        <v>205.68</v>
      </c>
      <c r="F250" s="73"/>
      <c r="G250" s="73"/>
      <c r="H250" s="73"/>
      <c r="I250" s="73"/>
      <c r="J250" s="73"/>
      <c r="K250" s="73"/>
      <c r="L250" s="73"/>
      <c r="M250"/>
      <c r="N250"/>
    </row>
    <row r="251" spans="2:14" ht="13.5" thickTop="1" x14ac:dyDescent="0.2">
      <c r="D251" s="72"/>
      <c r="E251" s="123"/>
      <c r="F251" s="77" t="s">
        <v>382</v>
      </c>
      <c r="G251" s="73"/>
      <c r="H251" s="73"/>
      <c r="I251" s="73"/>
      <c r="J251" s="73"/>
      <c r="K251" s="73"/>
      <c r="L251" s="73"/>
      <c r="M251"/>
      <c r="N251"/>
    </row>
    <row r="252" spans="2:14" x14ac:dyDescent="0.2">
      <c r="D252" s="73" t="s">
        <v>207</v>
      </c>
      <c r="E252" s="241">
        <v>5.0000000000000001E-3</v>
      </c>
      <c r="F252" s="245">
        <f>E2*0.5%</f>
        <v>205.68</v>
      </c>
      <c r="G252" s="73"/>
      <c r="H252" s="73"/>
      <c r="I252" s="73"/>
      <c r="J252" s="73"/>
      <c r="K252" s="73"/>
      <c r="L252" s="73"/>
      <c r="M252"/>
      <c r="N252"/>
    </row>
    <row r="253" spans="2:14" ht="13.5" thickBot="1" x14ac:dyDescent="0.25">
      <c r="D253" s="72"/>
      <c r="E253" s="77"/>
      <c r="F253" s="73"/>
      <c r="G253" s="73"/>
      <c r="H253" s="73"/>
      <c r="I253" s="73"/>
      <c r="J253" s="73"/>
      <c r="K253" s="73"/>
      <c r="L253" s="73"/>
      <c r="M253"/>
      <c r="N253"/>
    </row>
    <row r="254" spans="2:14" ht="14.25" thickTop="1" thickBot="1" x14ac:dyDescent="0.25">
      <c r="B254" s="111" t="s">
        <v>364</v>
      </c>
      <c r="D254" s="108" t="s">
        <v>215</v>
      </c>
      <c r="E254" s="242">
        <v>5136</v>
      </c>
      <c r="F254" s="73"/>
      <c r="G254" s="73"/>
      <c r="H254" s="73"/>
      <c r="I254" s="73"/>
      <c r="J254" s="73"/>
      <c r="K254" s="73"/>
      <c r="L254" s="73"/>
      <c r="M254"/>
      <c r="N254"/>
    </row>
    <row r="255" spans="2:14" ht="13.5" thickTop="1" x14ac:dyDescent="0.2">
      <c r="D255" s="111"/>
      <c r="F255" s="73"/>
      <c r="G255" s="111"/>
      <c r="H255" s="73"/>
      <c r="I255" s="73"/>
      <c r="J255" s="73"/>
      <c r="K255" s="73"/>
      <c r="L255" s="73"/>
      <c r="M255"/>
      <c r="N255"/>
    </row>
    <row r="256" spans="2:14" x14ac:dyDescent="0.2">
      <c r="D256" s="111"/>
      <c r="F256" s="73"/>
      <c r="G256" s="111"/>
      <c r="H256" s="73"/>
      <c r="I256" s="73"/>
      <c r="J256" s="73"/>
      <c r="K256" s="73"/>
      <c r="L256" s="73"/>
      <c r="M256"/>
      <c r="N256"/>
    </row>
    <row r="257" spans="1:14" x14ac:dyDescent="0.2">
      <c r="D257" s="73"/>
      <c r="E257" s="77"/>
      <c r="F257" s="73"/>
      <c r="G257" s="73"/>
      <c r="H257" s="73"/>
      <c r="I257" s="73"/>
      <c r="J257" s="73"/>
      <c r="K257" s="73"/>
      <c r="L257" s="73"/>
      <c r="M257"/>
      <c r="N257"/>
    </row>
    <row r="258" spans="1:14" ht="13.5" thickBot="1" x14ac:dyDescent="0.25">
      <c r="D258" s="73"/>
      <c r="E258" s="77"/>
      <c r="F258" s="73"/>
      <c r="G258" s="73"/>
      <c r="H258" s="73"/>
      <c r="I258" s="73"/>
      <c r="J258" s="73"/>
      <c r="K258" s="73"/>
      <c r="L258" s="73"/>
      <c r="M258"/>
      <c r="N258"/>
    </row>
    <row r="259" spans="1:14" ht="14.25" thickTop="1" thickBot="1" x14ac:dyDescent="0.25">
      <c r="B259" s="111" t="s">
        <v>365</v>
      </c>
      <c r="D259" s="108" t="s">
        <v>216</v>
      </c>
      <c r="E259" s="116">
        <f ca="1">MIN(5*E2,E237)*E260</f>
        <v>7815.84</v>
      </c>
      <c r="F259" s="73"/>
      <c r="G259" s="73"/>
      <c r="H259" s="73"/>
      <c r="I259" s="73"/>
      <c r="J259" s="73"/>
      <c r="K259" s="73"/>
      <c r="L259" s="73"/>
      <c r="M259"/>
      <c r="N259"/>
    </row>
    <row r="260" spans="1:14" ht="13.5" thickTop="1" x14ac:dyDescent="0.2">
      <c r="D260" s="72" t="s">
        <v>207</v>
      </c>
      <c r="E260" s="241">
        <v>3.7999999999999999E-2</v>
      </c>
      <c r="G260" s="73"/>
      <c r="H260" s="73"/>
      <c r="I260" s="73"/>
      <c r="J260" s="73"/>
      <c r="K260" s="73"/>
      <c r="L260" s="73"/>
      <c r="M260"/>
      <c r="N260"/>
    </row>
    <row r="261" spans="1:14" x14ac:dyDescent="0.2">
      <c r="D261" s="73"/>
      <c r="E261" s="77"/>
      <c r="F261" s="73"/>
      <c r="G261" s="73"/>
      <c r="H261" s="73"/>
      <c r="I261" s="73"/>
      <c r="J261" s="73"/>
      <c r="K261" s="73"/>
      <c r="L261" s="73"/>
      <c r="M261"/>
      <c r="N261"/>
    </row>
    <row r="262" spans="1:14" x14ac:dyDescent="0.2">
      <c r="D262" s="73"/>
      <c r="E262" s="77"/>
      <c r="F262" s="73"/>
      <c r="G262" s="73"/>
      <c r="H262" s="73"/>
      <c r="I262" s="73"/>
      <c r="J262" s="73"/>
      <c r="K262" s="73"/>
      <c r="L262" s="73"/>
      <c r="M262"/>
      <c r="N262"/>
    </row>
    <row r="263" spans="1:14" x14ac:dyDescent="0.2">
      <c r="D263" s="73"/>
      <c r="E263" s="238">
        <f ca="1">+E242+E245+E250+E254+E259</f>
        <v>28418.12</v>
      </c>
      <c r="F263" s="73"/>
      <c r="G263" s="73"/>
      <c r="H263" s="73"/>
      <c r="I263" s="73"/>
      <c r="J263" s="73"/>
      <c r="K263" s="73"/>
      <c r="L263" s="73"/>
      <c r="M263"/>
      <c r="N263"/>
    </row>
    <row r="264" spans="1:14" x14ac:dyDescent="0.2">
      <c r="D264" s="73"/>
      <c r="E264" s="77"/>
      <c r="F264" s="73"/>
      <c r="G264" s="73"/>
      <c r="H264" s="73"/>
      <c r="I264" s="109"/>
      <c r="J264" s="109"/>
      <c r="K264" s="73"/>
      <c r="L264" s="73"/>
      <c r="M264"/>
      <c r="N264"/>
    </row>
    <row r="265" spans="1:14" x14ac:dyDescent="0.2">
      <c r="D265" s="73"/>
      <c r="E265" s="77"/>
      <c r="F265" s="73"/>
      <c r="G265" s="73"/>
      <c r="H265" s="73"/>
      <c r="I265" s="73"/>
      <c r="J265" s="73"/>
      <c r="K265" s="73"/>
      <c r="L265" s="73"/>
      <c r="M265"/>
      <c r="N265"/>
    </row>
    <row r="266" spans="1:14" x14ac:dyDescent="0.2">
      <c r="A266" s="209"/>
      <c r="B266" s="209"/>
      <c r="C266" s="209"/>
      <c r="D266" s="210"/>
      <c r="E266" s="209"/>
      <c r="F266" s="210"/>
      <c r="G266" s="210"/>
      <c r="H266" s="210"/>
      <c r="I266" s="210"/>
      <c r="J266" s="210"/>
      <c r="K266" s="210"/>
      <c r="L266" s="210"/>
      <c r="M266"/>
      <c r="N266"/>
    </row>
    <row r="267" spans="1:14" x14ac:dyDescent="0.2">
      <c r="D267" t="s">
        <v>27</v>
      </c>
      <c r="E267" s="111">
        <v>1</v>
      </c>
      <c r="M267"/>
      <c r="N267"/>
    </row>
    <row r="268" spans="1:14" x14ac:dyDescent="0.2">
      <c r="D268" t="s">
        <v>140</v>
      </c>
      <c r="E268" s="220">
        <f ca="1">EI_IR_cotisations!G21</f>
        <v>331553.6434955849</v>
      </c>
      <c r="M268"/>
      <c r="N268"/>
    </row>
    <row r="269" spans="1:14" ht="13.5" thickBot="1" x14ac:dyDescent="0.25">
      <c r="M269"/>
      <c r="N269"/>
    </row>
    <row r="270" spans="1:14" ht="14.25" thickTop="1" thickBot="1" x14ac:dyDescent="0.25">
      <c r="B270" s="111" t="s">
        <v>366</v>
      </c>
      <c r="D270" s="108" t="s">
        <v>198</v>
      </c>
      <c r="E270" s="116">
        <f ca="1">_xlfn.XLOOKUP(E268,E271:E278,F271:F278,,-1)</f>
        <v>19857</v>
      </c>
      <c r="M270"/>
      <c r="N270"/>
    </row>
    <row r="271" spans="1:14" ht="13.5" thickTop="1" x14ac:dyDescent="0.2">
      <c r="D271" s="73" t="str">
        <f>"&lt;"&amp;TEXT(E272,"000 0")</f>
        <v>&lt;26 581</v>
      </c>
      <c r="E271" s="239">
        <v>0</v>
      </c>
      <c r="F271" s="83">
        <v>1527</v>
      </c>
      <c r="J271" s="73"/>
      <c r="K271" s="73"/>
      <c r="L271" s="75"/>
      <c r="M271"/>
      <c r="N271"/>
    </row>
    <row r="272" spans="1:14" x14ac:dyDescent="0.2">
      <c r="D272" s="73" t="str">
        <f t="shared" ref="D272:D277" si="7">"&lt;"&amp;TEXT(E273,"000 0")</f>
        <v>&lt;49 281</v>
      </c>
      <c r="E272" s="239">
        <v>26581</v>
      </c>
      <c r="F272" s="83">
        <v>3055</v>
      </c>
      <c r="H272" s="73"/>
      <c r="I272" s="73"/>
      <c r="J272" s="73"/>
      <c r="K272" s="73"/>
      <c r="L272" s="75"/>
      <c r="M272"/>
      <c r="N272"/>
    </row>
    <row r="273" spans="1:14" x14ac:dyDescent="0.2">
      <c r="D273" s="73" t="str">
        <f t="shared" si="7"/>
        <v>&lt;57 851</v>
      </c>
      <c r="E273" s="239">
        <v>49281</v>
      </c>
      <c r="F273" s="83">
        <v>4582</v>
      </c>
      <c r="H273" s="73"/>
      <c r="I273" s="73"/>
      <c r="J273" s="73"/>
      <c r="K273" s="73"/>
      <c r="L273" s="75"/>
      <c r="M273"/>
      <c r="N273"/>
    </row>
    <row r="274" spans="1:14" x14ac:dyDescent="0.2">
      <c r="D274" s="73" t="str">
        <f t="shared" si="7"/>
        <v>&lt;66 401</v>
      </c>
      <c r="E274" s="239">
        <v>57851</v>
      </c>
      <c r="F274" s="83">
        <v>7637</v>
      </c>
      <c r="H274" s="73"/>
      <c r="I274" s="73"/>
      <c r="J274" s="73"/>
      <c r="K274" s="73"/>
      <c r="L274" s="75"/>
      <c r="M274"/>
      <c r="N274"/>
    </row>
    <row r="275" spans="1:14" x14ac:dyDescent="0.2">
      <c r="D275" s="73" t="str">
        <f t="shared" si="7"/>
        <v>&lt;83 061</v>
      </c>
      <c r="E275" s="239">
        <v>66401</v>
      </c>
      <c r="F275" s="83">
        <v>10692</v>
      </c>
      <c r="H275" s="73"/>
      <c r="I275" s="73"/>
      <c r="J275" s="73"/>
      <c r="K275" s="73"/>
      <c r="L275" s="75"/>
      <c r="M275"/>
      <c r="N275"/>
    </row>
    <row r="276" spans="1:14" x14ac:dyDescent="0.2">
      <c r="D276" s="73" t="str">
        <f t="shared" si="7"/>
        <v>&lt;103 181</v>
      </c>
      <c r="E276" s="239">
        <v>83061</v>
      </c>
      <c r="F276" s="83">
        <v>16802</v>
      </c>
      <c r="H276" s="73"/>
      <c r="I276" s="73"/>
      <c r="J276" s="73"/>
      <c r="K276" s="73"/>
      <c r="L276" s="75"/>
      <c r="M276"/>
      <c r="N276"/>
    </row>
    <row r="277" spans="1:14" x14ac:dyDescent="0.2">
      <c r="D277" s="73" t="str">
        <f t="shared" si="7"/>
        <v>&lt;123 301</v>
      </c>
      <c r="E277" s="239">
        <v>103181</v>
      </c>
      <c r="F277" s="83">
        <v>18329</v>
      </c>
      <c r="H277" s="73"/>
      <c r="I277" s="73"/>
      <c r="J277" s="73"/>
      <c r="K277" s="73"/>
      <c r="L277" s="75"/>
      <c r="M277"/>
      <c r="N277"/>
    </row>
    <row r="278" spans="1:14" x14ac:dyDescent="0.2">
      <c r="D278" s="73" t="str">
        <f>TEXT(E278,"000 0")&amp;" et +"</f>
        <v>123 301 et +</v>
      </c>
      <c r="E278" s="239">
        <v>123301</v>
      </c>
      <c r="F278" s="83">
        <v>19857</v>
      </c>
      <c r="H278" s="73"/>
      <c r="I278" s="73"/>
      <c r="J278" s="73"/>
      <c r="K278" s="73"/>
      <c r="L278" s="75"/>
      <c r="M278"/>
      <c r="N278"/>
    </row>
    <row r="279" spans="1:14" ht="13.5" thickBot="1" x14ac:dyDescent="0.25">
      <c r="D279" s="73"/>
      <c r="E279" s="77"/>
      <c r="F279" s="89"/>
      <c r="G279" s="84"/>
      <c r="H279" s="73"/>
      <c r="I279" s="73"/>
      <c r="J279" s="73"/>
      <c r="K279" s="73"/>
      <c r="L279" s="73"/>
      <c r="M279"/>
      <c r="N279"/>
    </row>
    <row r="280" spans="1:14" ht="14.25" thickTop="1" thickBot="1" x14ac:dyDescent="0.25">
      <c r="B280" s="111" t="s">
        <v>367</v>
      </c>
      <c r="D280" s="108" t="s">
        <v>54</v>
      </c>
      <c r="E280" s="230">
        <v>76</v>
      </c>
      <c r="F280" s="89"/>
      <c r="G280" s="84"/>
      <c r="H280" s="73"/>
      <c r="I280" s="73"/>
      <c r="J280" s="73"/>
      <c r="K280" s="73"/>
      <c r="L280" s="73"/>
      <c r="M280"/>
      <c r="N280"/>
    </row>
    <row r="281" spans="1:14" ht="13.5" thickTop="1" x14ac:dyDescent="0.2">
      <c r="D281" s="73"/>
      <c r="E281" s="77"/>
      <c r="F281" s="89"/>
      <c r="G281" s="84"/>
      <c r="H281" s="73"/>
      <c r="I281" s="73"/>
      <c r="J281" s="73"/>
      <c r="K281" s="73"/>
      <c r="L281" s="73"/>
      <c r="M281"/>
      <c r="N281"/>
    </row>
    <row r="282" spans="1:14" x14ac:dyDescent="0.2">
      <c r="D282" s="73"/>
      <c r="E282" s="238">
        <f ca="1">E270+E280</f>
        <v>19933</v>
      </c>
      <c r="F282" s="89"/>
      <c r="G282" s="84"/>
      <c r="H282" s="73"/>
      <c r="I282" s="73"/>
      <c r="J282" s="73"/>
      <c r="K282" s="73"/>
      <c r="L282" s="73"/>
      <c r="M282"/>
      <c r="N282"/>
    </row>
    <row r="283" spans="1:14" x14ac:dyDescent="0.2">
      <c r="D283" s="73"/>
      <c r="E283" s="77"/>
      <c r="F283" s="89"/>
      <c r="G283" s="84"/>
      <c r="H283" s="73"/>
      <c r="I283" s="73"/>
      <c r="J283" s="73"/>
      <c r="K283" s="73"/>
      <c r="L283" s="73"/>
      <c r="M283"/>
      <c r="N283"/>
    </row>
    <row r="284" spans="1:14" x14ac:dyDescent="0.2">
      <c r="A284" s="209"/>
      <c r="B284" s="209"/>
      <c r="C284" s="209"/>
      <c r="D284" s="210"/>
      <c r="E284" s="209"/>
      <c r="F284" s="210"/>
      <c r="G284" s="210"/>
      <c r="H284" s="210"/>
      <c r="I284" s="210"/>
      <c r="J284" s="210"/>
      <c r="K284" s="210"/>
      <c r="L284" s="210"/>
      <c r="M284"/>
      <c r="N284"/>
    </row>
    <row r="285" spans="1:14" x14ac:dyDescent="0.2">
      <c r="D285" s="73" t="s">
        <v>29</v>
      </c>
      <c r="E285" s="111">
        <v>13</v>
      </c>
      <c r="H285" s="73"/>
      <c r="I285" s="73"/>
      <c r="J285" s="75"/>
      <c r="K285" s="73"/>
      <c r="L285" s="73"/>
      <c r="M285"/>
      <c r="N285"/>
    </row>
    <row r="286" spans="1:14" x14ac:dyDescent="0.2">
      <c r="D286" s="73"/>
      <c r="H286" s="73"/>
      <c r="I286" s="73"/>
      <c r="J286" s="73"/>
      <c r="K286" s="73"/>
      <c r="L286" s="73"/>
      <c r="M286"/>
      <c r="N286"/>
    </row>
    <row r="287" spans="1:14" x14ac:dyDescent="0.2">
      <c r="D287" t="s">
        <v>140</v>
      </c>
      <c r="E287" s="220">
        <f ca="1">EI_IR_cotisations!G21</f>
        <v>331553.6434955849</v>
      </c>
      <c r="M287"/>
      <c r="N287"/>
    </row>
    <row r="288" spans="1:14" ht="13.5" thickBot="1" x14ac:dyDescent="0.25">
      <c r="D288" s="73"/>
      <c r="H288" s="73"/>
      <c r="I288" s="73"/>
      <c r="J288" s="73"/>
      <c r="K288" s="73"/>
      <c r="L288" s="73"/>
      <c r="M288"/>
      <c r="N288"/>
    </row>
    <row r="289" spans="1:14" ht="14.25" thickTop="1" thickBot="1" x14ac:dyDescent="0.25">
      <c r="B289" s="111" t="s">
        <v>368</v>
      </c>
      <c r="D289" s="108" t="s">
        <v>198</v>
      </c>
      <c r="E289" s="116">
        <f ca="1">_xlfn.XLOOKUP(E287,E290:E292,F290:F292,,-1)</f>
        <v>12089.76</v>
      </c>
      <c r="M289"/>
      <c r="N289"/>
    </row>
    <row r="290" spans="1:14" ht="13.5" thickTop="1" x14ac:dyDescent="0.2">
      <c r="D290" s="73" t="str">
        <f>"&lt;"&amp;E290</f>
        <v>&lt;0</v>
      </c>
      <c r="E290" s="74">
        <v>0</v>
      </c>
      <c r="F290" s="83">
        <v>8059.84</v>
      </c>
      <c r="G290" s="73"/>
      <c r="H290" s="73"/>
      <c r="I290" s="73"/>
      <c r="J290" s="73"/>
      <c r="K290" s="73"/>
      <c r="L290" s="73"/>
      <c r="M290"/>
      <c r="N290"/>
    </row>
    <row r="291" spans="1:14" x14ac:dyDescent="0.2">
      <c r="D291" s="73" t="str">
        <f>"&lt;"&amp;E291</f>
        <v>&lt;67590</v>
      </c>
      <c r="E291" s="74">
        <v>67590</v>
      </c>
      <c r="F291" s="83">
        <v>10074.799999999999</v>
      </c>
      <c r="G291" s="73"/>
      <c r="H291" s="73"/>
      <c r="I291" s="73"/>
      <c r="J291" s="73"/>
      <c r="K291" s="73"/>
      <c r="L291" s="73"/>
      <c r="M291"/>
      <c r="N291"/>
    </row>
    <row r="292" spans="1:14" x14ac:dyDescent="0.2">
      <c r="D292" s="73" t="str">
        <f>E292&amp;" et +"</f>
        <v>90121 et +</v>
      </c>
      <c r="E292" s="74">
        <v>90121</v>
      </c>
      <c r="F292" s="83">
        <v>12089.76</v>
      </c>
      <c r="G292" s="73"/>
      <c r="H292" s="73"/>
      <c r="I292" s="73"/>
      <c r="J292" s="73"/>
      <c r="K292" s="73"/>
      <c r="L292" s="73"/>
      <c r="M292"/>
      <c r="N292"/>
    </row>
    <row r="293" spans="1:14" x14ac:dyDescent="0.2">
      <c r="D293" s="73"/>
      <c r="E293" s="77"/>
      <c r="F293" s="73"/>
      <c r="G293" s="73"/>
      <c r="H293" s="73"/>
      <c r="I293" s="73"/>
      <c r="J293" s="73"/>
      <c r="K293" s="73"/>
      <c r="L293" s="73"/>
      <c r="M293"/>
      <c r="N293"/>
    </row>
    <row r="294" spans="1:14" ht="13.5" thickBot="1" x14ac:dyDescent="0.25">
      <c r="D294" s="73"/>
      <c r="E294" s="77"/>
      <c r="F294" s="73"/>
      <c r="G294" s="73"/>
      <c r="H294" s="73"/>
      <c r="I294" s="73"/>
      <c r="J294" s="73"/>
      <c r="K294" s="73"/>
      <c r="L294" s="73"/>
      <c r="M294"/>
      <c r="N294"/>
    </row>
    <row r="295" spans="1:14" ht="14.25" thickTop="1" thickBot="1" x14ac:dyDescent="0.25">
      <c r="B295" s="111" t="s">
        <v>369</v>
      </c>
      <c r="D295" s="108" t="s">
        <v>54</v>
      </c>
      <c r="E295" s="230">
        <v>390</v>
      </c>
      <c r="F295" s="73"/>
      <c r="G295" s="73"/>
      <c r="H295" s="73"/>
      <c r="I295" s="73"/>
      <c r="J295" s="73"/>
      <c r="K295" s="73"/>
      <c r="L295" s="73"/>
      <c r="M295"/>
      <c r="N295"/>
    </row>
    <row r="296" spans="1:14" ht="13.5" thickTop="1" x14ac:dyDescent="0.2">
      <c r="D296" s="73"/>
      <c r="E296" s="77"/>
      <c r="F296" s="73"/>
      <c r="G296" s="73"/>
      <c r="H296" s="73"/>
      <c r="I296" s="73"/>
      <c r="J296" s="73"/>
      <c r="K296" s="73"/>
      <c r="L296" s="73"/>
      <c r="M296"/>
      <c r="N296"/>
    </row>
    <row r="297" spans="1:14" x14ac:dyDescent="0.2">
      <c r="D297" s="73"/>
      <c r="E297" s="238">
        <f ca="1">E289+E295</f>
        <v>12479.76</v>
      </c>
      <c r="F297" s="73"/>
      <c r="G297" s="73"/>
      <c r="H297" s="73"/>
      <c r="I297" s="73"/>
      <c r="J297" s="73"/>
      <c r="K297" s="73"/>
      <c r="L297" s="73"/>
      <c r="M297"/>
      <c r="N297"/>
    </row>
    <row r="298" spans="1:14" x14ac:dyDescent="0.2">
      <c r="D298" s="73"/>
      <c r="E298" s="77"/>
      <c r="F298" s="73"/>
      <c r="G298" s="73"/>
      <c r="H298" s="73"/>
      <c r="I298" s="73"/>
      <c r="J298" s="73"/>
      <c r="K298" s="73"/>
      <c r="L298" s="73"/>
      <c r="M298"/>
      <c r="N298"/>
    </row>
    <row r="299" spans="1:14" x14ac:dyDescent="0.2">
      <c r="A299" s="209"/>
      <c r="B299" s="209"/>
      <c r="C299" s="209"/>
      <c r="D299" s="210"/>
      <c r="E299" s="209"/>
      <c r="F299" s="210"/>
      <c r="G299" s="210"/>
      <c r="H299" s="210"/>
      <c r="I299" s="210"/>
      <c r="J299" s="210"/>
      <c r="K299" s="210"/>
      <c r="L299" s="210"/>
      <c r="M299"/>
      <c r="N299"/>
    </row>
    <row r="300" spans="1:14" x14ac:dyDescent="0.2">
      <c r="D300" s="73" t="s">
        <v>32</v>
      </c>
      <c r="E300" s="111">
        <v>4</v>
      </c>
      <c r="M300"/>
      <c r="N300"/>
    </row>
    <row r="301" spans="1:14" x14ac:dyDescent="0.2">
      <c r="M301"/>
      <c r="N301"/>
    </row>
    <row r="302" spans="1:14" x14ac:dyDescent="0.2">
      <c r="D302" t="s">
        <v>140</v>
      </c>
      <c r="E302" s="243">
        <f ca="1">EI_IR_cotisations!G21</f>
        <v>331553.6434955849</v>
      </c>
      <c r="M302"/>
      <c r="N302"/>
    </row>
    <row r="303" spans="1:14" x14ac:dyDescent="0.2">
      <c r="D303" s="73" t="s">
        <v>33</v>
      </c>
      <c r="E303" s="217">
        <f>MAX(1,simulateur!H19)</f>
        <v>1</v>
      </c>
      <c r="M303"/>
      <c r="N303"/>
    </row>
    <row r="304" spans="1:14" x14ac:dyDescent="0.2">
      <c r="D304" t="s">
        <v>210</v>
      </c>
      <c r="E304" s="218">
        <f>MAX(1,simulateur!H20)</f>
        <v>1</v>
      </c>
      <c r="M304"/>
      <c r="N304"/>
    </row>
    <row r="305" spans="2:14" ht="13.5" thickBot="1" x14ac:dyDescent="0.25">
      <c r="M305"/>
      <c r="N305"/>
    </row>
    <row r="306" spans="2:14" ht="14.25" thickTop="1" thickBot="1" x14ac:dyDescent="0.25">
      <c r="B306" s="111" t="s">
        <v>370</v>
      </c>
      <c r="D306" s="108" t="s">
        <v>54</v>
      </c>
      <c r="E306" s="230">
        <v>1031</v>
      </c>
      <c r="F306" s="73"/>
      <c r="J306" s="73"/>
      <c r="K306" s="73"/>
      <c r="L306" s="73"/>
      <c r="M306"/>
      <c r="N306"/>
    </row>
    <row r="307" spans="2:14" ht="13.5" thickTop="1" x14ac:dyDescent="0.2">
      <c r="D307" s="73"/>
      <c r="E307" s="77"/>
      <c r="F307" s="73"/>
      <c r="G307" s="73"/>
      <c r="H307" s="73"/>
      <c r="I307" s="73"/>
      <c r="J307" s="73"/>
      <c r="K307" s="73"/>
      <c r="L307" s="73"/>
      <c r="M307"/>
      <c r="N307"/>
    </row>
    <row r="308" spans="2:14" ht="13.5" thickBot="1" x14ac:dyDescent="0.25">
      <c r="F308" s="73"/>
      <c r="G308" s="73"/>
      <c r="H308" s="73"/>
      <c r="I308" s="73"/>
      <c r="J308" s="73"/>
      <c r="K308" s="73"/>
      <c r="L308" s="73"/>
      <c r="M308"/>
      <c r="N308"/>
    </row>
    <row r="309" spans="2:14" ht="14.25" thickTop="1" thickBot="1" x14ac:dyDescent="0.25">
      <c r="B309" s="111" t="s">
        <v>371</v>
      </c>
      <c r="D309" s="108" t="s">
        <v>211</v>
      </c>
      <c r="E309" s="116">
        <f>_xlfn.XLOOKUP(E303,D310:D317,E310:E317,,-1)</f>
        <v>2420</v>
      </c>
      <c r="M309"/>
      <c r="N309"/>
    </row>
    <row r="310" spans="2:14" ht="13.5" thickTop="1" x14ac:dyDescent="0.2">
      <c r="D310" s="77">
        <v>1</v>
      </c>
      <c r="E310" s="114">
        <v>2420</v>
      </c>
      <c r="F310" s="73"/>
      <c r="G310" s="73"/>
      <c r="H310" s="73"/>
      <c r="I310" s="73"/>
      <c r="J310" s="73"/>
      <c r="K310" s="73"/>
      <c r="L310" s="73"/>
      <c r="M310"/>
      <c r="N310"/>
    </row>
    <row r="311" spans="2:14" x14ac:dyDescent="0.2">
      <c r="D311" s="77">
        <v>2</v>
      </c>
      <c r="E311" s="114">
        <v>4840</v>
      </c>
      <c r="F311" s="73"/>
      <c r="G311" s="73"/>
      <c r="H311" s="73"/>
      <c r="I311" s="73"/>
      <c r="J311" s="73"/>
      <c r="K311" s="73"/>
      <c r="L311" s="73"/>
      <c r="M311"/>
      <c r="N311"/>
    </row>
    <row r="312" spans="2:14" x14ac:dyDescent="0.2">
      <c r="D312" s="77">
        <v>3</v>
      </c>
      <c r="E312" s="114">
        <v>7260</v>
      </c>
      <c r="F312" s="73"/>
      <c r="G312" s="73"/>
      <c r="H312" s="73"/>
      <c r="I312" s="73"/>
      <c r="J312" s="73"/>
      <c r="K312" s="73"/>
      <c r="L312" s="73"/>
      <c r="M312"/>
      <c r="N312"/>
    </row>
    <row r="313" spans="2:14" x14ac:dyDescent="0.2">
      <c r="D313" s="77">
        <v>4</v>
      </c>
      <c r="E313" s="115">
        <v>9680</v>
      </c>
      <c r="F313" s="73"/>
      <c r="G313" s="73"/>
      <c r="H313" s="73"/>
      <c r="I313" s="73"/>
      <c r="J313" s="73"/>
      <c r="K313" s="73"/>
      <c r="L313" s="73"/>
      <c r="M313"/>
      <c r="N313"/>
    </row>
    <row r="314" spans="2:14" x14ac:dyDescent="0.2">
      <c r="D314" s="77">
        <v>5</v>
      </c>
      <c r="E314" s="115">
        <v>12100</v>
      </c>
      <c r="F314" s="73"/>
      <c r="G314" s="73"/>
      <c r="H314" s="73"/>
      <c r="I314" s="73"/>
      <c r="J314" s="73"/>
      <c r="K314" s="73"/>
      <c r="L314" s="73"/>
      <c r="M314"/>
      <c r="N314"/>
    </row>
    <row r="315" spans="2:14" x14ac:dyDescent="0.2">
      <c r="D315" s="77">
        <v>6</v>
      </c>
      <c r="E315" s="115">
        <v>14520</v>
      </c>
      <c r="F315" s="73"/>
      <c r="G315" s="73"/>
      <c r="H315" s="73"/>
      <c r="I315" s="73"/>
      <c r="J315" s="73"/>
      <c r="K315" s="73"/>
      <c r="L315" s="73"/>
      <c r="M315"/>
      <c r="N315"/>
    </row>
    <row r="316" spans="2:14" x14ac:dyDescent="0.2">
      <c r="D316" s="77">
        <v>7</v>
      </c>
      <c r="E316" s="115">
        <v>16940</v>
      </c>
      <c r="F316" s="73"/>
      <c r="G316" s="73"/>
      <c r="H316" s="73"/>
      <c r="I316" s="73"/>
      <c r="J316" s="73"/>
      <c r="K316" s="73"/>
      <c r="L316" s="73"/>
      <c r="M316"/>
      <c r="N316"/>
    </row>
    <row r="317" spans="2:14" x14ac:dyDescent="0.2">
      <c r="D317" s="77">
        <v>8</v>
      </c>
      <c r="E317" s="114">
        <v>19360</v>
      </c>
      <c r="F317" s="73"/>
      <c r="G317" s="73"/>
      <c r="H317" s="73"/>
      <c r="I317" s="73"/>
      <c r="J317" s="73"/>
      <c r="K317" s="73"/>
      <c r="L317" s="73"/>
      <c r="M317"/>
      <c r="N317"/>
    </row>
    <row r="318" spans="2:14" ht="13.5" thickBot="1" x14ac:dyDescent="0.25">
      <c r="D318" s="73"/>
      <c r="E318" s="77"/>
      <c r="F318" s="73"/>
      <c r="G318" s="73"/>
      <c r="H318" s="73"/>
      <c r="I318" s="73"/>
      <c r="J318" s="73"/>
      <c r="K318" s="73"/>
      <c r="L318" s="73"/>
      <c r="M318"/>
      <c r="N318"/>
    </row>
    <row r="319" spans="2:14" ht="14.25" thickTop="1" thickBot="1" x14ac:dyDescent="0.25">
      <c r="B319" s="111" t="s">
        <v>372</v>
      </c>
      <c r="D319" s="108" t="s">
        <v>212</v>
      </c>
      <c r="E319" s="116">
        <f>E320*E304</f>
        <v>4.1000000000000002E-2</v>
      </c>
      <c r="F319" s="73"/>
      <c r="G319" s="73"/>
      <c r="H319" s="73"/>
      <c r="I319" s="73"/>
      <c r="J319" s="73"/>
      <c r="K319" s="73"/>
      <c r="L319" s="73"/>
      <c r="M319"/>
      <c r="N319"/>
    </row>
    <row r="320" spans="2:14" ht="13.5" thickTop="1" x14ac:dyDescent="0.2">
      <c r="D320" s="73" t="s">
        <v>207</v>
      </c>
      <c r="E320" s="117">
        <v>4.1000000000000002E-2</v>
      </c>
      <c r="F320" s="73"/>
      <c r="G320" s="73"/>
      <c r="H320" s="73"/>
      <c r="I320" s="73"/>
      <c r="J320" s="73"/>
      <c r="K320" s="73"/>
      <c r="L320" s="73"/>
      <c r="M320"/>
      <c r="N320"/>
    </row>
    <row r="321" spans="1:14" x14ac:dyDescent="0.2">
      <c r="D321" s="73"/>
      <c r="E321" s="77"/>
      <c r="F321" s="73"/>
      <c r="G321" s="73"/>
      <c r="H321" s="73"/>
      <c r="I321" s="73"/>
      <c r="J321" s="73"/>
      <c r="K321" s="73"/>
      <c r="L321" s="73"/>
      <c r="M321"/>
      <c r="N321"/>
    </row>
    <row r="322" spans="1:14" x14ac:dyDescent="0.2">
      <c r="D322" s="73"/>
      <c r="E322" s="238">
        <f>E306+E309+E319</f>
        <v>3451.0410000000002</v>
      </c>
      <c r="F322" s="73"/>
      <c r="G322" s="73"/>
      <c r="H322" s="73"/>
      <c r="I322" s="73"/>
      <c r="J322" s="73"/>
      <c r="K322" s="73"/>
      <c r="L322" s="73"/>
      <c r="M322"/>
      <c r="N322"/>
    </row>
    <row r="323" spans="1:14" x14ac:dyDescent="0.2">
      <c r="D323" s="73"/>
      <c r="E323" s="77"/>
      <c r="F323" s="73"/>
      <c r="G323" s="73"/>
      <c r="H323" s="73"/>
      <c r="I323" s="73"/>
      <c r="J323" s="73"/>
      <c r="K323" s="73"/>
      <c r="L323" s="73"/>
      <c r="M323"/>
      <c r="N323"/>
    </row>
    <row r="324" spans="1:14" x14ac:dyDescent="0.2">
      <c r="A324" s="209"/>
      <c r="B324" s="209"/>
      <c r="C324" s="209"/>
      <c r="D324" s="210"/>
      <c r="E324" s="209"/>
      <c r="F324" s="210"/>
      <c r="G324" s="210"/>
      <c r="H324" s="210"/>
      <c r="I324" s="210"/>
      <c r="J324" s="210"/>
      <c r="K324" s="210"/>
      <c r="L324" s="210"/>
      <c r="M324"/>
      <c r="N324"/>
    </row>
    <row r="325" spans="1:14" x14ac:dyDescent="0.2">
      <c r="D325" s="73" t="s">
        <v>37</v>
      </c>
      <c r="E325" s="111">
        <v>5</v>
      </c>
      <c r="J325" s="94"/>
      <c r="K325" s="73"/>
      <c r="L325" s="73"/>
      <c r="M325"/>
      <c r="N325"/>
    </row>
    <row r="326" spans="1:14" x14ac:dyDescent="0.2">
      <c r="D326" s="93"/>
      <c r="J326" s="94"/>
      <c r="K326" s="73"/>
      <c r="L326" s="73"/>
      <c r="M326"/>
      <c r="N326"/>
    </row>
    <row r="327" spans="1:14" x14ac:dyDescent="0.2">
      <c r="D327" t="s">
        <v>140</v>
      </c>
      <c r="E327" s="243">
        <f ca="1">EI_IR_cotisations!G21</f>
        <v>331553.6434955849</v>
      </c>
      <c r="M327"/>
      <c r="N327"/>
    </row>
    <row r="328" spans="1:14" x14ac:dyDescent="0.2">
      <c r="D328" s="93"/>
      <c r="J328" s="94"/>
      <c r="K328" s="73"/>
      <c r="L328" s="73"/>
      <c r="M328"/>
      <c r="N328"/>
    </row>
    <row r="329" spans="1:14" x14ac:dyDescent="0.2">
      <c r="D329" s="93"/>
      <c r="J329" s="94"/>
      <c r="K329" s="73"/>
      <c r="L329" s="73"/>
      <c r="M329"/>
      <c r="N329"/>
    </row>
    <row r="330" spans="1:14" ht="13.5" thickBot="1" x14ac:dyDescent="0.25">
      <c r="D330" s="93"/>
      <c r="J330" s="94"/>
      <c r="K330" s="73"/>
      <c r="L330" s="73"/>
      <c r="M330"/>
      <c r="N330"/>
    </row>
    <row r="331" spans="1:14" ht="14.25" thickTop="1" thickBot="1" x14ac:dyDescent="0.25">
      <c r="B331" s="111" t="s">
        <v>373</v>
      </c>
      <c r="D331" s="108" t="s">
        <v>198</v>
      </c>
      <c r="E331" s="116">
        <f ca="1">VLOOKUP(E327,E332:F334,2,TRUE)</f>
        <v>41136</v>
      </c>
      <c r="J331" s="94"/>
      <c r="K331" s="73"/>
      <c r="L331" s="73"/>
      <c r="M331"/>
      <c r="N331"/>
    </row>
    <row r="332" spans="1:14" ht="13.5" thickTop="1" x14ac:dyDescent="0.2">
      <c r="D332" s="73" t="str">
        <f>"&lt;"&amp;E332</f>
        <v>&lt;0</v>
      </c>
      <c r="E332" s="77">
        <v>0</v>
      </c>
      <c r="F332" s="83">
        <v>977</v>
      </c>
      <c r="I332" s="73"/>
      <c r="J332" s="94"/>
      <c r="K332" s="73"/>
      <c r="L332" s="73"/>
      <c r="M332"/>
      <c r="N332"/>
    </row>
    <row r="333" spans="1:14" x14ac:dyDescent="0.2">
      <c r="D333" s="73" t="str">
        <f>"&lt;"&amp;E333</f>
        <v>&lt;7815,84</v>
      </c>
      <c r="E333" s="93">
        <f>19%*E2</f>
        <v>7815.84</v>
      </c>
      <c r="F333" s="118">
        <f ca="1">E327*12.5%</f>
        <v>41444.205436948112</v>
      </c>
      <c r="I333" s="73"/>
      <c r="J333" s="94"/>
      <c r="K333" s="73"/>
      <c r="L333" s="73"/>
      <c r="M333"/>
      <c r="N333"/>
    </row>
    <row r="334" spans="1:14" x14ac:dyDescent="0.2">
      <c r="D334" s="73" t="str">
        <f>"&lt;"&amp;E334</f>
        <v>&lt;329088</v>
      </c>
      <c r="E334" s="77">
        <f>8*E2</f>
        <v>329088</v>
      </c>
      <c r="F334" s="118">
        <f>+E334*12.5%</f>
        <v>41136</v>
      </c>
      <c r="I334" s="73"/>
      <c r="J334" s="94"/>
      <c r="K334" s="73"/>
      <c r="L334" s="73"/>
      <c r="M334"/>
      <c r="N334"/>
    </row>
    <row r="335" spans="1:14" ht="13.5" thickBot="1" x14ac:dyDescent="0.25">
      <c r="D335" s="73"/>
      <c r="E335" s="77"/>
      <c r="F335" s="84"/>
      <c r="I335" s="73"/>
      <c r="J335" s="94"/>
      <c r="K335" s="73"/>
      <c r="L335" s="73"/>
      <c r="M335"/>
      <c r="N335"/>
    </row>
    <row r="336" spans="1:14" ht="14.25" thickTop="1" thickBot="1" x14ac:dyDescent="0.25">
      <c r="B336" s="111" t="s">
        <v>374</v>
      </c>
      <c r="D336" s="108" t="s">
        <v>54</v>
      </c>
      <c r="E336" s="230">
        <v>390</v>
      </c>
      <c r="F336" s="73"/>
      <c r="J336" s="73"/>
      <c r="K336" s="73"/>
      <c r="L336" s="73"/>
      <c r="M336"/>
      <c r="N336"/>
    </row>
    <row r="337" spans="1:14" ht="13.5" thickTop="1" x14ac:dyDescent="0.2">
      <c r="D337" s="73"/>
      <c r="E337" s="77"/>
      <c r="F337" s="84"/>
      <c r="I337" s="73"/>
      <c r="J337" s="94"/>
      <c r="K337" s="73"/>
      <c r="L337" s="73"/>
      <c r="M337"/>
      <c r="N337"/>
    </row>
    <row r="338" spans="1:14" x14ac:dyDescent="0.2">
      <c r="D338" s="73"/>
      <c r="E338" s="77"/>
      <c r="F338" s="84"/>
      <c r="I338" s="73"/>
      <c r="J338" s="94"/>
      <c r="K338" s="73"/>
      <c r="L338" s="73"/>
      <c r="M338"/>
      <c r="N338"/>
    </row>
    <row r="339" spans="1:14" x14ac:dyDescent="0.2">
      <c r="D339" s="73"/>
      <c r="E339" s="238">
        <f ca="1">E331+E336</f>
        <v>41526</v>
      </c>
      <c r="F339" s="73"/>
      <c r="I339" s="73"/>
      <c r="J339" s="73"/>
      <c r="K339" s="73"/>
      <c r="L339" s="73"/>
      <c r="M339"/>
      <c r="N339"/>
    </row>
    <row r="340" spans="1:14" x14ac:dyDescent="0.2">
      <c r="D340" s="73"/>
      <c r="E340" s="77"/>
      <c r="F340" s="73"/>
      <c r="G340" s="73"/>
      <c r="H340" s="73"/>
      <c r="I340" s="73"/>
      <c r="J340" s="73"/>
      <c r="K340" s="73"/>
      <c r="L340" s="73"/>
      <c r="M340"/>
      <c r="N340"/>
    </row>
    <row r="341" spans="1:14" x14ac:dyDescent="0.2">
      <c r="D341" s="73"/>
      <c r="E341" s="77"/>
      <c r="F341" s="73"/>
      <c r="G341" s="73"/>
      <c r="H341" s="73"/>
      <c r="I341" s="73"/>
      <c r="J341" s="73"/>
      <c r="K341" s="73"/>
      <c r="L341" s="73"/>
      <c r="M341"/>
      <c r="N341"/>
    </row>
    <row r="342" spans="1:14" x14ac:dyDescent="0.2">
      <c r="A342" s="209"/>
      <c r="B342" s="209"/>
      <c r="C342" s="209"/>
      <c r="D342" s="210"/>
      <c r="E342" s="209"/>
      <c r="F342" s="210"/>
      <c r="G342" s="210"/>
      <c r="H342" s="210"/>
      <c r="I342" s="210"/>
      <c r="J342" s="210"/>
      <c r="K342" s="210"/>
      <c r="L342" s="210"/>
      <c r="M342"/>
      <c r="N342"/>
    </row>
    <row r="343" spans="1:14" x14ac:dyDescent="0.2">
      <c r="D343" s="73" t="s">
        <v>39</v>
      </c>
      <c r="E343" s="77">
        <v>11</v>
      </c>
      <c r="F343" s="73"/>
      <c r="G343" s="73"/>
      <c r="H343" s="73"/>
      <c r="L343" s="73"/>
      <c r="M343"/>
      <c r="N343"/>
    </row>
    <row r="344" spans="1:14" x14ac:dyDescent="0.2">
      <c r="D344" s="73"/>
      <c r="E344" s="77"/>
      <c r="F344" s="73"/>
      <c r="G344" s="73"/>
      <c r="H344" s="73"/>
      <c r="L344" s="73"/>
      <c r="M344"/>
      <c r="N344"/>
    </row>
    <row r="345" spans="1:14" x14ac:dyDescent="0.2">
      <c r="D345" t="s">
        <v>140</v>
      </c>
      <c r="E345" s="220">
        <f ca="1">EI_IR_cotisations!G21</f>
        <v>331553.6434955849</v>
      </c>
      <c r="F345" s="73"/>
      <c r="G345" s="73"/>
      <c r="H345" s="73"/>
      <c r="L345" s="73"/>
      <c r="M345"/>
      <c r="N345"/>
    </row>
    <row r="346" spans="1:14" ht="13.5" thickBot="1" x14ac:dyDescent="0.25">
      <c r="D346" s="73"/>
      <c r="E346" s="77"/>
      <c r="F346" s="73"/>
      <c r="G346" s="73"/>
      <c r="H346" s="73"/>
      <c r="L346" s="73"/>
      <c r="M346"/>
      <c r="N346"/>
    </row>
    <row r="347" spans="1:14" ht="14.25" thickTop="1" thickBot="1" x14ac:dyDescent="0.25">
      <c r="B347" s="111" t="s">
        <v>375</v>
      </c>
      <c r="D347" s="108" t="s">
        <v>23</v>
      </c>
      <c r="E347" s="116">
        <f ca="1">MIN(F349,E345*E349)</f>
        <v>205.68</v>
      </c>
      <c r="H347" s="73"/>
      <c r="L347" s="73"/>
      <c r="M347"/>
      <c r="N347"/>
    </row>
    <row r="348" spans="1:14" ht="13.5" thickTop="1" x14ac:dyDescent="0.2">
      <c r="D348" s="81"/>
      <c r="F348" t="s">
        <v>240</v>
      </c>
      <c r="H348" s="73"/>
      <c r="L348" s="73"/>
      <c r="M348"/>
      <c r="N348"/>
    </row>
    <row r="349" spans="1:14" x14ac:dyDescent="0.2">
      <c r="D349" s="111" t="s">
        <v>18</v>
      </c>
      <c r="E349" s="222">
        <v>3.0000000000000001E-3</v>
      </c>
      <c r="F349" s="122">
        <f>E2*0.5%</f>
        <v>205.68</v>
      </c>
      <c r="H349" s="73"/>
      <c r="L349" s="73"/>
      <c r="M349"/>
      <c r="N349"/>
    </row>
    <row r="350" spans="1:14" x14ac:dyDescent="0.2">
      <c r="D350" s="73"/>
      <c r="E350" s="77"/>
      <c r="F350" s="73"/>
      <c r="G350" s="73"/>
      <c r="H350" s="73"/>
      <c r="L350" s="73"/>
      <c r="M350"/>
      <c r="N350"/>
    </row>
    <row r="351" spans="1:14" ht="13.5" thickBot="1" x14ac:dyDescent="0.25">
      <c r="D351" s="73"/>
      <c r="E351" s="77"/>
      <c r="F351" s="73"/>
      <c r="G351" s="73"/>
      <c r="H351" s="73"/>
      <c r="L351" s="73"/>
      <c r="M351"/>
      <c r="N351"/>
    </row>
    <row r="352" spans="1:14" ht="14.25" thickTop="1" thickBot="1" x14ac:dyDescent="0.25">
      <c r="B352" s="111" t="s">
        <v>376</v>
      </c>
      <c r="D352" s="108" t="s">
        <v>54</v>
      </c>
      <c r="E352" s="230">
        <v>618</v>
      </c>
      <c r="F352" s="73"/>
      <c r="J352" s="73"/>
      <c r="K352" s="73"/>
      <c r="L352" s="73"/>
      <c r="M352"/>
      <c r="N352"/>
    </row>
    <row r="353" spans="2:14" ht="14.25" thickTop="1" thickBot="1" x14ac:dyDescent="0.25">
      <c r="D353" s="73"/>
      <c r="E353" s="77"/>
      <c r="F353" s="73"/>
      <c r="G353" s="73"/>
      <c r="H353" s="73"/>
      <c r="L353" s="73"/>
      <c r="M353"/>
      <c r="N353"/>
    </row>
    <row r="354" spans="2:14" ht="14.25" thickTop="1" thickBot="1" x14ac:dyDescent="0.25">
      <c r="B354" s="111" t="s">
        <v>377</v>
      </c>
      <c r="D354" s="108" t="s">
        <v>213</v>
      </c>
      <c r="E354" s="230">
        <v>6160</v>
      </c>
      <c r="F354" s="73"/>
      <c r="G354" s="73"/>
      <c r="H354" s="73"/>
      <c r="L354" s="73"/>
      <c r="M354"/>
      <c r="N354"/>
    </row>
    <row r="355" spans="2:14" ht="13.5" thickTop="1" x14ac:dyDescent="0.2">
      <c r="D355" s="73"/>
      <c r="E355" s="77"/>
      <c r="F355" s="73"/>
      <c r="G355" s="73"/>
      <c r="H355" s="73"/>
      <c r="L355" s="73"/>
      <c r="M355"/>
      <c r="N355"/>
    </row>
    <row r="356" spans="2:14" ht="13.5" thickBot="1" x14ac:dyDescent="0.25">
      <c r="D356" s="73"/>
      <c r="E356" s="77"/>
      <c r="H356" s="73"/>
      <c r="L356" s="73"/>
      <c r="M356"/>
      <c r="N356"/>
    </row>
    <row r="357" spans="2:14" ht="14.25" thickTop="1" thickBot="1" x14ac:dyDescent="0.25">
      <c r="B357" s="111" t="s">
        <v>378</v>
      </c>
      <c r="D357" s="108" t="s">
        <v>214</v>
      </c>
      <c r="E357" s="230">
        <f ca="1">VLOOKUP(E345,E358:F368,2,TRUE)</f>
        <v>14784</v>
      </c>
      <c r="F357" s="73"/>
      <c r="G357" s="73"/>
      <c r="H357" s="73"/>
      <c r="L357" s="73"/>
      <c r="M357"/>
      <c r="N357"/>
    </row>
    <row r="358" spans="2:14" ht="13.5" thickTop="1" x14ac:dyDescent="0.2">
      <c r="D358" s="73" t="s">
        <v>40</v>
      </c>
      <c r="E358" s="77">
        <v>0</v>
      </c>
      <c r="F358" s="83">
        <v>2464</v>
      </c>
      <c r="G358" s="73"/>
      <c r="H358" s="73"/>
      <c r="L358" s="73"/>
      <c r="M358"/>
      <c r="N358"/>
    </row>
    <row r="359" spans="2:14" x14ac:dyDescent="0.2">
      <c r="D359" s="73" t="s">
        <v>41</v>
      </c>
      <c r="E359" s="77">
        <v>74560</v>
      </c>
      <c r="F359" s="83">
        <v>3696</v>
      </c>
      <c r="G359" s="73"/>
      <c r="H359" s="73"/>
      <c r="L359" s="73"/>
      <c r="M359"/>
      <c r="N359"/>
    </row>
    <row r="360" spans="2:14" x14ac:dyDescent="0.2">
      <c r="D360" s="73" t="s">
        <v>42</v>
      </c>
      <c r="E360" s="77">
        <v>89986</v>
      </c>
      <c r="F360" s="83">
        <v>4928</v>
      </c>
      <c r="G360" s="73"/>
      <c r="H360" s="73"/>
      <c r="L360" s="73"/>
      <c r="M360"/>
      <c r="N360"/>
    </row>
    <row r="361" spans="2:14" x14ac:dyDescent="0.2">
      <c r="D361" s="73" t="s">
        <v>43</v>
      </c>
      <c r="E361" s="77">
        <v>105412</v>
      </c>
      <c r="F361" s="83">
        <v>6160</v>
      </c>
      <c r="G361" s="73"/>
      <c r="H361" s="73"/>
      <c r="I361" s="73"/>
      <c r="L361" s="73"/>
      <c r="M361"/>
      <c r="N361"/>
    </row>
    <row r="362" spans="2:14" x14ac:dyDescent="0.2">
      <c r="D362" s="73" t="s">
        <v>44</v>
      </c>
      <c r="E362" s="77">
        <v>120838</v>
      </c>
      <c r="F362" s="83">
        <v>7392</v>
      </c>
      <c r="G362" s="73"/>
      <c r="H362" s="73"/>
      <c r="I362" s="73"/>
      <c r="L362" s="73"/>
      <c r="M362"/>
      <c r="N362"/>
    </row>
    <row r="363" spans="2:14" x14ac:dyDescent="0.2">
      <c r="D363" s="73" t="s">
        <v>45</v>
      </c>
      <c r="E363" s="77">
        <v>136264</v>
      </c>
      <c r="F363" s="83">
        <v>8624</v>
      </c>
      <c r="G363" s="73"/>
      <c r="H363" s="73"/>
      <c r="I363" s="73"/>
      <c r="L363" s="73"/>
      <c r="M363"/>
      <c r="N363"/>
    </row>
    <row r="364" spans="2:14" x14ac:dyDescent="0.2">
      <c r="D364" s="73" t="s">
        <v>46</v>
      </c>
      <c r="E364" s="77">
        <v>151690</v>
      </c>
      <c r="F364" s="83">
        <v>9856</v>
      </c>
      <c r="G364" s="73"/>
      <c r="H364" s="73"/>
      <c r="I364" s="73"/>
      <c r="L364" s="73"/>
      <c r="M364"/>
      <c r="N364"/>
    </row>
    <row r="365" spans="2:14" x14ac:dyDescent="0.2">
      <c r="D365" s="73" t="s">
        <v>47</v>
      </c>
      <c r="E365" s="77">
        <v>167116</v>
      </c>
      <c r="F365" s="83">
        <v>11088</v>
      </c>
      <c r="G365" s="73"/>
      <c r="H365" s="73"/>
      <c r="I365" s="73"/>
      <c r="L365" s="73"/>
      <c r="M365"/>
      <c r="N365"/>
    </row>
    <row r="366" spans="2:14" x14ac:dyDescent="0.2">
      <c r="D366" s="73" t="s">
        <v>48</v>
      </c>
      <c r="E366" s="77">
        <v>182542</v>
      </c>
      <c r="F366" s="83">
        <v>12320</v>
      </c>
      <c r="G366" s="73"/>
      <c r="H366" s="73"/>
      <c r="I366" s="73"/>
      <c r="L366" s="73"/>
      <c r="M366"/>
      <c r="N366"/>
    </row>
    <row r="367" spans="2:14" x14ac:dyDescent="0.2">
      <c r="D367" s="73" t="s">
        <v>49</v>
      </c>
      <c r="E367" s="77">
        <v>197968</v>
      </c>
      <c r="F367" s="83">
        <v>13552</v>
      </c>
      <c r="G367" s="73"/>
      <c r="H367" s="73"/>
      <c r="I367" s="73"/>
      <c r="L367" s="73"/>
      <c r="M367"/>
      <c r="N367"/>
    </row>
    <row r="368" spans="2:14" x14ac:dyDescent="0.2">
      <c r="D368" s="73" t="s">
        <v>50</v>
      </c>
      <c r="E368" s="77">
        <v>213394</v>
      </c>
      <c r="F368" s="83">
        <v>14784</v>
      </c>
      <c r="G368" s="73"/>
      <c r="H368" s="73"/>
      <c r="I368" s="73"/>
      <c r="L368" s="73"/>
      <c r="M368"/>
      <c r="N368"/>
    </row>
    <row r="369" spans="1:14" x14ac:dyDescent="0.2">
      <c r="D369" s="73"/>
      <c r="E369" s="77"/>
      <c r="F369" s="73"/>
      <c r="G369" s="73"/>
      <c r="H369" s="73"/>
      <c r="I369" s="73"/>
      <c r="L369" s="73"/>
      <c r="M369"/>
      <c r="N369"/>
    </row>
    <row r="370" spans="1:14" ht="13.5" thickBot="1" x14ac:dyDescent="0.25">
      <c r="D370" s="73"/>
      <c r="E370" s="77"/>
      <c r="F370" s="73"/>
      <c r="G370" s="73"/>
      <c r="H370" s="73"/>
      <c r="I370" s="73"/>
      <c r="L370" s="73"/>
      <c r="M370"/>
      <c r="N370"/>
    </row>
    <row r="371" spans="1:14" ht="14.25" thickTop="1" thickBot="1" x14ac:dyDescent="0.25">
      <c r="B371" s="111" t="s">
        <v>379</v>
      </c>
      <c r="D371" s="108" t="s">
        <v>26</v>
      </c>
      <c r="E371" s="230">
        <v>596</v>
      </c>
      <c r="F371" s="73"/>
      <c r="G371" s="73"/>
      <c r="H371" s="73"/>
      <c r="I371" s="73"/>
      <c r="L371" s="73"/>
      <c r="M371"/>
      <c r="N371"/>
    </row>
    <row r="372" spans="1:14" ht="14.25" thickTop="1" thickBot="1" x14ac:dyDescent="0.25">
      <c r="D372" s="73"/>
      <c r="E372" s="77"/>
      <c r="F372" s="73"/>
      <c r="G372" s="73"/>
      <c r="H372" s="73"/>
      <c r="I372" s="73"/>
      <c r="L372" s="73"/>
      <c r="M372"/>
      <c r="N372"/>
    </row>
    <row r="373" spans="1:14" ht="14.25" thickTop="1" thickBot="1" x14ac:dyDescent="0.25">
      <c r="B373" s="111" t="s">
        <v>380</v>
      </c>
      <c r="D373" s="108" t="s">
        <v>51</v>
      </c>
      <c r="E373" s="116">
        <f ca="1">MIN(E345,5*E2)*E374</f>
        <v>1234.08</v>
      </c>
      <c r="F373" s="73"/>
      <c r="G373" s="73"/>
      <c r="H373" s="73"/>
      <c r="I373" s="73"/>
      <c r="L373" s="73"/>
      <c r="M373"/>
      <c r="N373"/>
    </row>
    <row r="374" spans="1:14" ht="13.5" thickTop="1" x14ac:dyDescent="0.2">
      <c r="D374" s="73" t="s">
        <v>207</v>
      </c>
      <c r="E374" s="244">
        <v>6.0000000000000001E-3</v>
      </c>
      <c r="F374" s="73"/>
      <c r="G374" s="73"/>
      <c r="H374" s="73"/>
      <c r="I374" s="73"/>
      <c r="L374" s="73"/>
      <c r="M374"/>
      <c r="N374"/>
    </row>
    <row r="375" spans="1:14" x14ac:dyDescent="0.2">
      <c r="D375" s="73"/>
      <c r="E375" s="77"/>
      <c r="F375" s="73"/>
      <c r="G375" s="73"/>
      <c r="H375" s="73"/>
      <c r="I375" s="73"/>
      <c r="L375" s="73"/>
      <c r="M375"/>
      <c r="N375"/>
    </row>
    <row r="376" spans="1:14" x14ac:dyDescent="0.2">
      <c r="D376" s="73"/>
      <c r="E376" s="238">
        <f ca="1">E352+E354+E357+E371+E373</f>
        <v>23392.080000000002</v>
      </c>
      <c r="F376" s="73"/>
      <c r="G376" s="73"/>
      <c r="H376" s="73"/>
      <c r="I376" s="73"/>
      <c r="L376" s="73"/>
      <c r="M376"/>
      <c r="N376"/>
    </row>
    <row r="377" spans="1:14" x14ac:dyDescent="0.2">
      <c r="D377" s="73"/>
      <c r="E377" s="77"/>
      <c r="F377" s="73"/>
      <c r="G377" s="73"/>
      <c r="H377" s="73"/>
      <c r="I377" s="73"/>
      <c r="L377" s="73"/>
      <c r="M377"/>
      <c r="N377"/>
    </row>
    <row r="378" spans="1:14" x14ac:dyDescent="0.2">
      <c r="A378" s="209"/>
      <c r="B378" s="209"/>
      <c r="C378" s="209"/>
      <c r="D378" s="210"/>
      <c r="E378" s="209"/>
      <c r="F378" s="210"/>
      <c r="G378" s="210"/>
      <c r="H378" s="210"/>
      <c r="I378" s="210"/>
      <c r="J378" s="210"/>
      <c r="K378" s="210"/>
      <c r="L378" s="210"/>
      <c r="M378"/>
      <c r="N378"/>
    </row>
  </sheetData>
  <sortState xmlns:xlrd2="http://schemas.microsoft.com/office/spreadsheetml/2017/richdata2" ref="N15:N22">
    <sortCondition ref="N15:N22"/>
  </sortState>
  <phoneticPr fontId="53" type="noConversion"/>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4CAB5-F82F-45F2-8DD2-3A86C4103869}">
  <sheetPr>
    <tabColor theme="6"/>
  </sheetPr>
  <dimension ref="B2:K72"/>
  <sheetViews>
    <sheetView topLeftCell="B8" workbookViewId="0">
      <selection activeCell="J14" sqref="J14"/>
    </sheetView>
  </sheetViews>
  <sheetFormatPr baseColWidth="10" defaultColWidth="11.42578125" defaultRowHeight="15" x14ac:dyDescent="0.3"/>
  <cols>
    <col min="1" max="1" width="11.42578125" style="156"/>
    <col min="2" max="2" width="9.140625" style="156" customWidth="1"/>
    <col min="3" max="3" width="7.85546875" style="156" customWidth="1"/>
    <col min="4" max="4" width="59.5703125" style="156" customWidth="1"/>
    <col min="5" max="10" width="14.7109375" style="156" customWidth="1"/>
    <col min="11" max="16384" width="11.42578125" style="156"/>
  </cols>
  <sheetData>
    <row r="2" spans="2:10" ht="38.25" customHeight="1" x14ac:dyDescent="0.3">
      <c r="B2" s="437" t="s">
        <v>250</v>
      </c>
      <c r="C2" s="437"/>
      <c r="D2" s="437"/>
      <c r="E2" s="437"/>
      <c r="F2" s="437"/>
      <c r="G2" s="437"/>
      <c r="H2" s="437"/>
      <c r="I2" s="437"/>
    </row>
    <row r="3" spans="2:10" ht="15" customHeight="1" x14ac:dyDescent="0.3">
      <c r="B3" s="437" t="s">
        <v>391</v>
      </c>
      <c r="C3" s="437"/>
      <c r="D3" s="437"/>
      <c r="E3" s="437"/>
      <c r="F3" s="437"/>
      <c r="G3" s="437"/>
      <c r="H3" s="437"/>
      <c r="I3" s="437"/>
      <c r="J3" s="157"/>
    </row>
    <row r="4" spans="2:10" ht="15" customHeight="1" x14ac:dyDescent="0.3">
      <c r="D4" s="158"/>
      <c r="E4" s="158"/>
      <c r="F4" s="158"/>
      <c r="G4" s="158"/>
      <c r="H4" s="158"/>
      <c r="I4" s="158"/>
      <c r="J4" s="157"/>
    </row>
    <row r="5" spans="2:10" x14ac:dyDescent="0.3">
      <c r="B5" s="159" t="s">
        <v>251</v>
      </c>
    </row>
    <row r="6" spans="2:10" ht="15" customHeight="1" x14ac:dyDescent="0.3">
      <c r="B6" s="438" t="s">
        <v>252</v>
      </c>
      <c r="C6" s="438"/>
      <c r="D6" s="438"/>
      <c r="E6" s="438"/>
      <c r="F6" s="438"/>
      <c r="G6" s="438"/>
      <c r="H6" s="438"/>
      <c r="I6" s="438"/>
    </row>
    <row r="7" spans="2:10" ht="52.5" customHeight="1" x14ac:dyDescent="0.3"/>
    <row r="8" spans="2:10" ht="15.75" customHeight="1" x14ac:dyDescent="0.3">
      <c r="B8" s="439" t="s">
        <v>253</v>
      </c>
      <c r="D8" s="160" t="s">
        <v>254</v>
      </c>
      <c r="H8" s="161"/>
      <c r="I8" s="161"/>
    </row>
    <row r="9" spans="2:10" ht="15.75" customHeight="1" x14ac:dyDescent="0.3">
      <c r="B9" s="439"/>
      <c r="D9" s="156" t="s">
        <v>157</v>
      </c>
      <c r="H9" s="162" t="str">
        <f>simulateur!N17</f>
        <v>Marié</v>
      </c>
    </row>
    <row r="10" spans="2:10" x14ac:dyDescent="0.3">
      <c r="B10" s="439"/>
      <c r="D10" s="163" t="s">
        <v>159</v>
      </c>
      <c r="H10" s="162">
        <f>simulateur!N18</f>
        <v>4</v>
      </c>
    </row>
    <row r="11" spans="2:10" x14ac:dyDescent="0.3">
      <c r="B11" s="439"/>
      <c r="D11" s="163" t="s">
        <v>68</v>
      </c>
      <c r="H11" s="162">
        <f>simulateur!N19</f>
        <v>3</v>
      </c>
    </row>
    <row r="12" spans="2:10" x14ac:dyDescent="0.3">
      <c r="B12" s="439"/>
      <c r="D12" s="163"/>
    </row>
    <row r="13" spans="2:10" x14ac:dyDescent="0.3">
      <c r="B13" s="439"/>
      <c r="D13" s="160" t="s">
        <v>255</v>
      </c>
    </row>
    <row r="14" spans="2:10" x14ac:dyDescent="0.3">
      <c r="B14" s="439"/>
      <c r="D14" s="164" t="s">
        <v>256</v>
      </c>
      <c r="E14" s="165" t="s">
        <v>257</v>
      </c>
      <c r="F14" s="165" t="s">
        <v>258</v>
      </c>
    </row>
    <row r="15" spans="2:10" x14ac:dyDescent="0.3">
      <c r="B15" s="439"/>
      <c r="D15" s="156" t="s">
        <v>259</v>
      </c>
      <c r="E15" s="260"/>
      <c r="F15" s="162">
        <f>+salaire_conjoint</f>
        <v>90000</v>
      </c>
    </row>
    <row r="16" spans="2:10" ht="15" customHeight="1" thickBot="1" x14ac:dyDescent="0.35">
      <c r="B16" s="439"/>
      <c r="D16" s="156" t="s">
        <v>260</v>
      </c>
      <c r="E16" s="260"/>
      <c r="F16" s="260"/>
    </row>
    <row r="17" spans="2:11" ht="15.75" thickBot="1" x14ac:dyDescent="0.35">
      <c r="B17" s="439"/>
      <c r="D17" s="156" t="s">
        <v>261</v>
      </c>
      <c r="E17" s="258">
        <f>E15+E16</f>
        <v>0</v>
      </c>
      <c r="F17" s="258">
        <f>F15+F16</f>
        <v>90000</v>
      </c>
      <c r="H17" s="167">
        <f>E17+F17</f>
        <v>90000</v>
      </c>
    </row>
    <row r="18" spans="2:11" ht="15.75" thickBot="1" x14ac:dyDescent="0.35">
      <c r="B18" s="439"/>
      <c r="D18" s="156" t="s">
        <v>262</v>
      </c>
      <c r="E18" s="258">
        <f>-MIN(E17*10%,EI_IR_param_IR!F23)</f>
        <v>0</v>
      </c>
      <c r="F18" s="258">
        <f>-MIN(F17*10%,EI_IR_param_IR!F23)</f>
        <v>-9000</v>
      </c>
    </row>
    <row r="19" spans="2:11" ht="15.75" thickBot="1" x14ac:dyDescent="0.35">
      <c r="B19" s="439"/>
      <c r="D19" s="156" t="s">
        <v>263</v>
      </c>
      <c r="E19" s="258">
        <f>E17+E18</f>
        <v>0</v>
      </c>
      <c r="F19" s="258">
        <f>F17+F18</f>
        <v>81000</v>
      </c>
      <c r="H19" s="167">
        <f>E19+F19</f>
        <v>81000</v>
      </c>
    </row>
    <row r="20" spans="2:11" x14ac:dyDescent="0.3">
      <c r="B20" s="439"/>
      <c r="D20" s="156" t="s">
        <v>264</v>
      </c>
      <c r="H20" s="162">
        <f ca="1">EI_IR_cotisations!F21</f>
        <v>321553.6434955849</v>
      </c>
      <c r="I20" s="168" t="s">
        <v>407</v>
      </c>
    </row>
    <row r="21" spans="2:11" ht="15.75" thickBot="1" x14ac:dyDescent="0.35">
      <c r="B21" s="439"/>
      <c r="K21" s="169"/>
    </row>
    <row r="22" spans="2:11" ht="15.75" thickBot="1" x14ac:dyDescent="0.35">
      <c r="B22" s="439"/>
      <c r="E22" s="169"/>
      <c r="F22" s="169"/>
      <c r="I22" s="167">
        <f ca="1">+H19+H20</f>
        <v>402553.6434955849</v>
      </c>
    </row>
    <row r="23" spans="2:11" x14ac:dyDescent="0.3">
      <c r="B23" s="439"/>
      <c r="D23" s="164" t="s">
        <v>265</v>
      </c>
    </row>
    <row r="24" spans="2:11" x14ac:dyDescent="0.3">
      <c r="B24" s="439"/>
      <c r="D24" s="156" t="s">
        <v>266</v>
      </c>
      <c r="G24" s="162">
        <v>0</v>
      </c>
    </row>
    <row r="25" spans="2:11" x14ac:dyDescent="0.3">
      <c r="B25" s="439"/>
      <c r="D25" s="156" t="s">
        <v>267</v>
      </c>
      <c r="H25" s="258">
        <v>0</v>
      </c>
      <c r="I25" s="168" t="s">
        <v>406</v>
      </c>
    </row>
    <row r="26" spans="2:11" x14ac:dyDescent="0.3">
      <c r="B26" s="439"/>
      <c r="D26" s="156" t="s">
        <v>268</v>
      </c>
      <c r="H26" s="260"/>
      <c r="K26" s="169"/>
    </row>
    <row r="27" spans="2:11" ht="15.75" customHeight="1" x14ac:dyDescent="0.3">
      <c r="B27" s="439"/>
      <c r="D27" s="156" t="s">
        <v>269</v>
      </c>
      <c r="H27" s="162">
        <f>autres_revenus</f>
        <v>40000</v>
      </c>
    </row>
    <row r="28" spans="2:11" ht="15.75" thickBot="1" x14ac:dyDescent="0.35">
      <c r="B28" s="439"/>
      <c r="D28" s="164"/>
    </row>
    <row r="29" spans="2:11" ht="16.5" customHeight="1" thickBot="1" x14ac:dyDescent="0.35">
      <c r="B29" s="439"/>
      <c r="D29" s="164" t="s">
        <v>270</v>
      </c>
      <c r="H29" s="259">
        <f ca="1">H19+H20+H25+H26+H27</f>
        <v>442553.6434955849</v>
      </c>
    </row>
    <row r="30" spans="2:11" x14ac:dyDescent="0.3">
      <c r="B30" s="439"/>
      <c r="D30" s="156" t="s">
        <v>146</v>
      </c>
      <c r="H30" s="260">
        <f>-H25*6.8%</f>
        <v>0</v>
      </c>
    </row>
    <row r="31" spans="2:11" x14ac:dyDescent="0.3">
      <c r="B31" s="439"/>
    </row>
    <row r="32" spans="2:11" x14ac:dyDescent="0.3">
      <c r="B32" s="439"/>
      <c r="D32" s="160" t="s">
        <v>271</v>
      </c>
    </row>
    <row r="33" spans="2:10" x14ac:dyDescent="0.3">
      <c r="B33" s="439"/>
    </row>
    <row r="34" spans="2:10" x14ac:dyDescent="0.3">
      <c r="B34" s="439"/>
      <c r="D34" s="163"/>
      <c r="H34" s="170"/>
    </row>
    <row r="35" spans="2:10" x14ac:dyDescent="0.3">
      <c r="B35" s="439"/>
      <c r="D35" s="163" t="s">
        <v>272</v>
      </c>
    </row>
    <row r="36" spans="2:10" x14ac:dyDescent="0.3">
      <c r="B36" s="439"/>
      <c r="D36" s="171" t="s">
        <v>273</v>
      </c>
      <c r="E36" s="163"/>
      <c r="F36" s="163"/>
      <c r="H36" s="260"/>
    </row>
    <row r="37" spans="2:10" ht="15.75" thickBot="1" x14ac:dyDescent="0.35">
      <c r="B37" s="439"/>
      <c r="D37" s="171"/>
      <c r="E37" s="163"/>
    </row>
    <row r="38" spans="2:10" ht="15.75" thickBot="1" x14ac:dyDescent="0.35">
      <c r="B38" s="439"/>
      <c r="D38" s="172" t="s">
        <v>274</v>
      </c>
      <c r="E38" s="163"/>
      <c r="F38" s="163"/>
      <c r="H38" s="167">
        <f ca="1">H29+H30+H36</f>
        <v>442553.6434955849</v>
      </c>
    </row>
    <row r="39" spans="2:10" ht="15.75" thickBot="1" x14ac:dyDescent="0.35">
      <c r="B39" s="439"/>
      <c r="D39" s="171"/>
      <c r="E39" s="163"/>
      <c r="F39" s="163"/>
      <c r="G39" s="163"/>
      <c r="H39" s="163"/>
    </row>
    <row r="40" spans="2:10" ht="15.75" thickBot="1" x14ac:dyDescent="0.35">
      <c r="B40" s="439"/>
      <c r="D40" s="171" t="s">
        <v>275</v>
      </c>
      <c r="E40" s="163"/>
      <c r="F40" s="163"/>
      <c r="G40" s="163"/>
      <c r="H40" s="167">
        <f ca="1">+EI_IR_param_IR!I56</f>
        <v>151398.2595730132</v>
      </c>
    </row>
    <row r="41" spans="2:10" ht="15.75" thickBot="1" x14ac:dyDescent="0.35">
      <c r="B41" s="439"/>
      <c r="D41" s="171"/>
      <c r="E41" s="163"/>
      <c r="I41" s="173" t="s">
        <v>181</v>
      </c>
      <c r="J41" s="174" t="s">
        <v>59</v>
      </c>
    </row>
    <row r="42" spans="2:10" ht="15.75" thickBot="1" x14ac:dyDescent="0.35">
      <c r="B42" s="439"/>
      <c r="D42" s="171" t="s">
        <v>276</v>
      </c>
      <c r="E42" s="163"/>
      <c r="F42" s="163"/>
      <c r="G42" s="163"/>
      <c r="H42" s="175">
        <f ca="1">H40</f>
        <v>151398.2595730132</v>
      </c>
      <c r="I42" s="173">
        <f ca="1">IFERROR(H42/H38,0)</f>
        <v>0.34210148712632532</v>
      </c>
      <c r="J42" s="173">
        <f ca="1">IFERROR(EI_IR_param_IR!J47,0)</f>
        <v>0.45</v>
      </c>
    </row>
    <row r="43" spans="2:10" x14ac:dyDescent="0.3">
      <c r="B43" s="439"/>
      <c r="D43" s="171"/>
      <c r="E43" s="163"/>
      <c r="F43" s="163"/>
      <c r="G43" s="163"/>
    </row>
    <row r="44" spans="2:10" x14ac:dyDescent="0.3">
      <c r="B44" s="439"/>
      <c r="D44" s="160" t="s">
        <v>277</v>
      </c>
      <c r="E44" s="163"/>
      <c r="F44" s="163"/>
      <c r="G44" s="163"/>
    </row>
    <row r="45" spans="2:10" x14ac:dyDescent="0.3">
      <c r="B45" s="439"/>
      <c r="D45" s="171"/>
      <c r="E45" s="163"/>
    </row>
    <row r="46" spans="2:10" x14ac:dyDescent="0.3">
      <c r="B46" s="439"/>
      <c r="D46" s="156" t="s">
        <v>278</v>
      </c>
      <c r="E46" s="163"/>
      <c r="F46" s="163"/>
      <c r="G46" s="163"/>
    </row>
    <row r="47" spans="2:10" x14ac:dyDescent="0.3">
      <c r="B47" s="439"/>
      <c r="D47" s="156" t="s">
        <v>279</v>
      </c>
      <c r="E47" s="163"/>
      <c r="F47" s="163"/>
      <c r="G47" s="163"/>
    </row>
    <row r="48" spans="2:10" x14ac:dyDescent="0.3">
      <c r="B48" s="439"/>
      <c r="D48" s="156" t="s">
        <v>280</v>
      </c>
      <c r="E48" s="163"/>
      <c r="F48" s="163"/>
      <c r="G48" s="163"/>
    </row>
    <row r="49" spans="2:10" x14ac:dyDescent="0.3">
      <c r="B49" s="439"/>
      <c r="D49" s="171" t="s">
        <v>281</v>
      </c>
      <c r="E49" s="163"/>
      <c r="F49" s="163"/>
      <c r="G49" s="163"/>
      <c r="H49" s="260"/>
    </row>
    <row r="50" spans="2:10" ht="15.75" thickBot="1" x14ac:dyDescent="0.35">
      <c r="B50" s="439"/>
      <c r="D50" s="171"/>
      <c r="E50" s="163"/>
      <c r="F50" s="163"/>
      <c r="G50" s="163"/>
    </row>
    <row r="51" spans="2:10" ht="15.75" thickBot="1" x14ac:dyDescent="0.35">
      <c r="B51" s="439"/>
      <c r="D51" s="171" t="s">
        <v>282</v>
      </c>
      <c r="E51" s="163"/>
      <c r="F51" s="163"/>
      <c r="G51" s="163"/>
      <c r="H51" s="167">
        <f ca="1">H42+H49</f>
        <v>151398.2595730132</v>
      </c>
    </row>
    <row r="52" spans="2:10" ht="15.75" thickBot="1" x14ac:dyDescent="0.35">
      <c r="B52" s="439"/>
      <c r="D52" s="171"/>
      <c r="E52" s="163"/>
      <c r="F52" s="163"/>
      <c r="G52" s="163"/>
      <c r="H52" s="163"/>
      <c r="I52" s="174" t="s">
        <v>181</v>
      </c>
      <c r="J52" s="174" t="s">
        <v>59</v>
      </c>
    </row>
    <row r="53" spans="2:10" ht="15.75" thickBot="1" x14ac:dyDescent="0.35">
      <c r="B53" s="439"/>
      <c r="D53" s="171" t="s">
        <v>283</v>
      </c>
      <c r="E53" s="163"/>
      <c r="F53" s="163"/>
      <c r="G53" s="167">
        <f ca="1">H51</f>
        <v>151398.2595730132</v>
      </c>
      <c r="H53" s="163"/>
      <c r="I53" s="173">
        <f ca="1">+EI_IR_param_IR!I57</f>
        <v>0.34210148712632532</v>
      </c>
      <c r="J53" s="173">
        <f ca="1">+EI_IR_param_IR!J47</f>
        <v>0.45</v>
      </c>
    </row>
    <row r="54" spans="2:10" x14ac:dyDescent="0.3">
      <c r="B54" s="439"/>
      <c r="D54" s="171"/>
      <c r="E54" s="163"/>
      <c r="F54" s="163"/>
      <c r="G54" s="163"/>
      <c r="H54" s="163"/>
    </row>
    <row r="55" spans="2:10" x14ac:dyDescent="0.3">
      <c r="B55" s="439"/>
      <c r="D55" s="160" t="s">
        <v>284</v>
      </c>
      <c r="E55" s="163"/>
      <c r="F55" s="163"/>
      <c r="G55" s="163"/>
      <c r="H55" s="163"/>
    </row>
    <row r="56" spans="2:10" x14ac:dyDescent="0.3">
      <c r="B56" s="439"/>
      <c r="D56" s="171"/>
      <c r="E56" s="163"/>
      <c r="F56" s="163"/>
      <c r="G56" s="163"/>
      <c r="H56" s="163"/>
    </row>
    <row r="57" spans="2:10" x14ac:dyDescent="0.3">
      <c r="B57" s="439"/>
      <c r="D57" s="171" t="s">
        <v>390</v>
      </c>
      <c r="E57" s="163"/>
      <c r="F57" s="163"/>
      <c r="G57" s="163"/>
      <c r="H57" s="260"/>
    </row>
    <row r="58" spans="2:10" x14ac:dyDescent="0.3">
      <c r="D58" s="171"/>
      <c r="E58" s="163"/>
      <c r="F58" s="163"/>
      <c r="G58" s="163"/>
      <c r="H58" s="163"/>
    </row>
    <row r="59" spans="2:10" s="166" customFormat="1" x14ac:dyDescent="0.3">
      <c r="B59" s="156"/>
      <c r="D59" s="160" t="s">
        <v>285</v>
      </c>
      <c r="E59" s="163"/>
      <c r="F59" s="163"/>
      <c r="G59" s="163"/>
      <c r="H59" s="163"/>
      <c r="I59" s="156"/>
      <c r="J59" s="156"/>
    </row>
    <row r="60" spans="2:10" ht="15.75" thickBot="1" x14ac:dyDescent="0.35">
      <c r="E60" s="163"/>
      <c r="F60" s="163"/>
      <c r="G60" s="163"/>
      <c r="H60" s="163"/>
    </row>
    <row r="61" spans="2:10" ht="15.75" thickBot="1" x14ac:dyDescent="0.35">
      <c r="D61" s="171" t="s">
        <v>286</v>
      </c>
      <c r="E61" s="163"/>
      <c r="F61" s="163"/>
      <c r="G61" s="163"/>
      <c r="H61" s="167">
        <f ca="1">G53+H57</f>
        <v>151398.2595730132</v>
      </c>
    </row>
    <row r="62" spans="2:10" x14ac:dyDescent="0.3">
      <c r="D62" s="171"/>
      <c r="E62" s="163"/>
      <c r="F62" s="163"/>
      <c r="G62" s="171"/>
      <c r="H62" s="163"/>
      <c r="I62" s="163"/>
    </row>
    <row r="63" spans="2:10" x14ac:dyDescent="0.3">
      <c r="D63" s="171"/>
      <c r="E63" s="163"/>
      <c r="F63" s="163"/>
      <c r="G63" s="171"/>
      <c r="H63" s="163"/>
      <c r="I63" s="163"/>
      <c r="J63" s="166"/>
    </row>
    <row r="64" spans="2:10" x14ac:dyDescent="0.3">
      <c r="D64" s="160" t="s">
        <v>318</v>
      </c>
      <c r="E64" s="163"/>
      <c r="F64" s="163"/>
      <c r="G64" s="171"/>
      <c r="H64" s="163"/>
      <c r="I64" s="163"/>
    </row>
    <row r="65" spans="4:9" ht="15.75" thickBot="1" x14ac:dyDescent="0.35">
      <c r="E65" s="163"/>
      <c r="F65" s="163"/>
      <c r="G65" s="171"/>
      <c r="H65" s="163"/>
      <c r="I65" s="163"/>
    </row>
    <row r="66" spans="4:9" ht="15.75" thickBot="1" x14ac:dyDescent="0.35">
      <c r="D66" s="171" t="s">
        <v>318</v>
      </c>
      <c r="E66" s="163"/>
      <c r="F66" s="163"/>
      <c r="G66" s="171"/>
      <c r="H66" s="167">
        <f ca="1">EI_IR_param_IR!D84</f>
        <v>0</v>
      </c>
      <c r="I66" s="163"/>
    </row>
    <row r="67" spans="4:9" x14ac:dyDescent="0.3">
      <c r="D67" s="171"/>
      <c r="E67" s="163"/>
      <c r="F67" s="163"/>
      <c r="G67" s="171"/>
      <c r="H67" s="163"/>
      <c r="I67" s="163"/>
    </row>
    <row r="68" spans="4:9" x14ac:dyDescent="0.3">
      <c r="D68" s="171"/>
      <c r="E68" s="163"/>
      <c r="F68" s="163"/>
      <c r="G68" s="171"/>
      <c r="H68" s="163"/>
      <c r="I68" s="174" t="s">
        <v>181</v>
      </c>
    </row>
    <row r="69" spans="4:9" x14ac:dyDescent="0.3">
      <c r="D69" s="171"/>
      <c r="E69" s="163"/>
      <c r="F69" s="163"/>
      <c r="G69" s="171" t="s">
        <v>319</v>
      </c>
      <c r="H69" s="206">
        <f ca="1">H61+H66</f>
        <v>151398.2595730132</v>
      </c>
      <c r="I69" s="173">
        <f ca="1">H69/H38</f>
        <v>0.34210148712632532</v>
      </c>
    </row>
    <row r="70" spans="4:9" x14ac:dyDescent="0.3">
      <c r="D70" s="171"/>
      <c r="E70" s="163"/>
      <c r="F70" s="163"/>
      <c r="G70" s="171"/>
      <c r="H70" s="163"/>
      <c r="I70" s="163"/>
    </row>
    <row r="71" spans="4:9" x14ac:dyDescent="0.3">
      <c r="D71" s="171"/>
      <c r="E71" s="163"/>
      <c r="F71" s="163"/>
      <c r="G71" s="171"/>
      <c r="H71" s="163"/>
      <c r="I71" s="163"/>
    </row>
    <row r="72" spans="4:9" ht="15" customHeight="1" x14ac:dyDescent="0.3"/>
  </sheetData>
  <scenarios current="0" show="0" sqref="E42 L62 O41 P41">
    <scenario name="H1" count="2" user="Fabien Bocci" comment="Créé par Fabien Bocci le 28/11/2018_x000a_Modifié par: Fabien Bocci le 28/11/2018">
      <inputCells r="G24" val="33000" numFmtId="165"/>
      <inputCells r="H19" val="108000" numFmtId="165"/>
    </scenario>
    <scenario name="H2" count="2" user="Fabien Bocci" comment="Créé par Fabien Bocci le 28/11/2018_x000a_Modifié par: Fabien Bocci le 28/11/2018">
      <inputCells r="G24" val="50000" numFmtId="165"/>
      <inputCells r="H19" val="100000" numFmtId="165"/>
    </scenario>
    <scenario name="H3" locked="1" hidden="1" count="2" user="Fabien Bocci" comment="Créé par Fabien Bocci le 28/11/2018_x000a_Modifié par: Fabien Bocci le 28/11/2018">
      <inputCells r="G24" val="0" numFmtId="165"/>
      <inputCells r="H19" val="100000" numFmtId="165"/>
    </scenario>
    <scenario name="H4" locked="1" count="2" user="Fabien Bocci" comment="Créé par Fabien Bocci le 28/11/2018">
      <inputCells r="G24" val="0" numFmtId="165"/>
      <inputCells r="H19" val="100000" numFmtId="165"/>
    </scenario>
    <scenario name="H5" locked="1" count="2" user="Fabien Bocci" comment="Créé par Fabien Bocci le 28/11/2018">
      <inputCells r="G24" val="0" numFmtId="165"/>
      <inputCells r="H19" val="100000" numFmtId="165"/>
    </scenario>
  </scenarios>
  <mergeCells count="4">
    <mergeCell ref="B2:I2"/>
    <mergeCell ref="B6:I6"/>
    <mergeCell ref="B8:B57"/>
    <mergeCell ref="B3:I3"/>
  </mergeCells>
  <dataValidations disablePrompts="1" count="1">
    <dataValidation type="decimal" operator="lessThan" allowBlank="1" showInputMessage="1" showErrorMessage="1" error="Saisir une valeur négative" promptTitle="Important" prompt="Saisir une valeur négative" sqref="H49 H57" xr:uid="{7BF8F316-482F-4B58-9348-F70B3D0F8474}">
      <formula1>0</formula1>
    </dataValidation>
  </dataValidations>
  <printOptions horizontalCentered="1"/>
  <pageMargins left="0.70866141732283472" right="0.70866141732283472" top="0.74803149606299213" bottom="0.74803149606299213" header="0.31496062992125984" footer="0.31496062992125984"/>
  <pageSetup paperSize="8" scale="54" orientation="portrait" r:id="rId1"/>
  <headerFooter>
    <oddHeader>&amp;C&amp;F</oddHeader>
    <oddFooter>&amp;L&amp;G&amp;R&amp;D</oddFooter>
  </headerFooter>
  <legacyDrawingHF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BFF01-40B8-41CE-8D37-5E817FF21D15}">
  <sheetPr>
    <tabColor theme="6"/>
  </sheetPr>
  <dimension ref="B2:L84"/>
  <sheetViews>
    <sheetView topLeftCell="A54" workbookViewId="0">
      <selection activeCell="J14" sqref="J14"/>
    </sheetView>
  </sheetViews>
  <sheetFormatPr baseColWidth="10" defaultColWidth="11.42578125" defaultRowHeight="15" x14ac:dyDescent="0.25"/>
  <cols>
    <col min="1" max="2" width="11.42578125" style="262"/>
    <col min="3" max="3" width="54.28515625" style="262" customWidth="1"/>
    <col min="4" max="4" width="11.42578125" style="262"/>
    <col min="5" max="5" width="13" style="262" customWidth="1"/>
    <col min="6" max="6" width="12.140625" style="262" customWidth="1"/>
    <col min="7" max="7" width="1.7109375" style="262" customWidth="1"/>
    <col min="8" max="8" width="13.85546875" style="262" customWidth="1"/>
    <col min="9" max="9" width="14" style="262" customWidth="1"/>
    <col min="10" max="10" width="13.7109375" style="262" customWidth="1"/>
    <col min="11" max="12" width="11.42578125" style="262"/>
    <col min="13" max="13" width="34.7109375" style="262" customWidth="1"/>
    <col min="14" max="16384" width="11.42578125" style="262"/>
  </cols>
  <sheetData>
    <row r="2" spans="2:9" ht="15" customHeight="1" x14ac:dyDescent="0.25"/>
    <row r="3" spans="2:9" ht="31.5" customHeight="1" x14ac:dyDescent="0.25">
      <c r="B3" s="440" t="s">
        <v>287</v>
      </c>
      <c r="C3" s="440"/>
      <c r="D3" s="440"/>
      <c r="E3" s="440"/>
      <c r="F3" s="440"/>
      <c r="G3" s="440"/>
      <c r="H3" s="440"/>
      <c r="I3" s="440"/>
    </row>
    <row r="4" spans="2:9" ht="27.75" customHeight="1" x14ac:dyDescent="0.25">
      <c r="B4" s="441" t="str">
        <f>EI_IR_calcul_IR!B3</f>
        <v>Année 2022</v>
      </c>
      <c r="C4" s="441"/>
      <c r="D4" s="441"/>
      <c r="E4" s="441"/>
      <c r="F4" s="441"/>
      <c r="G4" s="441"/>
      <c r="H4" s="441"/>
      <c r="I4" s="441"/>
    </row>
    <row r="5" spans="2:9" ht="30" x14ac:dyDescent="0.25">
      <c r="B5" s="263"/>
      <c r="C5" s="264" t="s">
        <v>57</v>
      </c>
      <c r="D5" s="264" t="s">
        <v>58</v>
      </c>
      <c r="E5" s="264" t="s">
        <v>59</v>
      </c>
      <c r="F5" s="264" t="s">
        <v>60</v>
      </c>
      <c r="G5" s="265"/>
      <c r="H5" s="264" t="s">
        <v>61</v>
      </c>
      <c r="I5" s="264" t="s">
        <v>62</v>
      </c>
    </row>
    <row r="6" spans="2:9" ht="16.5" customHeight="1" x14ac:dyDescent="0.25">
      <c r="B6" s="263" t="s">
        <v>63</v>
      </c>
      <c r="C6" s="266">
        <v>0</v>
      </c>
      <c r="D6" s="283">
        <f>+'PARAM IR SOURCE'!D6</f>
        <v>10225</v>
      </c>
      <c r="E6" s="284">
        <f>+'PARAM IR SOURCE'!E6</f>
        <v>0</v>
      </c>
      <c r="F6" s="283">
        <f>+'PARAM IR SOURCE'!F6</f>
        <v>0</v>
      </c>
      <c r="G6" s="267"/>
      <c r="H6" s="266">
        <f ca="1">+IFERROR($E6*EI_IR_calcul_IR!$H$38-$F6*$F$20,0)</f>
        <v>0</v>
      </c>
      <c r="I6" s="266">
        <f ca="1">+IFERROR($E6*EI_IR_calcul_IR!$H$38-$F6*EI_IR_calcul_IR!$H$10,0)</f>
        <v>0</v>
      </c>
    </row>
    <row r="7" spans="2:9" x14ac:dyDescent="0.25">
      <c r="B7" s="263" t="s">
        <v>64</v>
      </c>
      <c r="C7" s="266">
        <f>+D6+1</f>
        <v>10226</v>
      </c>
      <c r="D7" s="283">
        <f>+'PARAM IR SOURCE'!D7</f>
        <v>26070</v>
      </c>
      <c r="E7" s="284">
        <f>+'PARAM IR SOURCE'!E7</f>
        <v>0.11</v>
      </c>
      <c r="F7" s="283">
        <f>+'PARAM IR SOURCE'!F7</f>
        <v>1124.75</v>
      </c>
      <c r="G7" s="267"/>
      <c r="H7" s="266">
        <f ca="1">+IFERROR($E7*EI_IR_calcul_IR!$H$38-$F7*$F$20,0)</f>
        <v>46431.400784514342</v>
      </c>
      <c r="I7" s="266">
        <f ca="1">+IFERROR($E7*EI_IR_calcul_IR!$H$38-$F7*EI_IR_calcul_IR!$H$10,0)</f>
        <v>44181.900784514342</v>
      </c>
    </row>
    <row r="8" spans="2:9" x14ac:dyDescent="0.25">
      <c r="B8" s="263" t="s">
        <v>65</v>
      </c>
      <c r="C8" s="266">
        <f>+D7+1</f>
        <v>26071</v>
      </c>
      <c r="D8" s="283">
        <f>+'PARAM IR SOURCE'!D8</f>
        <v>74545</v>
      </c>
      <c r="E8" s="284">
        <f>+'PARAM IR SOURCE'!E8</f>
        <v>0.3</v>
      </c>
      <c r="F8" s="283">
        <f>+'PARAM IR SOURCE'!F8</f>
        <v>6078.05</v>
      </c>
      <c r="G8" s="267"/>
      <c r="H8" s="266">
        <f ca="1">+IFERROR($E8*EI_IR_calcul_IR!$H$38-$F8*$F$20,0)</f>
        <v>120609.99304867545</v>
      </c>
      <c r="I8" s="266">
        <f ca="1">+IFERROR($E8*EI_IR_calcul_IR!$H$38-$F8*EI_IR_calcul_IR!$H$10,0)</f>
        <v>108453.89304867545</v>
      </c>
    </row>
    <row r="9" spans="2:9" x14ac:dyDescent="0.25">
      <c r="B9" s="263" t="s">
        <v>66</v>
      </c>
      <c r="C9" s="266">
        <f>+D8+1</f>
        <v>74546</v>
      </c>
      <c r="D9" s="283">
        <f>+'PARAM IR SOURCE'!D9</f>
        <v>160336</v>
      </c>
      <c r="E9" s="284">
        <f>+'PARAM IR SOURCE'!E9</f>
        <v>0.41</v>
      </c>
      <c r="F9" s="283">
        <f>+'PARAM IR SOURCE'!F9</f>
        <v>14278</v>
      </c>
      <c r="G9" s="267"/>
      <c r="H9" s="266">
        <f ca="1">+IFERROR($E9*EI_IR_calcul_IR!$H$38-$F9*$F$20,0)</f>
        <v>152890.9938331898</v>
      </c>
      <c r="I9" s="266">
        <f ca="1">+IFERROR($E9*EI_IR_calcul_IR!$H$38-$F9*EI_IR_calcul_IR!$H$10,0)</f>
        <v>124334.9938331898</v>
      </c>
    </row>
    <row r="10" spans="2:9" x14ac:dyDescent="0.25">
      <c r="B10" s="263" t="s">
        <v>67</v>
      </c>
      <c r="C10" s="266">
        <f>+D9+1</f>
        <v>160337</v>
      </c>
      <c r="D10" s="283">
        <f>+'PARAM IR SOURCE'!D10</f>
        <v>0</v>
      </c>
      <c r="E10" s="284">
        <f>+'PARAM IR SOURCE'!E10</f>
        <v>0.45</v>
      </c>
      <c r="F10" s="283">
        <f>+'PARAM IR SOURCE'!F10</f>
        <v>20691.439999999999</v>
      </c>
      <c r="G10" s="267"/>
      <c r="H10" s="266">
        <f ca="1">+IFERROR($E10*EI_IR_calcul_IR!$H$38-$F10*$F$20,0)</f>
        <v>157766.2595730132</v>
      </c>
      <c r="I10" s="266">
        <f ca="1">+IFERROR($E10*EI_IR_calcul_IR!$H$38-$F10*EI_IR_calcul_IR!$H$10,0)</f>
        <v>116383.37957301321</v>
      </c>
    </row>
    <row r="11" spans="2:9" x14ac:dyDescent="0.25">
      <c r="B11" s="263" t="s">
        <v>289</v>
      </c>
      <c r="C11" s="266"/>
      <c r="D11" s="283">
        <f>+'PARAM IR SOURCE'!D11</f>
        <v>0</v>
      </c>
      <c r="E11" s="284">
        <f>+'PARAM IR SOURCE'!E11</f>
        <v>0</v>
      </c>
      <c r="F11" s="283">
        <f>+'PARAM IR SOURCE'!F11</f>
        <v>0</v>
      </c>
      <c r="G11" s="267"/>
      <c r="H11" s="266">
        <f ca="1">+IFERROR($E11*EI_IR_calcul_IR!$H$38-$F11*$F$20,0)</f>
        <v>0</v>
      </c>
      <c r="I11" s="266">
        <f ca="1">+IFERROR($E11*EI_IR_calcul_IR!$H$38-$F11*EI_IR_calcul_IR!$H$10,0)</f>
        <v>0</v>
      </c>
    </row>
    <row r="12" spans="2:9" ht="17.25" x14ac:dyDescent="0.4">
      <c r="H12" s="268"/>
      <c r="I12" s="268"/>
    </row>
    <row r="13" spans="2:9" ht="17.25" x14ac:dyDescent="0.4">
      <c r="H13" s="268"/>
    </row>
    <row r="15" spans="2:9" x14ac:dyDescent="0.25">
      <c r="C15" s="442" t="s">
        <v>290</v>
      </c>
      <c r="D15" s="442"/>
      <c r="E15" s="442"/>
      <c r="F15" s="442"/>
    </row>
    <row r="16" spans="2:9" ht="6" customHeight="1" x14ac:dyDescent="0.25">
      <c r="C16" s="263"/>
      <c r="F16" s="269"/>
    </row>
    <row r="17" spans="2:12" x14ac:dyDescent="0.25">
      <c r="C17" s="263" t="s">
        <v>291</v>
      </c>
      <c r="F17" s="286" t="str">
        <f>+EI_IR_calcul_IR!H9</f>
        <v>Marié</v>
      </c>
    </row>
    <row r="18" spans="2:12" x14ac:dyDescent="0.25">
      <c r="C18" s="263" t="s">
        <v>292</v>
      </c>
      <c r="F18" s="286">
        <f ca="1">+EI_IR_calcul_IR!H38</f>
        <v>442553.6434955849</v>
      </c>
    </row>
    <row r="19" spans="2:12" x14ac:dyDescent="0.25">
      <c r="C19" s="263" t="s">
        <v>293</v>
      </c>
      <c r="F19" s="286">
        <f>+IF(EI_IR_calcul_IR!H11&lt;=2,EI_IR_calcul_IR!H11,2+(EI_IR_calcul_IR!H11-2)*2)</f>
        <v>4</v>
      </c>
    </row>
    <row r="20" spans="2:12" x14ac:dyDescent="0.25">
      <c r="C20" s="263" t="s">
        <v>69</v>
      </c>
      <c r="F20" s="286">
        <f>+IF(EI_IR_calcul_IR!H11&lt;=2,EI_IR_calcul_IR!H10-EI_IR_calcul_IR!H11/2,EI_IR_calcul_IR!H10-(1+(EI_IR_calcul_IR!H11-2)))</f>
        <v>2</v>
      </c>
    </row>
    <row r="21" spans="2:12" ht="6" customHeight="1" x14ac:dyDescent="0.25">
      <c r="C21" s="263"/>
      <c r="F21" s="269"/>
    </row>
    <row r="22" spans="2:12" x14ac:dyDescent="0.25">
      <c r="C22" s="263" t="s">
        <v>294</v>
      </c>
      <c r="F22" s="285">
        <f>+'PARAM IR SOURCE'!F22</f>
        <v>1592</v>
      </c>
      <c r="K22" s="271"/>
    </row>
    <row r="23" spans="2:12" x14ac:dyDescent="0.25">
      <c r="C23" s="263" t="s">
        <v>295</v>
      </c>
      <c r="F23" s="285">
        <f>+'PARAM IR SOURCE'!F23</f>
        <v>12829</v>
      </c>
    </row>
    <row r="24" spans="2:12" x14ac:dyDescent="0.25">
      <c r="C24" s="263"/>
    </row>
    <row r="25" spans="2:12" x14ac:dyDescent="0.25">
      <c r="C25" s="147" t="s">
        <v>70</v>
      </c>
    </row>
    <row r="26" spans="2:12" x14ac:dyDescent="0.25">
      <c r="C26" s="263" t="s">
        <v>297</v>
      </c>
      <c r="F26" s="285">
        <f>+'PARAM IR SOURCE'!F26</f>
        <v>1746</v>
      </c>
      <c r="K26" s="285">
        <f>+'PARAM IR SOURCE'!K26</f>
        <v>790</v>
      </c>
      <c r="L26" s="284">
        <f>+'PARAM IR SOURCE'!L26</f>
        <v>0.45250000000000001</v>
      </c>
    </row>
    <row r="27" spans="2:12" x14ac:dyDescent="0.25">
      <c r="B27" s="263"/>
      <c r="C27" s="263" t="s">
        <v>298</v>
      </c>
      <c r="F27" s="285">
        <f>+'PARAM IR SOURCE'!F27</f>
        <v>2888</v>
      </c>
      <c r="K27" s="285">
        <f>+'PARAM IR SOURCE'!K27</f>
        <v>1307</v>
      </c>
      <c r="L27" s="284">
        <f>+'PARAM IR SOURCE'!L27</f>
        <v>0.45250000000000001</v>
      </c>
    </row>
    <row r="28" spans="2:12" x14ac:dyDescent="0.25">
      <c r="B28" s="263"/>
      <c r="C28" s="263"/>
    </row>
    <row r="29" spans="2:12" x14ac:dyDescent="0.25">
      <c r="B29" s="272" t="s">
        <v>299</v>
      </c>
      <c r="C29" s="147" t="s">
        <v>71</v>
      </c>
    </row>
    <row r="30" spans="2:12" x14ac:dyDescent="0.25">
      <c r="B30" s="263"/>
      <c r="C30" s="263" t="s">
        <v>72</v>
      </c>
      <c r="F30" s="273"/>
    </row>
    <row r="31" spans="2:12" x14ac:dyDescent="0.25">
      <c r="B31" s="263"/>
      <c r="C31" s="274" t="s">
        <v>73</v>
      </c>
      <c r="F31" s="285">
        <f>+'PARAM IR SOURCE'!F31</f>
        <v>21248</v>
      </c>
    </row>
    <row r="32" spans="2:12" x14ac:dyDescent="0.25">
      <c r="B32" s="263"/>
      <c r="C32" s="274" t="s">
        <v>74</v>
      </c>
      <c r="F32" s="285">
        <f>+'PARAM IR SOURCE'!F32</f>
        <v>42486</v>
      </c>
    </row>
    <row r="33" spans="2:10" x14ac:dyDescent="0.25">
      <c r="B33" s="263"/>
      <c r="C33" s="274" t="s">
        <v>75</v>
      </c>
      <c r="F33" s="285">
        <f>+'PARAM IR SOURCE'!F33</f>
        <v>3835</v>
      </c>
    </row>
    <row r="34" spans="2:10" x14ac:dyDescent="0.25">
      <c r="B34" s="272" t="s">
        <v>300</v>
      </c>
      <c r="C34" s="275" t="s">
        <v>19</v>
      </c>
      <c r="F34" s="276"/>
    </row>
    <row r="35" spans="2:10" x14ac:dyDescent="0.25">
      <c r="B35" s="263"/>
      <c r="C35" s="274" t="s">
        <v>73</v>
      </c>
      <c r="F35" s="285">
        <f>+'PARAM IR SOURCE'!F35</f>
        <v>19175</v>
      </c>
    </row>
    <row r="36" spans="2:10" x14ac:dyDescent="0.25">
      <c r="B36" s="263"/>
      <c r="C36" s="274" t="s">
        <v>74</v>
      </c>
      <c r="F36" s="285">
        <f>+'PARAM IR SOURCE'!F36</f>
        <v>38350</v>
      </c>
    </row>
    <row r="37" spans="2:10" x14ac:dyDescent="0.25">
      <c r="B37" s="263"/>
      <c r="C37" s="274" t="s">
        <v>75</v>
      </c>
      <c r="F37" s="270">
        <f>+F33</f>
        <v>3835</v>
      </c>
    </row>
    <row r="38" spans="2:10" x14ac:dyDescent="0.25">
      <c r="B38" s="263"/>
      <c r="C38" s="274"/>
      <c r="F38" s="276"/>
    </row>
    <row r="39" spans="2:10" x14ac:dyDescent="0.25">
      <c r="B39" s="261" t="s">
        <v>302</v>
      </c>
      <c r="C39" s="275" t="s">
        <v>18</v>
      </c>
      <c r="F39" s="276"/>
    </row>
    <row r="40" spans="2:10" x14ac:dyDescent="0.25">
      <c r="B40" s="263"/>
      <c r="C40" s="274" t="s">
        <v>76</v>
      </c>
      <c r="F40" s="284">
        <v>0.2</v>
      </c>
    </row>
    <row r="41" spans="2:10" x14ac:dyDescent="0.25">
      <c r="B41" s="263"/>
      <c r="C41" s="274" t="s">
        <v>77</v>
      </c>
      <c r="F41" s="285">
        <v>2073</v>
      </c>
      <c r="G41" s="273"/>
    </row>
    <row r="42" spans="2:10" x14ac:dyDescent="0.25">
      <c r="B42" s="263"/>
      <c r="C42" s="274" t="s">
        <v>78</v>
      </c>
      <c r="F42" s="285">
        <v>4146</v>
      </c>
    </row>
    <row r="43" spans="2:10" x14ac:dyDescent="0.25">
      <c r="B43" s="263"/>
      <c r="C43" s="274"/>
      <c r="F43" s="276"/>
    </row>
    <row r="44" spans="2:10" x14ac:dyDescent="0.25">
      <c r="B44" s="263"/>
      <c r="C44" s="274"/>
      <c r="F44" s="276"/>
    </row>
    <row r="45" spans="2:10" x14ac:dyDescent="0.25">
      <c r="B45" s="263"/>
      <c r="C45" s="442" t="s">
        <v>303</v>
      </c>
      <c r="D45" s="442"/>
      <c r="E45" s="442"/>
      <c r="F45" s="442"/>
    </row>
    <row r="46" spans="2:10" x14ac:dyDescent="0.25">
      <c r="B46" s="263"/>
      <c r="J46" s="29" t="s">
        <v>59</v>
      </c>
    </row>
    <row r="47" spans="2:10" x14ac:dyDescent="0.25">
      <c r="C47" s="262" t="s">
        <v>304</v>
      </c>
      <c r="D47" s="55"/>
      <c r="E47" s="55"/>
      <c r="F47" s="55"/>
      <c r="G47" s="55"/>
      <c r="H47" s="270">
        <f ca="1">+EI_IR_calcul_IR!H38/EI_IR_param_IR!F20</f>
        <v>221276.82174779245</v>
      </c>
      <c r="I47" s="270">
        <f ca="1">+IFERROR(VLOOKUP(H47,C6:I11,6,TRUE),0)</f>
        <v>157766.2595730132</v>
      </c>
      <c r="J47" s="288">
        <f ca="1">+VLOOKUP(EI_IR_calcul_IR!$H$38/$F$20,C6:G11,3,TRUE)</f>
        <v>0.45</v>
      </c>
    </row>
    <row r="48" spans="2:10" x14ac:dyDescent="0.25">
      <c r="B48" s="28"/>
      <c r="C48" s="263" t="s">
        <v>305</v>
      </c>
      <c r="D48" s="28"/>
      <c r="E48" s="28"/>
      <c r="F48" s="28"/>
      <c r="G48" s="28"/>
      <c r="H48" s="270">
        <f ca="1">+EI_IR_calcul_IR!H38/EI_IR_calcul_IR!H10</f>
        <v>110638.41087389622</v>
      </c>
      <c r="I48" s="270">
        <f ca="1">+IFERROR(VLOOKUP(H48,C6:I11,7,TRUE),0)</f>
        <v>124334.9938331898</v>
      </c>
      <c r="J48" s="288">
        <f ca="1">+VLOOKUP(EI_IR_calcul_IR!$H$38/EI_IR_calcul_IR!$H$10,C6:G11,3,TRUE)</f>
        <v>0.41</v>
      </c>
    </row>
    <row r="49" spans="2:9" x14ac:dyDescent="0.25">
      <c r="C49" s="263"/>
    </row>
    <row r="50" spans="2:9" x14ac:dyDescent="0.25">
      <c r="C50" s="263" t="s">
        <v>306</v>
      </c>
      <c r="I50" s="270">
        <f ca="1">+I47-I48</f>
        <v>33431.265739823401</v>
      </c>
    </row>
    <row r="51" spans="2:9" x14ac:dyDescent="0.25">
      <c r="C51" s="263"/>
      <c r="I51" s="277"/>
    </row>
    <row r="52" spans="2:9" x14ac:dyDescent="0.25">
      <c r="C52" s="263" t="s">
        <v>307</v>
      </c>
      <c r="I52" s="270">
        <f>+F19*F22</f>
        <v>6368</v>
      </c>
    </row>
    <row r="54" spans="2:9" x14ac:dyDescent="0.25">
      <c r="C54" s="263" t="s">
        <v>308</v>
      </c>
      <c r="D54" s="278"/>
      <c r="I54" s="270">
        <f ca="1">+MIN(I50,I52)</f>
        <v>6368</v>
      </c>
    </row>
    <row r="55" spans="2:9" x14ac:dyDescent="0.25">
      <c r="C55" s="263"/>
    </row>
    <row r="56" spans="2:9" x14ac:dyDescent="0.25">
      <c r="C56" s="147" t="s">
        <v>309</v>
      </c>
      <c r="I56" s="270">
        <f ca="1">+I47-I54</f>
        <v>151398.2595730132</v>
      </c>
    </row>
    <row r="57" spans="2:9" x14ac:dyDescent="0.25">
      <c r="B57" s="28"/>
      <c r="C57" s="279" t="s">
        <v>310</v>
      </c>
      <c r="D57" s="28"/>
      <c r="E57" s="28"/>
      <c r="F57" s="28"/>
      <c r="G57" s="28"/>
      <c r="H57" s="28"/>
      <c r="I57" s="288">
        <f ca="1">+IFERROR(I56/EI_IR_calcul_IR!H38,0)</f>
        <v>0.34210148712632532</v>
      </c>
    </row>
    <row r="58" spans="2:9" x14ac:dyDescent="0.25">
      <c r="B58" s="28"/>
      <c r="C58" s="279"/>
      <c r="D58" s="28"/>
      <c r="E58" s="28"/>
      <c r="F58" s="28"/>
      <c r="G58" s="28"/>
      <c r="H58" s="28"/>
      <c r="I58" s="280"/>
    </row>
    <row r="59" spans="2:9" x14ac:dyDescent="0.25">
      <c r="B59" s="28"/>
      <c r="C59" s="279" t="s">
        <v>70</v>
      </c>
      <c r="D59" s="28"/>
      <c r="E59" s="28"/>
      <c r="F59" s="28"/>
      <c r="G59" s="28"/>
      <c r="H59" s="28"/>
      <c r="I59" s="285">
        <f ca="1">+IF(AND(F17="célibataire",I56&lt;F26,I56&gt;0),MAX(0,K26-I56*L26),IF(AND(F17="mariés",I56&lt;F27,I56&gt;0),MAX(0,K27-I56*L27),0))</f>
        <v>0</v>
      </c>
    </row>
    <row r="60" spans="2:9" x14ac:dyDescent="0.25">
      <c r="B60" s="28"/>
      <c r="C60" s="279"/>
      <c r="D60" s="28"/>
      <c r="E60" s="28"/>
      <c r="F60" s="28"/>
      <c r="G60" s="28"/>
      <c r="H60" s="28"/>
      <c r="I60" s="280"/>
    </row>
    <row r="61" spans="2:9" x14ac:dyDescent="0.25">
      <c r="B61" s="28"/>
      <c r="C61" s="279" t="s">
        <v>311</v>
      </c>
      <c r="D61" s="28"/>
      <c r="E61" s="28"/>
      <c r="F61" s="28"/>
      <c r="G61" s="28"/>
      <c r="H61" s="28"/>
      <c r="I61" s="270">
        <f ca="1">+I56-I59</f>
        <v>151398.2595730132</v>
      </c>
    </row>
    <row r="62" spans="2:9" x14ac:dyDescent="0.25">
      <c r="B62" s="28"/>
      <c r="C62" s="279"/>
      <c r="D62" s="28"/>
      <c r="E62" s="28"/>
      <c r="F62" s="28"/>
      <c r="G62" s="28"/>
      <c r="H62" s="28"/>
      <c r="I62" s="281"/>
    </row>
    <row r="63" spans="2:9" x14ac:dyDescent="0.25">
      <c r="B63" s="28"/>
      <c r="C63" s="279" t="s">
        <v>80</v>
      </c>
      <c r="D63" s="28"/>
      <c r="E63" s="28"/>
      <c r="F63" s="28"/>
      <c r="G63" s="28"/>
      <c r="H63" s="28"/>
      <c r="I63" s="270">
        <f>+IF(F17="célibataire",F31+F33*F19,F32+F33*F19)</f>
        <v>57826</v>
      </c>
    </row>
    <row r="64" spans="2:9" x14ac:dyDescent="0.25">
      <c r="B64" s="28"/>
      <c r="C64" s="279" t="s">
        <v>81</v>
      </c>
      <c r="D64" s="28"/>
      <c r="E64" s="28"/>
      <c r="F64" s="28"/>
      <c r="G64" s="28"/>
      <c r="H64" s="28"/>
      <c r="I64" s="270">
        <f>+IF(F17="célibataire",F35+F37*F19,F36+F33*F19)</f>
        <v>53690</v>
      </c>
    </row>
    <row r="65" spans="2:9" x14ac:dyDescent="0.25">
      <c r="B65" s="28"/>
      <c r="C65" s="279" t="s">
        <v>82</v>
      </c>
      <c r="D65" s="28"/>
      <c r="E65" s="28"/>
      <c r="F65" s="28"/>
      <c r="G65" s="28"/>
      <c r="H65" s="28"/>
      <c r="I65" s="270">
        <f ca="1">+F18</f>
        <v>442553.6434955849</v>
      </c>
    </row>
    <row r="66" spans="2:9" x14ac:dyDescent="0.25">
      <c r="B66" s="28"/>
      <c r="C66" s="279" t="s">
        <v>83</v>
      </c>
      <c r="D66" s="28"/>
      <c r="E66" s="28"/>
      <c r="F66" s="28"/>
      <c r="G66" s="28"/>
      <c r="H66" s="28"/>
      <c r="I66" s="270">
        <f ca="1">+IF(I65&lt;I64,20%,IF(AND(F17="Célibataire",F18&lt;(F31+F33*F19)),F40*(F31+F33*F19-F18)/F41,IF(AND(F17="mariés",F18&lt;(F32+F33*F19)),F40*(F32+F33*F19-F18)/F42,0)))</f>
        <v>0</v>
      </c>
    </row>
    <row r="67" spans="2:9" x14ac:dyDescent="0.25">
      <c r="B67" s="28"/>
      <c r="C67" s="279" t="s">
        <v>84</v>
      </c>
      <c r="D67" s="28"/>
      <c r="E67" s="28"/>
      <c r="F67" s="28"/>
      <c r="G67" s="28"/>
      <c r="H67" s="28"/>
      <c r="I67" s="270">
        <f ca="1">+I61*I66</f>
        <v>0</v>
      </c>
    </row>
    <row r="68" spans="2:9" ht="17.25" x14ac:dyDescent="0.4">
      <c r="B68" s="28"/>
      <c r="C68" s="279" t="s">
        <v>85</v>
      </c>
      <c r="D68" s="28"/>
      <c r="E68" s="28"/>
      <c r="F68" s="28"/>
      <c r="G68" s="28"/>
      <c r="H68" s="28"/>
      <c r="I68" s="287">
        <f ca="1">+I61-I67</f>
        <v>151398.2595730132</v>
      </c>
    </row>
    <row r="69" spans="2:9" x14ac:dyDescent="0.25">
      <c r="B69" s="28"/>
      <c r="C69" s="279"/>
      <c r="D69" s="28"/>
      <c r="E69" s="28"/>
      <c r="F69" s="28"/>
      <c r="G69" s="28"/>
      <c r="H69" s="28"/>
      <c r="I69" s="281"/>
    </row>
    <row r="71" spans="2:9" x14ac:dyDescent="0.25">
      <c r="C71" s="443" t="s">
        <v>392</v>
      </c>
      <c r="D71" s="443"/>
      <c r="E71" s="443"/>
    </row>
    <row r="72" spans="2:9" x14ac:dyDescent="0.25">
      <c r="C72" s="299"/>
      <c r="D72" s="299"/>
      <c r="E72" s="299"/>
    </row>
    <row r="73" spans="2:9" x14ac:dyDescent="0.25">
      <c r="C73" s="3"/>
      <c r="D73" s="289" t="s">
        <v>86</v>
      </c>
      <c r="E73" s="290" t="s">
        <v>87</v>
      </c>
    </row>
    <row r="74" spans="2:9" x14ac:dyDescent="0.25">
      <c r="C74" s="282" t="s">
        <v>88</v>
      </c>
      <c r="D74" s="291">
        <v>0.03</v>
      </c>
      <c r="E74" s="292">
        <v>0.03</v>
      </c>
    </row>
    <row r="75" spans="2:9" x14ac:dyDescent="0.25">
      <c r="C75" s="3" t="s">
        <v>89</v>
      </c>
      <c r="D75" s="293">
        <v>250001</v>
      </c>
      <c r="E75" s="294">
        <v>500001</v>
      </c>
    </row>
    <row r="76" spans="2:9" x14ac:dyDescent="0.25">
      <c r="C76" s="3" t="s">
        <v>90</v>
      </c>
      <c r="D76" s="293">
        <v>500000</v>
      </c>
      <c r="E76" s="294">
        <v>1000000</v>
      </c>
    </row>
    <row r="77" spans="2:9" x14ac:dyDescent="0.25">
      <c r="C77" s="3" t="s">
        <v>91</v>
      </c>
      <c r="D77" s="295">
        <f>IF(F17="Célibataire",IF(F18&lt;=D75,0,MIN(F18-D75,D76-D75)),0)</f>
        <v>0</v>
      </c>
      <c r="E77" s="296">
        <f ca="1">IF(F17="marié",IF(F18&lt;=E75,0,MIN(F18-E75,E76-E75)),0)</f>
        <v>0</v>
      </c>
    </row>
    <row r="78" spans="2:9" x14ac:dyDescent="0.25">
      <c r="C78" s="3" t="s">
        <v>92</v>
      </c>
      <c r="D78" s="295">
        <f ca="1">D77*D74+E77*E74</f>
        <v>0</v>
      </c>
      <c r="E78" s="296"/>
    </row>
    <row r="79" spans="2:9" x14ac:dyDescent="0.25">
      <c r="C79" s="282" t="s">
        <v>93</v>
      </c>
      <c r="D79" s="291">
        <v>0.04</v>
      </c>
      <c r="E79" s="292">
        <v>0.04</v>
      </c>
    </row>
    <row r="80" spans="2:9" x14ac:dyDescent="0.25">
      <c r="C80" s="3" t="s">
        <v>89</v>
      </c>
      <c r="D80" s="293">
        <f>+D76+1</f>
        <v>500001</v>
      </c>
      <c r="E80" s="294">
        <f>+E76+1</f>
        <v>1000001</v>
      </c>
    </row>
    <row r="81" spans="3:5" x14ac:dyDescent="0.25">
      <c r="C81" s="3" t="s">
        <v>94</v>
      </c>
      <c r="D81" s="295">
        <f>IF($F$17=1,IF($F$18&gt;D80,$F$18-D80,0),0)</f>
        <v>0</v>
      </c>
      <c r="E81" s="296">
        <f>IF($F$17=1,IF($F$18&gt;E80,$F$18-E80,0),0)</f>
        <v>0</v>
      </c>
    </row>
    <row r="82" spans="3:5" x14ac:dyDescent="0.25">
      <c r="C82" s="3" t="s">
        <v>91</v>
      </c>
      <c r="D82" s="295">
        <f>+IF(E46&gt;D80,E46-D80,0)</f>
        <v>0</v>
      </c>
      <c r="E82" s="296">
        <f>+IF(E46&gt;E80,E46-E80,0)</f>
        <v>0</v>
      </c>
    </row>
    <row r="83" spans="3:5" x14ac:dyDescent="0.25">
      <c r="C83" s="3" t="s">
        <v>95</v>
      </c>
      <c r="D83" s="295">
        <f>D82*D79+E82*E79</f>
        <v>0</v>
      </c>
      <c r="E83" s="296"/>
    </row>
    <row r="84" spans="3:5" x14ac:dyDescent="0.25">
      <c r="C84" s="3" t="s">
        <v>96</v>
      </c>
      <c r="D84" s="297">
        <f ca="1">+D78+D83</f>
        <v>0</v>
      </c>
      <c r="E84" s="298"/>
    </row>
  </sheetData>
  <mergeCells count="5">
    <mergeCell ref="B3:I3"/>
    <mergeCell ref="B4:I4"/>
    <mergeCell ref="C15:F15"/>
    <mergeCell ref="C45:F45"/>
    <mergeCell ref="C71:E71"/>
  </mergeCells>
  <hyperlinks>
    <hyperlink ref="B39" r:id="rId1" location="impot-sur-le-revenu-2019-tranches-2020" display="https://droit-finances.commentcamarche.com/faq/20217-impot-sur-le-revenu-bareme-2020 - impot-sur-le-revenu-2019-tranches-2020" xr:uid="{3AEB1FFB-12F9-4D24-A346-78B65A0AAFA6}"/>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E5353-843A-42E9-A8DD-4C8CD39732FE}">
  <dimension ref="A1"/>
  <sheetViews>
    <sheetView workbookViewId="0">
      <selection activeCell="X62" sqref="X62"/>
    </sheetView>
  </sheetViews>
  <sheetFormatPr baseColWidth="10" defaultRowHeight="12.7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7F0AA-9FBC-4BF3-9294-0BCCFFA1B3BA}">
  <sheetPr>
    <tabColor theme="7"/>
    <pageSetUpPr fitToPage="1"/>
  </sheetPr>
  <dimension ref="C2:AE89"/>
  <sheetViews>
    <sheetView workbookViewId="0">
      <selection activeCell="J14" sqref="J14"/>
    </sheetView>
  </sheetViews>
  <sheetFormatPr baseColWidth="10" defaultColWidth="11.42578125" defaultRowHeight="15" x14ac:dyDescent="0.25"/>
  <cols>
    <col min="1" max="2" width="11.42578125" style="9"/>
    <col min="3" max="3" width="51.28515625" style="9" customWidth="1"/>
    <col min="4" max="5" width="12.42578125" style="9" customWidth="1"/>
    <col min="6" max="8" width="12.7109375" style="9" customWidth="1"/>
    <col min="9" max="9" width="1.7109375" style="9" customWidth="1"/>
    <col min="10" max="11" width="11.42578125" style="9"/>
    <col min="12" max="12" width="11.42578125" style="9" customWidth="1"/>
    <col min="13" max="13" width="33.140625" style="9" customWidth="1"/>
    <col min="14" max="21" width="11.42578125" style="9" customWidth="1"/>
    <col min="22" max="22" width="35.140625" style="9" customWidth="1"/>
    <col min="23" max="29" width="11.42578125" style="9" customWidth="1"/>
    <col min="30" max="16384" width="11.42578125" style="9"/>
  </cols>
  <sheetData>
    <row r="2" spans="3:31" x14ac:dyDescent="0.25">
      <c r="L2" s="435" t="s">
        <v>323</v>
      </c>
      <c r="M2" s="435"/>
      <c r="N2" s="435"/>
      <c r="O2" s="435"/>
      <c r="P2" s="435"/>
      <c r="Q2" s="435"/>
      <c r="R2" s="435"/>
      <c r="S2" s="435"/>
      <c r="U2" s="435" t="s">
        <v>323</v>
      </c>
      <c r="V2" s="435"/>
      <c r="W2" s="435"/>
      <c r="X2" s="435"/>
      <c r="Y2" s="435"/>
      <c r="Z2" s="435"/>
      <c r="AA2" s="435"/>
      <c r="AB2" s="435"/>
    </row>
    <row r="3" spans="3:31" x14ac:dyDescent="0.25">
      <c r="I3" s="11"/>
      <c r="J3" s="11"/>
      <c r="K3" s="11"/>
      <c r="AD3" s="207" t="s">
        <v>202</v>
      </c>
      <c r="AE3" s="119" t="s">
        <v>246</v>
      </c>
    </row>
    <row r="4" spans="3:31" x14ac:dyDescent="0.25">
      <c r="L4" s="436" t="str">
        <f>+IF(AE4=1,"",simulateur!E13)</f>
        <v>CNR</v>
      </c>
      <c r="M4" s="436"/>
      <c r="N4" s="436"/>
      <c r="O4" s="436"/>
      <c r="P4" s="436"/>
      <c r="Q4" s="436"/>
      <c r="R4" s="436"/>
      <c r="S4" s="436"/>
      <c r="U4" s="436" t="str">
        <f>+IF(AE4=1,simulateur!E13,"")</f>
        <v/>
      </c>
      <c r="V4" s="436"/>
      <c r="W4" s="436"/>
      <c r="X4" s="436"/>
      <c r="Y4" s="436"/>
      <c r="Z4" s="436"/>
      <c r="AA4" s="436"/>
      <c r="AB4" s="436"/>
      <c r="AD4" s="208">
        <f>VLOOKUP(simulateur!E11,Profession!B6:C28,2,FALSE)</f>
        <v>4</v>
      </c>
      <c r="AE4" s="119">
        <f>VLOOKUP(simulateur!E11,Profession!B6:E28,4,FALSE)</f>
        <v>3</v>
      </c>
    </row>
    <row r="5" spans="3:31" x14ac:dyDescent="0.25">
      <c r="O5" s="10"/>
    </row>
    <row r="6" spans="3:31" x14ac:dyDescent="0.25">
      <c r="O6" s="10"/>
      <c r="P6" s="10"/>
      <c r="Q6" s="10"/>
    </row>
    <row r="7" spans="3:31" ht="16.5" thickBot="1" x14ac:dyDescent="0.3">
      <c r="M7" s="13" t="s">
        <v>152</v>
      </c>
      <c r="V7" s="13" t="s">
        <v>153</v>
      </c>
      <c r="AD7" s="9" t="s">
        <v>384</v>
      </c>
      <c r="AE7" s="9" t="s">
        <v>427</v>
      </c>
    </row>
    <row r="8" spans="3:31" s="14" customFormat="1" x14ac:dyDescent="0.25">
      <c r="C8" s="38" t="s">
        <v>164</v>
      </c>
      <c r="D8" s="38"/>
      <c r="E8" s="38"/>
      <c r="F8" s="38"/>
      <c r="G8" s="38"/>
      <c r="H8" s="38"/>
      <c r="L8" s="15"/>
      <c r="M8" s="16" t="s">
        <v>154</v>
      </c>
      <c r="N8" s="17"/>
      <c r="O8" s="17"/>
      <c r="P8" s="17"/>
      <c r="Q8" s="17"/>
      <c r="R8" s="17"/>
      <c r="S8" s="18"/>
      <c r="T8" s="9"/>
      <c r="U8" s="15"/>
      <c r="V8" s="16" t="s">
        <v>154</v>
      </c>
      <c r="W8" s="17"/>
      <c r="X8" s="17"/>
      <c r="Y8" s="17"/>
      <c r="Z8" s="17"/>
      <c r="AA8" s="17"/>
      <c r="AB8" s="18"/>
    </row>
    <row r="9" spans="3:31" s="14" customFormat="1" ht="30" x14ac:dyDescent="0.25">
      <c r="C9" s="9"/>
      <c r="D9" s="9"/>
      <c r="E9" s="9"/>
      <c r="F9" s="41" t="s">
        <v>139</v>
      </c>
      <c r="G9" s="41" t="s">
        <v>140</v>
      </c>
      <c r="H9" s="41" t="s">
        <v>141</v>
      </c>
      <c r="I9" s="19"/>
      <c r="L9" s="20"/>
      <c r="M9" s="9" t="s">
        <v>155</v>
      </c>
      <c r="N9" s="21">
        <v>41136</v>
      </c>
      <c r="O9" s="9"/>
      <c r="P9" s="9"/>
      <c r="Q9" s="9"/>
      <c r="R9" s="9"/>
      <c r="S9" s="22"/>
      <c r="T9" s="9"/>
      <c r="U9" s="20"/>
      <c r="V9" s="9" t="s">
        <v>155</v>
      </c>
      <c r="W9" s="23">
        <f>+N9</f>
        <v>41136</v>
      </c>
      <c r="X9" s="9"/>
      <c r="Y9" s="9" t="s">
        <v>156</v>
      </c>
      <c r="Z9" s="21">
        <v>38916</v>
      </c>
      <c r="AA9" s="9"/>
      <c r="AB9" s="22"/>
    </row>
    <row r="10" spans="3:31" ht="15.75" thickBot="1" x14ac:dyDescent="0.3">
      <c r="C10" s="98" t="s">
        <v>395</v>
      </c>
      <c r="D10" s="98"/>
      <c r="E10" s="99"/>
      <c r="F10" s="42">
        <f>G10</f>
        <v>125325</v>
      </c>
      <c r="G10" s="43">
        <f>+remuneration_versee_dirigeant</f>
        <v>125325</v>
      </c>
      <c r="H10" s="42"/>
      <c r="I10" s="24"/>
      <c r="L10" s="25"/>
      <c r="M10" s="26"/>
      <c r="N10" s="26"/>
      <c r="O10" s="26"/>
      <c r="P10" s="26"/>
      <c r="Q10" s="26"/>
      <c r="R10" s="26"/>
      <c r="S10" s="27"/>
      <c r="U10" s="25"/>
      <c r="V10" s="26"/>
      <c r="W10" s="26"/>
      <c r="X10" s="26"/>
      <c r="Y10" s="26"/>
      <c r="Z10" s="26"/>
      <c r="AA10" s="26"/>
      <c r="AB10" s="27"/>
    </row>
    <row r="11" spans="3:31" ht="15.75" thickBot="1" x14ac:dyDescent="0.3">
      <c r="C11" s="9" t="s">
        <v>142</v>
      </c>
      <c r="F11" s="42">
        <f ca="1">+G11</f>
        <v>49882.740886211643</v>
      </c>
      <c r="G11" s="43">
        <f ca="1">IF(EI_IS_cotisations!AE4=1,Y72+simulateur!H27,N72+simulateur!H27)</f>
        <v>49882.740886211635</v>
      </c>
      <c r="H11" s="42">
        <f ca="1">+G11</f>
        <v>49882.740886211635</v>
      </c>
      <c r="I11" s="29"/>
    </row>
    <row r="12" spans="3:31" x14ac:dyDescent="0.25">
      <c r="C12" s="9" t="s">
        <v>143</v>
      </c>
      <c r="F12" s="42"/>
      <c r="G12" s="42"/>
      <c r="H12" s="43">
        <v>0</v>
      </c>
      <c r="I12" s="24"/>
      <c r="L12" s="15"/>
      <c r="M12" s="16" t="s">
        <v>158</v>
      </c>
      <c r="N12" s="17"/>
      <c r="O12" s="17"/>
      <c r="P12" s="17"/>
      <c r="Q12" s="17"/>
      <c r="R12" s="17"/>
      <c r="S12" s="18"/>
      <c r="U12" s="124"/>
      <c r="V12" s="153" t="s">
        <v>158</v>
      </c>
      <c r="W12" s="126"/>
      <c r="X12" s="126"/>
      <c r="Y12" s="126"/>
      <c r="Z12" s="126"/>
      <c r="AA12" s="126"/>
      <c r="AB12" s="127"/>
    </row>
    <row r="13" spans="3:31" x14ac:dyDescent="0.25">
      <c r="C13" s="9" t="s">
        <v>144</v>
      </c>
      <c r="F13" s="42"/>
      <c r="G13" s="42"/>
      <c r="H13" s="42"/>
      <c r="I13" s="24"/>
      <c r="L13" s="20"/>
      <c r="M13" s="9" t="s">
        <v>18</v>
      </c>
      <c r="N13" s="63">
        <v>3.1E-2</v>
      </c>
      <c r="P13" s="434" t="s">
        <v>160</v>
      </c>
      <c r="Q13" s="434"/>
      <c r="R13" s="434"/>
      <c r="S13" s="213" t="s">
        <v>324</v>
      </c>
      <c r="U13" s="32"/>
      <c r="V13" s="9" t="s">
        <v>18</v>
      </c>
      <c r="W13" s="63">
        <v>3.1E-2</v>
      </c>
      <c r="Y13" s="434" t="s">
        <v>160</v>
      </c>
      <c r="Z13" s="434"/>
      <c r="AA13" s="434"/>
      <c r="AB13" s="37"/>
    </row>
    <row r="14" spans="3:31" x14ac:dyDescent="0.25">
      <c r="C14" s="47" t="s">
        <v>145</v>
      </c>
      <c r="F14" s="42"/>
      <c r="G14" s="42"/>
      <c r="H14" s="43">
        <f ca="1">IF(EI_IS_cotisations!AE4=1,-Y62,-P62)</f>
        <v>-4833.1344328372197</v>
      </c>
      <c r="I14" s="24"/>
      <c r="L14" s="20"/>
      <c r="M14" s="9" t="s">
        <v>19</v>
      </c>
      <c r="N14" s="10">
        <f ca="1">IF($AD$4="AC",0,$G$21)</f>
        <v>143045.90852145836</v>
      </c>
      <c r="P14" s="100">
        <v>0</v>
      </c>
      <c r="Q14" s="21">
        <v>0</v>
      </c>
      <c r="R14" s="30">
        <v>0</v>
      </c>
      <c r="S14" s="211">
        <v>1</v>
      </c>
      <c r="U14" s="32"/>
      <c r="V14" s="9" t="s">
        <v>19</v>
      </c>
      <c r="W14" s="10">
        <f ca="1">+G21</f>
        <v>143045.90852145836</v>
      </c>
      <c r="Y14" s="100">
        <v>0</v>
      </c>
      <c r="Z14" s="23">
        <v>0</v>
      </c>
      <c r="AA14" s="149">
        <v>0</v>
      </c>
      <c r="AB14" s="37"/>
    </row>
    <row r="15" spans="3:31" x14ac:dyDescent="0.25">
      <c r="C15" s="47" t="s">
        <v>146</v>
      </c>
      <c r="F15" s="42">
        <f ca="1">G15</f>
        <v>-11332.866945963138</v>
      </c>
      <c r="G15" s="43">
        <f ca="1">IF(EI_IS_cotisations!AE4=1,-Y61,-P61)</f>
        <v>-11332.866945963136</v>
      </c>
      <c r="H15" s="42">
        <f ca="1">G15</f>
        <v>-11332.866945963136</v>
      </c>
      <c r="I15" s="24"/>
      <c r="L15" s="20"/>
      <c r="M15" s="9" t="s">
        <v>161</v>
      </c>
      <c r="N15" s="31">
        <f ca="1">+VLOOKUP(N14,Q14:R16,2,TRUE)</f>
        <v>3.1E-2</v>
      </c>
      <c r="P15" s="101">
        <v>1.1000000000000001</v>
      </c>
      <c r="Q15" s="23">
        <f>+P15*N9</f>
        <v>45249.600000000006</v>
      </c>
      <c r="R15" s="30">
        <f ca="1">+IF(AND(N14&gt;0,N14&gt;=Q15,N14&lt;Q16),MIN((N13/(0.3*N9))*(N14-1.1*N9),N13),0)</f>
        <v>0</v>
      </c>
      <c r="S15" s="211">
        <v>0.75</v>
      </c>
      <c r="U15" s="32"/>
      <c r="V15" s="9" t="s">
        <v>161</v>
      </c>
      <c r="W15" s="130">
        <f ca="1">+VLOOKUP(W14,Z14:AA16,2,TRUE)</f>
        <v>3.1E-2</v>
      </c>
      <c r="Y15" s="101">
        <v>1.1000000000000001</v>
      </c>
      <c r="Z15" s="23">
        <f>+Y15*W9</f>
        <v>45249.600000000006</v>
      </c>
      <c r="AA15" s="149">
        <f ca="1">+IF(AND(W14&gt;0,W14&gt;=Z15,W14&lt;Z16),MIN((W13/(0.3*W9))*(W14-1.1*W9),W13),0)</f>
        <v>0</v>
      </c>
      <c r="AB15" s="37"/>
    </row>
    <row r="16" spans="3:31" x14ac:dyDescent="0.25">
      <c r="C16" s="9" t="s">
        <v>141</v>
      </c>
      <c r="F16" s="42"/>
      <c r="G16" s="42"/>
      <c r="H16" s="42"/>
      <c r="I16" s="24"/>
      <c r="L16" s="32"/>
      <c r="M16" s="33" t="s">
        <v>162</v>
      </c>
      <c r="N16" s="34">
        <f ca="1">+N14*N15</f>
        <v>4434.4231641652095</v>
      </c>
      <c r="P16" s="101">
        <v>1.4</v>
      </c>
      <c r="Q16" s="23">
        <f>+P16*N9</f>
        <v>57590.399999999994</v>
      </c>
      <c r="R16" s="30">
        <f ca="1">+IF(AND(N14&gt;0,N14&gt;=Q16),MIN((N13/(0.3*N9))*(N14-1.1*N9),N13),0)</f>
        <v>3.1E-2</v>
      </c>
      <c r="S16" s="212">
        <v>0.6</v>
      </c>
      <c r="T16" s="33"/>
      <c r="U16" s="32"/>
      <c r="V16" s="9" t="s">
        <v>162</v>
      </c>
      <c r="W16" s="36">
        <f ca="1">+W14*W15</f>
        <v>4434.4231641652095</v>
      </c>
      <c r="Y16" s="101">
        <v>1.4</v>
      </c>
      <c r="Z16" s="23">
        <f>+Y16*W9</f>
        <v>57590.399999999994</v>
      </c>
      <c r="AA16" s="149">
        <f ca="1">+IF(AND(W14&gt;0,W14&gt;=Z16),MIN((W13/(0.3*W9))*(W14-1.1*W9),W13),0)</f>
        <v>3.1E-2</v>
      </c>
      <c r="AB16" s="35"/>
    </row>
    <row r="17" spans="3:31" x14ac:dyDescent="0.25">
      <c r="C17" s="47" t="s">
        <v>11</v>
      </c>
      <c r="F17" s="42">
        <f ca="1">G17</f>
        <v>-23716.739507411272</v>
      </c>
      <c r="G17" s="43">
        <f ca="1">-H21</f>
        <v>-23716.739507411286</v>
      </c>
      <c r="H17" s="42"/>
      <c r="J17" s="10"/>
      <c r="L17" s="32"/>
      <c r="S17" s="37"/>
      <c r="T17" s="33"/>
      <c r="U17" s="32"/>
      <c r="AB17" s="37"/>
    </row>
    <row r="18" spans="3:31" x14ac:dyDescent="0.25">
      <c r="C18" s="47" t="s">
        <v>147</v>
      </c>
      <c r="F18" s="42">
        <f>+H18</f>
        <v>-10000</v>
      </c>
      <c r="G18" s="42"/>
      <c r="H18" s="43">
        <f>-simulateur!H27</f>
        <v>-10000</v>
      </c>
      <c r="L18" s="32"/>
      <c r="M18" s="9" t="s">
        <v>163</v>
      </c>
      <c r="N18" s="34">
        <f ca="1">+IF(N14=0,0,N9*0.25%)</f>
        <v>102.84</v>
      </c>
      <c r="S18" s="37"/>
      <c r="U18" s="32"/>
      <c r="V18" s="9" t="s">
        <v>163</v>
      </c>
      <c r="W18" s="154">
        <f ca="1">+IF(W14=0,0,W9*0.25%)</f>
        <v>102.84</v>
      </c>
      <c r="AB18" s="37"/>
    </row>
    <row r="19" spans="3:31" ht="15" customHeight="1" x14ac:dyDescent="0.25">
      <c r="C19" s="52" t="s">
        <v>148</v>
      </c>
      <c r="F19" s="53">
        <f ca="1">+SUM(F10:F18)</f>
        <v>130158.13443283719</v>
      </c>
      <c r="G19" s="53">
        <f ca="1">IFERROR(SUM(G10:G18),0)</f>
        <v>140158.13443283719</v>
      </c>
      <c r="H19" s="53">
        <f ca="1">+IFERROR(SUM(H10:H18),0)</f>
        <v>23716.739507411279</v>
      </c>
      <c r="L19" s="32"/>
      <c r="P19" s="9" t="s">
        <v>424</v>
      </c>
      <c r="S19" s="37"/>
      <c r="U19" s="32"/>
      <c r="AB19" s="155"/>
    </row>
    <row r="20" spans="3:31" x14ac:dyDescent="0.25">
      <c r="C20" s="9" t="s">
        <v>149</v>
      </c>
      <c r="F20" s="42"/>
      <c r="G20" s="43">
        <f ca="1">+simulateur!H32</f>
        <v>2887.7740886211614</v>
      </c>
      <c r="H20" s="42"/>
      <c r="L20" s="32"/>
      <c r="M20" s="9" t="s">
        <v>23</v>
      </c>
      <c r="N20" s="36">
        <f>IFERROR(VLOOKUP(AE20,EI_IS_retraite_ID!$O$15:$Q$24,3,FALSE),0)</f>
        <v>0</v>
      </c>
      <c r="P20" s="34">
        <f>-IF(AD4=10,VLOOKUP(N14,Q14:S16,3,TRUE)*N16,0)</f>
        <v>0</v>
      </c>
      <c r="S20" s="37"/>
      <c r="U20" s="32"/>
      <c r="AB20" s="37"/>
      <c r="AD20" s="9" t="s">
        <v>23</v>
      </c>
      <c r="AE20" s="9" t="str">
        <f>$AD$4&amp;"_"&amp;AD20</f>
        <v>4_URPS</v>
      </c>
    </row>
    <row r="21" spans="3:31" ht="15" customHeight="1" x14ac:dyDescent="0.25">
      <c r="C21" s="52" t="s">
        <v>150</v>
      </c>
      <c r="F21" s="53">
        <f ca="1">+SUM(F20+F19)</f>
        <v>130158.13443283719</v>
      </c>
      <c r="G21" s="53">
        <f ca="1">+SUM(G20+G19)</f>
        <v>143045.90852145836</v>
      </c>
      <c r="H21" s="53">
        <f ca="1">IFERROR(SUM(H20+H19),0)</f>
        <v>23716.739507411279</v>
      </c>
      <c r="L21" s="32"/>
      <c r="S21" s="37"/>
      <c r="U21" s="32"/>
      <c r="AB21" s="37"/>
    </row>
    <row r="22" spans="3:31" ht="15.75" thickBot="1" x14ac:dyDescent="0.3">
      <c r="F22" s="42"/>
      <c r="G22" s="42"/>
      <c r="H22" s="42"/>
      <c r="L22" s="39"/>
      <c r="M22" s="26"/>
      <c r="N22" s="26"/>
      <c r="O22" s="26"/>
      <c r="P22" s="26"/>
      <c r="Q22" s="26"/>
      <c r="R22" s="26"/>
      <c r="S22" s="40"/>
      <c r="U22" s="50"/>
      <c r="V22" s="131"/>
      <c r="W22" s="131"/>
      <c r="X22" s="131"/>
      <c r="Y22" s="131"/>
      <c r="Z22" s="131"/>
      <c r="AA22" s="131"/>
      <c r="AB22" s="132"/>
    </row>
    <row r="23" spans="3:31" ht="15.75" thickBot="1" x14ac:dyDescent="0.3">
      <c r="C23" s="52" t="s">
        <v>172</v>
      </c>
      <c r="D23" s="55"/>
      <c r="F23" s="56">
        <f ca="1">+F10+F11</f>
        <v>175207.74088621163</v>
      </c>
      <c r="G23" s="57"/>
      <c r="H23" s="58"/>
    </row>
    <row r="24" spans="3:31" x14ac:dyDescent="0.25">
      <c r="C24" s="9" t="s">
        <v>151</v>
      </c>
      <c r="F24" s="59">
        <f ca="1">IFERROR((H12+H11)/G10,0)</f>
        <v>0.39802705674216343</v>
      </c>
      <c r="L24" s="44"/>
      <c r="M24" s="45" t="s">
        <v>165</v>
      </c>
      <c r="N24" s="17"/>
      <c r="O24" s="17"/>
      <c r="P24" s="45" t="s">
        <v>166</v>
      </c>
      <c r="Q24" s="17"/>
      <c r="R24" s="17"/>
      <c r="S24" s="46"/>
      <c r="U24" s="124"/>
      <c r="V24" s="125" t="s">
        <v>165</v>
      </c>
      <c r="W24" s="126" t="s">
        <v>137</v>
      </c>
      <c r="X24" s="126" t="s">
        <v>138</v>
      </c>
      <c r="Y24" s="125" t="s">
        <v>166</v>
      </c>
      <c r="Z24" s="126"/>
      <c r="AA24" s="126"/>
      <c r="AB24" s="127"/>
    </row>
    <row r="25" spans="3:31" x14ac:dyDescent="0.25">
      <c r="G25" s="10"/>
      <c r="H25" s="31"/>
      <c r="L25" s="32"/>
      <c r="M25" s="9" t="s">
        <v>88</v>
      </c>
      <c r="N25" s="63">
        <v>6.5000000000000002E-2</v>
      </c>
      <c r="P25" s="9" t="s">
        <v>166</v>
      </c>
      <c r="Q25" s="63">
        <v>3.0000000000000001E-3</v>
      </c>
      <c r="R25" s="36">
        <f ca="1">IF(AD4=2,0,ROUND(MIN(N27,3*N9)*Q25,0))</f>
        <v>370</v>
      </c>
      <c r="S25" s="37"/>
      <c r="U25" s="32"/>
      <c r="V25" s="9" t="s">
        <v>88</v>
      </c>
      <c r="W25" s="133">
        <v>7.1999999999999995E-2</v>
      </c>
      <c r="Y25" s="9" t="s">
        <v>166</v>
      </c>
      <c r="Z25" s="146">
        <v>8.5000000000000006E-3</v>
      </c>
      <c r="AA25" s="36">
        <f ca="1">ROUND(MIN(W29,5*W9)*Z25,0)</f>
        <v>1216</v>
      </c>
      <c r="AB25" s="37"/>
    </row>
    <row r="26" spans="3:31" x14ac:dyDescent="0.25">
      <c r="L26" s="32"/>
      <c r="M26" s="9" t="s">
        <v>93</v>
      </c>
      <c r="N26" s="63">
        <v>1.4999999999999999E-2</v>
      </c>
      <c r="S26" s="37"/>
      <c r="U26" s="32"/>
      <c r="V26" s="9" t="s">
        <v>93</v>
      </c>
      <c r="W26" s="133">
        <v>2.1999999999999999E-2</v>
      </c>
      <c r="X26" s="146">
        <v>4.9999999999999996E-2</v>
      </c>
      <c r="AB26" s="37"/>
    </row>
    <row r="27" spans="3:31" x14ac:dyDescent="0.25">
      <c r="L27" s="32"/>
      <c r="M27" s="9" t="s">
        <v>19</v>
      </c>
      <c r="N27" s="10">
        <f ca="1">IF($AD$4="AC",0,$G$21)</f>
        <v>143045.90852145836</v>
      </c>
      <c r="P27" s="147" t="s">
        <v>168</v>
      </c>
      <c r="Q27" s="97"/>
      <c r="R27" s="97"/>
      <c r="S27" s="213" t="s">
        <v>325</v>
      </c>
      <c r="U27" s="32"/>
      <c r="V27" s="9" t="s">
        <v>167</v>
      </c>
      <c r="W27" s="133">
        <v>8.5000000000000006E-3</v>
      </c>
      <c r="X27" s="146">
        <v>1.3499999999999998E-2</v>
      </c>
      <c r="Y27" s="147" t="s">
        <v>168</v>
      </c>
      <c r="Z27" s="147"/>
      <c r="AA27" s="147"/>
      <c r="AB27" s="37"/>
    </row>
    <row r="28" spans="3:31" x14ac:dyDescent="0.25">
      <c r="F28" s="10"/>
      <c r="G28" s="10"/>
      <c r="H28" s="10"/>
      <c r="I28" s="10"/>
      <c r="J28" s="10"/>
      <c r="K28" s="10"/>
      <c r="L28" s="32"/>
      <c r="M28" s="9" t="s">
        <v>161</v>
      </c>
      <c r="N28" s="31">
        <f ca="1">+VLOOKUP(N27,Q28:R29,2,TRUE)</f>
        <v>6.5000000000000002E-2</v>
      </c>
      <c r="P28" s="100">
        <v>0</v>
      </c>
      <c r="Q28" s="21">
        <v>0</v>
      </c>
      <c r="R28" s="30">
        <f ca="1">+IF(AND(N27&gt;0,N27&lt;Q29),((N25-N26)/(1.1*N9))*N27+N26,0)</f>
        <v>0</v>
      </c>
      <c r="S28" s="214">
        <v>0</v>
      </c>
      <c r="U28" s="32"/>
      <c r="V28" s="9" t="s">
        <v>169</v>
      </c>
      <c r="W28" s="133">
        <v>6.5000000000000002E-2</v>
      </c>
      <c r="Y28" s="133">
        <v>0</v>
      </c>
      <c r="Z28" s="9">
        <v>0</v>
      </c>
      <c r="AA28" s="130">
        <f ca="1">IF(AND(W29&gt;0,W29&lt;Z29),((W25-W26)/(1.1*W9))*W29+((W26-W27)/(0.4*W9)*W29)+W27,0)</f>
        <v>0</v>
      </c>
      <c r="AB28" s="37"/>
    </row>
    <row r="29" spans="3:31" x14ac:dyDescent="0.25">
      <c r="F29" s="49"/>
      <c r="G29" s="10"/>
      <c r="H29" s="10"/>
      <c r="I29" s="10"/>
      <c r="J29" s="10"/>
      <c r="K29" s="10"/>
      <c r="L29" s="32"/>
      <c r="M29" s="9" t="s">
        <v>170</v>
      </c>
      <c r="N29" s="36">
        <f ca="1">IF(N31&gt;0,0,N27*N28)</f>
        <v>9297.9840538947938</v>
      </c>
      <c r="P29" s="101">
        <v>1.1000000000000001</v>
      </c>
      <c r="Q29" s="21">
        <f>N9*P29</f>
        <v>45249.600000000006</v>
      </c>
      <c r="R29" s="48">
        <f>+N25</f>
        <v>6.5000000000000002E-2</v>
      </c>
      <c r="S29" s="215">
        <v>6.4000000000000001E-2</v>
      </c>
      <c r="U29" s="32"/>
      <c r="V29" s="9" t="s">
        <v>19</v>
      </c>
      <c r="W29" s="148">
        <f ca="1">MIN(G21,5*W9)</f>
        <v>143045.90852145836</v>
      </c>
      <c r="X29" s="49">
        <f ca="1">+MAX(0,G21-5*W9)</f>
        <v>0</v>
      </c>
      <c r="Y29" s="133">
        <v>0.4</v>
      </c>
      <c r="Z29" s="23">
        <f>+Y29*W9</f>
        <v>16454.400000000001</v>
      </c>
      <c r="AA29" s="149">
        <f ca="1">IF(AND(W29&gt;=Z29,W29&lt;Z30),((W25-W26)/(1.1*W9))*W29+W26,0)</f>
        <v>0</v>
      </c>
      <c r="AB29" s="37"/>
    </row>
    <row r="30" spans="3:31" x14ac:dyDescent="0.25">
      <c r="C30" s="302" t="s">
        <v>396</v>
      </c>
      <c r="F30" s="49"/>
      <c r="G30" s="10"/>
      <c r="H30" s="10"/>
      <c r="I30" s="10"/>
      <c r="J30" s="10"/>
      <c r="K30" s="10"/>
      <c r="L30" s="32"/>
      <c r="S30" s="37"/>
      <c r="U30" s="32"/>
      <c r="V30" s="9" t="s">
        <v>161</v>
      </c>
      <c r="W30" s="130">
        <f ca="1">+VLOOKUP(W29,Z28:AA30,2,TRUE)</f>
        <v>6.3500000000000001E-2</v>
      </c>
      <c r="X30" s="130">
        <f ca="1">+IF(G21&gt;Y31,W28,0)</f>
        <v>0</v>
      </c>
      <c r="Y30" s="133">
        <v>1.1000000000000001</v>
      </c>
      <c r="Z30" s="23">
        <f>+Y30*W9</f>
        <v>45249.600000000006</v>
      </c>
      <c r="AA30" s="48">
        <f ca="1">IF(W29&gt;=Z30,X26+X27,0)</f>
        <v>6.3500000000000001E-2</v>
      </c>
      <c r="AB30" s="37"/>
    </row>
    <row r="31" spans="3:31" x14ac:dyDescent="0.25">
      <c r="C31" s="9" t="s">
        <v>410</v>
      </c>
      <c r="F31" s="49"/>
      <c r="G31" s="10"/>
      <c r="H31" s="10"/>
      <c r="I31" s="10"/>
      <c r="J31" s="10"/>
      <c r="K31" s="10"/>
      <c r="L31" s="32"/>
      <c r="M31" s="9" t="s">
        <v>425</v>
      </c>
      <c r="N31" s="36">
        <f>IF(AND(AD4=12,simulateur!H17&gt;0),simulateur!H17,0)</f>
        <v>0</v>
      </c>
      <c r="P31" s="9" t="s">
        <v>424</v>
      </c>
      <c r="S31" s="37"/>
      <c r="U31" s="32"/>
      <c r="V31" s="9" t="s">
        <v>170</v>
      </c>
      <c r="W31" s="151">
        <f ca="1">+W29*W30</f>
        <v>9083.4151911126064</v>
      </c>
      <c r="X31" s="151">
        <f ca="1">+X29*X30</f>
        <v>0</v>
      </c>
      <c r="Y31" s="10">
        <f>5*N9</f>
        <v>205680</v>
      </c>
      <c r="Z31" s="10">
        <f>+Y31</f>
        <v>205680</v>
      </c>
      <c r="AA31" s="150">
        <f ca="1">+IF(W29&gt;=Z31,W25,0)</f>
        <v>0</v>
      </c>
      <c r="AB31" s="37"/>
    </row>
    <row r="32" spans="3:31" ht="15.75" thickBot="1" x14ac:dyDescent="0.3">
      <c r="C32" s="9" t="s">
        <v>398</v>
      </c>
      <c r="D32" s="10">
        <f ca="1">+G21</f>
        <v>143045.90852145836</v>
      </c>
      <c r="F32" s="10"/>
      <c r="G32" s="10"/>
      <c r="H32" s="10"/>
      <c r="L32" s="50"/>
      <c r="M32" s="26"/>
      <c r="N32" s="26"/>
      <c r="O32" s="26"/>
      <c r="P32" s="216">
        <f>IF(N31&gt;0,0,-IF(OR(AD4=10,AD4=12,AD4=14,AD4=15),N27*S29,0))</f>
        <v>0</v>
      </c>
      <c r="Q32" s="26"/>
      <c r="R32" s="26"/>
      <c r="S32" s="51"/>
      <c r="U32" s="50"/>
      <c r="V32" s="131"/>
      <c r="W32" s="152">
        <f ca="1">+W31+X31</f>
        <v>9083.4151911126064</v>
      </c>
      <c r="X32" s="131"/>
      <c r="Y32" s="131"/>
      <c r="Z32" s="131"/>
      <c r="AA32" s="131"/>
      <c r="AB32" s="132"/>
    </row>
    <row r="33" spans="3:31" ht="15.75" thickBot="1" x14ac:dyDescent="0.3">
      <c r="C33" s="9" t="s">
        <v>399</v>
      </c>
      <c r="D33" s="10">
        <f ca="1">+H21</f>
        <v>23716.739507411279</v>
      </c>
      <c r="F33" s="10"/>
      <c r="G33" s="10"/>
      <c r="H33" s="10"/>
    </row>
    <row r="34" spans="3:31" x14ac:dyDescent="0.25">
      <c r="C34" s="9" t="s">
        <v>400</v>
      </c>
      <c r="D34" s="10">
        <f>-H18</f>
        <v>10000</v>
      </c>
      <c r="L34" s="124"/>
      <c r="M34" s="125" t="s">
        <v>218</v>
      </c>
      <c r="N34" s="126"/>
      <c r="O34" s="126"/>
      <c r="P34" s="126"/>
      <c r="Q34" s="126"/>
      <c r="R34" s="126"/>
      <c r="S34" s="127"/>
      <c r="U34" s="135"/>
      <c r="V34" s="136" t="s">
        <v>218</v>
      </c>
      <c r="W34" s="137"/>
      <c r="X34" s="137"/>
      <c r="Y34" s="137"/>
      <c r="Z34" s="137"/>
      <c r="AA34" s="137"/>
      <c r="AB34" s="138"/>
    </row>
    <row r="35" spans="3:31" x14ac:dyDescent="0.25">
      <c r="C35" s="9" t="s">
        <v>426</v>
      </c>
      <c r="D35" s="10">
        <f>+G10-H12</f>
        <v>125325</v>
      </c>
      <c r="L35" s="32"/>
      <c r="N35" s="49"/>
      <c r="S35" s="37"/>
      <c r="U35" s="139"/>
      <c r="W35" s="49"/>
      <c r="AB35" s="140"/>
    </row>
    <row r="36" spans="3:31" x14ac:dyDescent="0.25">
      <c r="L36" s="32"/>
      <c r="M36" s="54" t="s">
        <v>171</v>
      </c>
      <c r="S36" s="37"/>
      <c r="U36" s="139"/>
      <c r="V36" s="54" t="s">
        <v>171</v>
      </c>
      <c r="Z36" s="10"/>
      <c r="AA36" s="10"/>
      <c r="AB36" s="140"/>
    </row>
    <row r="37" spans="3:31" x14ac:dyDescent="0.25">
      <c r="L37" s="32"/>
      <c r="M37" s="9" t="s">
        <v>173</v>
      </c>
      <c r="N37" s="128">
        <f>IF(AD4=2,0,8.23%)</f>
        <v>8.2299999999999998E-2</v>
      </c>
      <c r="O37" s="10">
        <f ca="1">+MIN(N39,N9)</f>
        <v>41136</v>
      </c>
      <c r="P37" s="10">
        <f ca="1">+O37*N37</f>
        <v>3385.4928</v>
      </c>
      <c r="S37" s="37"/>
      <c r="U37" s="139"/>
      <c r="V37" s="9" t="s">
        <v>173</v>
      </c>
      <c r="W37" s="133">
        <v>0.17749999999999999</v>
      </c>
      <c r="X37" s="10">
        <f ca="1">+MIN(W39,W9)</f>
        <v>41136</v>
      </c>
      <c r="Y37" s="10">
        <f ca="1">+W37*X37</f>
        <v>7301.6399999999994</v>
      </c>
      <c r="Z37" s="10"/>
      <c r="AA37" s="10"/>
      <c r="AB37" s="140"/>
    </row>
    <row r="38" spans="3:31" x14ac:dyDescent="0.25">
      <c r="L38" s="32"/>
      <c r="M38" s="9" t="s">
        <v>174</v>
      </c>
      <c r="N38" s="128">
        <f>IF(AD4=2,0,1.87%)</f>
        <v>1.8700000000000001E-2</v>
      </c>
      <c r="O38" s="10">
        <f ca="1">+MIN(N39,5*N9)</f>
        <v>143045.90852145836</v>
      </c>
      <c r="P38" s="10">
        <f ca="1">+O38*N38</f>
        <v>2674.9584893512715</v>
      </c>
      <c r="S38" s="37"/>
      <c r="U38" s="139"/>
      <c r="V38" s="9" t="s">
        <v>174</v>
      </c>
      <c r="W38" s="133">
        <v>6.0000000000000001E-3</v>
      </c>
      <c r="X38" s="10">
        <f ca="1">+MAX(0,W39-X37)</f>
        <v>101909.90852145836</v>
      </c>
      <c r="Y38" s="10">
        <f ca="1">+W38*X38</f>
        <v>611.45945112875017</v>
      </c>
      <c r="Z38" s="10"/>
      <c r="AA38" s="10"/>
      <c r="AB38" s="140"/>
    </row>
    <row r="39" spans="3:31" x14ac:dyDescent="0.25">
      <c r="H39" s="10"/>
      <c r="L39" s="32"/>
      <c r="M39" s="9" t="s">
        <v>19</v>
      </c>
      <c r="N39" s="10">
        <f ca="1">IF($AD$4="AC",0,$G$21)</f>
        <v>143045.90852145836</v>
      </c>
      <c r="O39" s="129"/>
      <c r="P39" s="130"/>
      <c r="S39" s="37"/>
      <c r="U39" s="139"/>
      <c r="V39" s="9" t="s">
        <v>19</v>
      </c>
      <c r="W39" s="10">
        <f ca="1">+G21</f>
        <v>143045.90852145836</v>
      </c>
      <c r="X39" s="129"/>
      <c r="Y39" s="130"/>
      <c r="Z39" s="10"/>
      <c r="AA39" s="10"/>
      <c r="AB39" s="140"/>
    </row>
    <row r="40" spans="3:31" x14ac:dyDescent="0.25">
      <c r="L40" s="32"/>
      <c r="M40" s="9" t="s">
        <v>175</v>
      </c>
      <c r="N40" s="36"/>
      <c r="S40" s="37"/>
      <c r="U40" s="139"/>
      <c r="V40" s="9" t="s">
        <v>175</v>
      </c>
      <c r="Y40" s="36">
        <f ca="1">+Y37+Y38</f>
        <v>7913.0994511287499</v>
      </c>
      <c r="Z40" s="130">
        <f ca="1">+IFERROR(Y40/W39,0)</f>
        <v>5.5318600391437996E-2</v>
      </c>
      <c r="AA40" s="10"/>
      <c r="AB40" s="140"/>
    </row>
    <row r="41" spans="3:31" x14ac:dyDescent="0.25">
      <c r="I41" s="61"/>
      <c r="L41" s="32"/>
      <c r="S41" s="37"/>
      <c r="U41" s="141"/>
      <c r="Z41" s="10"/>
      <c r="AA41" s="10"/>
      <c r="AB41" s="140"/>
    </row>
    <row r="42" spans="3:31" x14ac:dyDescent="0.25">
      <c r="L42" s="32"/>
      <c r="M42" s="9" t="s">
        <v>236</v>
      </c>
      <c r="P42" s="10">
        <f>IF($AD$4=2,VLOOKUP(AE42,EI_IS_retraite_ID!$O$15:$Q$24,3,FALSE),0)</f>
        <v>0</v>
      </c>
      <c r="S42" s="37"/>
      <c r="U42" s="141"/>
      <c r="Z42" s="10"/>
      <c r="AA42" s="10"/>
      <c r="AB42" s="140"/>
      <c r="AD42" s="9" t="s">
        <v>385</v>
      </c>
      <c r="AE42" s="9" t="str">
        <f>$AD$4&amp;"_"&amp;AD42</f>
        <v>4_RB1</v>
      </c>
    </row>
    <row r="43" spans="3:31" x14ac:dyDescent="0.25">
      <c r="L43" s="32"/>
      <c r="M43" s="9" t="s">
        <v>235</v>
      </c>
      <c r="P43" s="10">
        <f>IF($AD$4=2,VLOOKUP(AE43,EI_IS_retraite_ID!$O$15:$Q$24,3,FALSE),0)</f>
        <v>0</v>
      </c>
      <c r="S43" s="37"/>
      <c r="U43" s="141"/>
      <c r="Z43" s="130"/>
      <c r="AA43" s="10"/>
      <c r="AB43" s="140"/>
      <c r="AD43" s="9" t="s">
        <v>386</v>
      </c>
      <c r="AE43" s="9" t="str">
        <f>$AD$4&amp;"_"&amp;AD43</f>
        <v>4_RB2</v>
      </c>
    </row>
    <row r="44" spans="3:31" x14ac:dyDescent="0.25">
      <c r="J44" s="62"/>
      <c r="L44" s="32"/>
      <c r="P44" s="36">
        <f ca="1">+P37+P38+P42+P43</f>
        <v>6060.451289351271</v>
      </c>
      <c r="S44" s="37"/>
      <c r="U44" s="141"/>
      <c r="Z44" s="130"/>
      <c r="AA44" s="10"/>
      <c r="AB44" s="140"/>
    </row>
    <row r="45" spans="3:31" x14ac:dyDescent="0.25">
      <c r="L45" s="60"/>
      <c r="S45" s="37"/>
      <c r="U45" s="141"/>
      <c r="Z45" s="130"/>
      <c r="AA45" s="10"/>
      <c r="AB45" s="140"/>
    </row>
    <row r="46" spans="3:31" x14ac:dyDescent="0.25">
      <c r="L46" s="32"/>
      <c r="M46" s="54" t="s">
        <v>176</v>
      </c>
      <c r="P46" s="36">
        <f>SUM(P47:P53)</f>
        <v>2420.0410000000002</v>
      </c>
      <c r="R46" s="10"/>
      <c r="S46" s="37"/>
      <c r="U46" s="141"/>
      <c r="V46" s="54" t="s">
        <v>176</v>
      </c>
      <c r="Y46" s="36">
        <f>IFERROR(VLOOKUP(AE46,EI_IS_retraite_ID!$O$15:$Q$24,3,FALSE),0)</f>
        <v>2420</v>
      </c>
      <c r="Z46" s="10"/>
      <c r="AA46" s="10"/>
      <c r="AB46" s="140"/>
      <c r="AD46" s="9" t="s">
        <v>229</v>
      </c>
      <c r="AE46" s="9" t="str">
        <f t="shared" ref="AE46:AE52" si="0">$AD$4&amp;"_"&amp;AD46</f>
        <v>4_RC2</v>
      </c>
    </row>
    <row r="47" spans="3:31" x14ac:dyDescent="0.25">
      <c r="L47" s="32"/>
      <c r="M47" s="9" t="s">
        <v>223</v>
      </c>
      <c r="P47" s="10">
        <f>IF($AD$4="AC",0,VLOOKUP(AE47,EI_IS_retraite_ID!$O$15:$Q$24,3,FALSE))</f>
        <v>4.1000000000000002E-2</v>
      </c>
      <c r="S47" s="37"/>
      <c r="U47" s="139"/>
      <c r="X47" s="10"/>
      <c r="Z47" s="10"/>
      <c r="AA47" s="10"/>
      <c r="AB47" s="140"/>
      <c r="AD47" s="9" t="s">
        <v>228</v>
      </c>
      <c r="AE47" s="9" t="str">
        <f t="shared" si="0"/>
        <v>4_RC1</v>
      </c>
    </row>
    <row r="48" spans="3:31" x14ac:dyDescent="0.25">
      <c r="L48" s="32"/>
      <c r="M48" s="9" t="s">
        <v>224</v>
      </c>
      <c r="P48" s="10">
        <f>IF($AD$4="AC",0,VLOOKUP(AE48,EI_IS_retraite_ID!$O$15:$Q$24,3,FALSE))</f>
        <v>2420</v>
      </c>
      <c r="S48" s="37"/>
      <c r="U48" s="139"/>
      <c r="AB48" s="140"/>
      <c r="AD48" s="9" t="s">
        <v>229</v>
      </c>
      <c r="AE48" s="9" t="str">
        <f t="shared" si="0"/>
        <v>4_RC2</v>
      </c>
    </row>
    <row r="49" spans="9:31" x14ac:dyDescent="0.25">
      <c r="I49" s="10"/>
      <c r="L49" s="32"/>
      <c r="M49" s="9" t="s">
        <v>225</v>
      </c>
      <c r="P49" s="10">
        <f>IF($AD$4="AC",0,VLOOKUP(AE49,EI_IS_retraite_ID!$O$15:$Q$24,3,FALSE))</f>
        <v>0</v>
      </c>
      <c r="S49" s="37"/>
      <c r="U49" s="139"/>
      <c r="AB49" s="140"/>
      <c r="AD49" s="9" t="s">
        <v>230</v>
      </c>
      <c r="AE49" s="9" t="str">
        <f t="shared" si="0"/>
        <v>4_RC3</v>
      </c>
    </row>
    <row r="50" spans="9:31" x14ac:dyDescent="0.25">
      <c r="I50" s="10"/>
      <c r="L50" s="32"/>
      <c r="M50" s="9" t="s">
        <v>226</v>
      </c>
      <c r="P50" s="10">
        <f>IF($AD$4="AC",0,VLOOKUP(AE50,EI_IS_retraite_ID!$O$15:$Q$24,3,FALSE))</f>
        <v>0</v>
      </c>
      <c r="S50" s="37"/>
      <c r="U50" s="139"/>
      <c r="V50" s="54"/>
      <c r="W50" s="36"/>
      <c r="AB50" s="140"/>
      <c r="AD50" s="9" t="s">
        <v>231</v>
      </c>
      <c r="AE50" s="9" t="str">
        <f t="shared" si="0"/>
        <v>4_RC4</v>
      </c>
    </row>
    <row r="51" spans="9:31" x14ac:dyDescent="0.25">
      <c r="I51" s="10"/>
      <c r="L51" s="32"/>
      <c r="M51" s="9" t="s">
        <v>227</v>
      </c>
      <c r="P51" s="10">
        <f>IF($AD$4="AC",0,VLOOKUP(AE51,EI_IS_retraite_ID!$O$15:$Q$24,3,FALSE))</f>
        <v>0</v>
      </c>
      <c r="S51" s="37"/>
      <c r="U51" s="139"/>
      <c r="W51" s="36"/>
      <c r="X51" s="134"/>
      <c r="Y51" s="64"/>
      <c r="AA51" s="134"/>
      <c r="AB51" s="142"/>
      <c r="AD51" s="9" t="s">
        <v>232</v>
      </c>
      <c r="AE51" s="9" t="str">
        <f t="shared" si="0"/>
        <v>4_RC5</v>
      </c>
    </row>
    <row r="52" spans="9:31" x14ac:dyDescent="0.25">
      <c r="I52" s="10"/>
      <c r="L52" s="32"/>
      <c r="M52" s="9" t="s">
        <v>55</v>
      </c>
      <c r="P52" s="10">
        <f>IF($AD$4="AC",0,VLOOKUP(AE52,EI_IS_retraite_ID!$O$15:$Q$24,3,FALSE))</f>
        <v>0</v>
      </c>
      <c r="S52" s="37"/>
      <c r="U52" s="139"/>
      <c r="AB52" s="140"/>
      <c r="AD52" s="9" t="s">
        <v>233</v>
      </c>
      <c r="AE52" s="9" t="str">
        <f t="shared" si="0"/>
        <v>4_RC6</v>
      </c>
    </row>
    <row r="53" spans="9:31" x14ac:dyDescent="0.25">
      <c r="I53" s="10"/>
      <c r="L53" s="32"/>
      <c r="S53" s="37"/>
      <c r="U53" s="139"/>
      <c r="AB53" s="140"/>
    </row>
    <row r="54" spans="9:31" x14ac:dyDescent="0.25">
      <c r="I54" s="10"/>
      <c r="L54" s="32"/>
      <c r="S54" s="37"/>
      <c r="U54" s="139"/>
      <c r="AB54" s="140"/>
    </row>
    <row r="55" spans="9:31" x14ac:dyDescent="0.25">
      <c r="I55" s="10"/>
      <c r="L55" s="32"/>
      <c r="M55" s="54" t="s">
        <v>177</v>
      </c>
      <c r="P55" s="36">
        <f>IF($AD$4="AC",0,VLOOKUP(AE55,EI_IS_retraite_ID!$O$15:$Q$24,3,FALSE))</f>
        <v>1031</v>
      </c>
      <c r="S55" s="37"/>
      <c r="T55" s="33"/>
      <c r="U55" s="139"/>
      <c r="V55" s="54" t="s">
        <v>177</v>
      </c>
      <c r="Y55" s="36">
        <f>IFERROR(VLOOKUP(AE55,EI_IS_retraite_ID!$O$15:$Q$24,3,FALSE),0)</f>
        <v>1031</v>
      </c>
      <c r="AB55" s="140"/>
      <c r="AD55" s="9" t="s">
        <v>234</v>
      </c>
      <c r="AE55" s="9" t="str">
        <f>$AD$4&amp;"_"&amp;AD55</f>
        <v>4_ID</v>
      </c>
    </row>
    <row r="56" spans="9:31" ht="15.75" thickBot="1" x14ac:dyDescent="0.3">
      <c r="I56" s="10"/>
      <c r="L56" s="50"/>
      <c r="M56" s="131"/>
      <c r="N56" s="131"/>
      <c r="O56" s="131"/>
      <c r="P56" s="131"/>
      <c r="Q56" s="131"/>
      <c r="R56" s="131"/>
      <c r="S56" s="132"/>
      <c r="T56" s="33"/>
      <c r="U56" s="143"/>
      <c r="V56" s="144"/>
      <c r="W56" s="144"/>
      <c r="X56" s="144"/>
      <c r="Y56" s="144"/>
      <c r="Z56" s="144"/>
      <c r="AA56" s="144"/>
      <c r="AB56" s="145"/>
    </row>
    <row r="57" spans="9:31" x14ac:dyDescent="0.25">
      <c r="I57" s="10"/>
    </row>
    <row r="58" spans="9:31" ht="15.75" thickBot="1" x14ac:dyDescent="0.3">
      <c r="M58" s="54"/>
      <c r="N58" s="64"/>
    </row>
    <row r="59" spans="9:31" x14ac:dyDescent="0.25">
      <c r="L59" s="15"/>
      <c r="M59" s="16" t="s">
        <v>10</v>
      </c>
      <c r="N59" s="17"/>
      <c r="O59" s="17"/>
      <c r="P59" s="17"/>
      <c r="Q59" s="17"/>
      <c r="R59" s="17"/>
      <c r="S59" s="18"/>
      <c r="U59" s="15"/>
      <c r="V59" s="16" t="s">
        <v>10</v>
      </c>
      <c r="W59" s="17"/>
      <c r="X59" s="17"/>
      <c r="Y59" s="17"/>
      <c r="Z59" s="17"/>
      <c r="AA59" s="17"/>
      <c r="AB59" s="18"/>
    </row>
    <row r="60" spans="9:31" x14ac:dyDescent="0.25">
      <c r="L60" s="20"/>
      <c r="N60" s="24" t="s">
        <v>19</v>
      </c>
      <c r="O60" s="24" t="s">
        <v>18</v>
      </c>
      <c r="P60" s="24" t="s">
        <v>178</v>
      </c>
      <c r="S60" s="22"/>
      <c r="U60" s="20"/>
      <c r="W60" s="24" t="s">
        <v>19</v>
      </c>
      <c r="X60" s="24" t="s">
        <v>18</v>
      </c>
      <c r="Y60" s="24" t="s">
        <v>178</v>
      </c>
      <c r="AB60" s="22"/>
    </row>
    <row r="61" spans="9:31" x14ac:dyDescent="0.25">
      <c r="L61" s="20"/>
      <c r="M61" s="9" t="s">
        <v>179</v>
      </c>
      <c r="N61" s="66">
        <f ca="1">IFERROR(N27+N70,0)</f>
        <v>166659.80802886965</v>
      </c>
      <c r="O61" s="63">
        <v>6.8000000000000005E-2</v>
      </c>
      <c r="P61" s="66">
        <f ca="1">+O61*N61</f>
        <v>11332.866945963136</v>
      </c>
      <c r="S61" s="22"/>
      <c r="U61" s="20"/>
      <c r="V61" s="9" t="s">
        <v>179</v>
      </c>
      <c r="W61" s="66">
        <f ca="1">IFERROR(W14+Y70,0)</f>
        <v>169143.84632786491</v>
      </c>
      <c r="X61" s="63">
        <v>6.8000000000000005E-2</v>
      </c>
      <c r="Y61" s="66">
        <f ca="1">+X61*W61</f>
        <v>11501.781550294814</v>
      </c>
      <c r="AB61" s="22"/>
    </row>
    <row r="62" spans="9:31" x14ac:dyDescent="0.25">
      <c r="L62" s="20"/>
      <c r="M62" s="9" t="s">
        <v>180</v>
      </c>
      <c r="N62" s="66">
        <f ca="1">+N61</f>
        <v>166659.80802886965</v>
      </c>
      <c r="O62" s="63">
        <v>2.9000000000000001E-2</v>
      </c>
      <c r="P62" s="66">
        <f ca="1">+O62*N62</f>
        <v>4833.1344328372197</v>
      </c>
      <c r="S62" s="22"/>
      <c r="U62" s="20"/>
      <c r="V62" s="9" t="s">
        <v>180</v>
      </c>
      <c r="W62" s="66">
        <f ca="1">+W61</f>
        <v>169143.84632786491</v>
      </c>
      <c r="X62" s="63">
        <v>2.9000000000000001E-2</v>
      </c>
      <c r="Y62" s="66">
        <f ca="1">+X62*W62</f>
        <v>4905.1715435080823</v>
      </c>
      <c r="AB62" s="22"/>
    </row>
    <row r="63" spans="9:31" x14ac:dyDescent="0.25">
      <c r="I63" s="10"/>
      <c r="L63" s="32"/>
      <c r="S63" s="35"/>
      <c r="U63" s="32"/>
      <c r="AB63" s="35"/>
    </row>
    <row r="64" spans="9:31" x14ac:dyDescent="0.25">
      <c r="L64" s="32"/>
      <c r="P64" s="36">
        <f ca="1">+SUM(P61:P62)</f>
        <v>16166.001378800356</v>
      </c>
      <c r="S64" s="37"/>
      <c r="T64" s="10"/>
      <c r="U64" s="32"/>
      <c r="Y64" s="36">
        <f ca="1">+SUM(Y61:Y62)</f>
        <v>16406.953093802898</v>
      </c>
      <c r="AB64" s="37"/>
    </row>
    <row r="65" spans="9:28" x14ac:dyDescent="0.25">
      <c r="I65" s="10"/>
      <c r="L65" s="32"/>
      <c r="N65" s="10"/>
      <c r="S65" s="37"/>
      <c r="U65" s="32"/>
      <c r="AB65" s="37"/>
    </row>
    <row r="66" spans="9:28" ht="15.75" thickBot="1" x14ac:dyDescent="0.3">
      <c r="L66" s="39"/>
      <c r="M66" s="26"/>
      <c r="N66" s="26"/>
      <c r="O66" s="26"/>
      <c r="P66" s="26"/>
      <c r="Q66" s="26"/>
      <c r="R66" s="26"/>
      <c r="S66" s="40"/>
      <c r="U66" s="39"/>
      <c r="V66" s="26"/>
      <c r="W66" s="26"/>
      <c r="X66" s="26"/>
      <c r="Y66" s="26"/>
      <c r="Z66" s="26"/>
      <c r="AA66" s="26"/>
      <c r="AB66" s="40"/>
    </row>
    <row r="68" spans="9:28" x14ac:dyDescent="0.25">
      <c r="I68" s="10"/>
      <c r="O68" s="10"/>
    </row>
    <row r="70" spans="9:28" x14ac:dyDescent="0.25">
      <c r="I70" s="10"/>
      <c r="L70" s="9" t="s">
        <v>326</v>
      </c>
      <c r="N70" s="10">
        <f ca="1">+N29+N16+P44+P46+P55+R25+P20+P32+N31</f>
        <v>23613.899507411275</v>
      </c>
      <c r="O70" s="10"/>
      <c r="P70" s="10"/>
      <c r="V70" s="9" t="s">
        <v>326</v>
      </c>
      <c r="Y70" s="10">
        <f ca="1">+W16+W32+Y40+Y46+Y55+AA25</f>
        <v>26097.937806406568</v>
      </c>
    </row>
    <row r="71" spans="9:28" x14ac:dyDescent="0.25">
      <c r="L71" s="9" t="s">
        <v>182</v>
      </c>
      <c r="N71" s="10">
        <f ca="1">+N16+N18+N29+P44+P46+P55+R25+N20+P20+P32+N31</f>
        <v>23716.739507411276</v>
      </c>
      <c r="O71" s="10"/>
      <c r="P71" s="65"/>
      <c r="Q71" s="65"/>
      <c r="V71" s="9" t="s">
        <v>183</v>
      </c>
      <c r="Y71" s="10">
        <f ca="1">+W16+W18+W32+Y40+Y46+Y55+AA25</f>
        <v>26200.777806406564</v>
      </c>
    </row>
    <row r="72" spans="9:28" x14ac:dyDescent="0.25">
      <c r="L72" s="9" t="s">
        <v>184</v>
      </c>
      <c r="N72" s="10">
        <f ca="1">+N16+N18+N29+P44+P46+P55+P64+R25+N20+P20+P32+N31</f>
        <v>39882.740886211628</v>
      </c>
      <c r="P72" s="65"/>
      <c r="Q72" s="65"/>
      <c r="V72" s="9" t="s">
        <v>185</v>
      </c>
      <c r="Y72" s="10">
        <f ca="1">+W16+W18+W32+Y40+Y46+Y55+Y64+AA25</f>
        <v>42607.730900209463</v>
      </c>
      <c r="Z72" s="10"/>
    </row>
    <row r="73" spans="9:28" x14ac:dyDescent="0.25">
      <c r="L73" s="9" t="s">
        <v>171</v>
      </c>
      <c r="N73" s="10">
        <f ca="1">P44</f>
        <v>6060.451289351271</v>
      </c>
      <c r="V73" s="9" t="s">
        <v>171</v>
      </c>
      <c r="Y73" s="10">
        <f ca="1">Y40</f>
        <v>7913.0994511287499</v>
      </c>
    </row>
    <row r="74" spans="9:28" x14ac:dyDescent="0.25">
      <c r="L74" s="9" t="s">
        <v>186</v>
      </c>
      <c r="N74" s="10">
        <f>P46</f>
        <v>2420.0410000000002</v>
      </c>
      <c r="V74" s="9" t="s">
        <v>186</v>
      </c>
      <c r="Y74" s="10">
        <f>Y46</f>
        <v>2420</v>
      </c>
    </row>
    <row r="75" spans="9:28" x14ac:dyDescent="0.25">
      <c r="N75" s="10">
        <f ca="1">N16+N18+N29+P44+P46+P55+P64+R25+N20+P20+P32+N31</f>
        <v>39882.740886211628</v>
      </c>
      <c r="Y75" s="10">
        <f ca="1">Y64+Y55+Y46+Y40+W32+W16+W18+AA25</f>
        <v>42607.730900209463</v>
      </c>
    </row>
    <row r="76" spans="9:28" x14ac:dyDescent="0.25">
      <c r="L76" s="9" t="s">
        <v>402</v>
      </c>
      <c r="N76" s="10">
        <f ca="1">+N29+R25+P32+N16+N18+N20+P20+N31</f>
        <v>14205.247218060003</v>
      </c>
    </row>
    <row r="77" spans="9:28" x14ac:dyDescent="0.25">
      <c r="L77" s="9" t="s">
        <v>403</v>
      </c>
      <c r="N77" s="10">
        <f ca="1">+N76+P64</f>
        <v>30371.248596860358</v>
      </c>
    </row>
    <row r="88" spans="3:9" s="33" customFormat="1" ht="47.25" customHeight="1" x14ac:dyDescent="0.25">
      <c r="C88" s="9"/>
      <c r="D88" s="9"/>
      <c r="E88" s="9"/>
      <c r="F88" s="9"/>
      <c r="G88" s="9"/>
      <c r="H88" s="9"/>
      <c r="I88" s="23"/>
    </row>
    <row r="89" spans="3:9" x14ac:dyDescent="0.25">
      <c r="I89" s="24"/>
    </row>
  </sheetData>
  <scenarios current="0" sqref="G21">
    <scenario name="EI_IS_H1" count="1" user="Fabien Bocci" comment="Créé par Fabien Bocci le 24/06/2022_x000a_Modifié par: Fabien Bocci le 24/06/2022">
      <inputCells r="G10" val="60000"/>
    </scenario>
    <scenario name="H2" locked="1" count="3" user="Fabien Bocci" comment="Créé par Fabien Bocci le 24/06/2022">
      <inputCells r="G10" val="120000"/>
      <inputCells r="G20" val="0" numFmtId="6"/>
      <inputCells r="G21" val="92299,2257339026"/>
    </scenario>
  </scenarios>
  <mergeCells count="6">
    <mergeCell ref="L2:S2"/>
    <mergeCell ref="U2:AB2"/>
    <mergeCell ref="L4:S4"/>
    <mergeCell ref="U4:AB4"/>
    <mergeCell ref="P13:R13"/>
    <mergeCell ref="Y13:AA13"/>
  </mergeCells>
  <pageMargins left="0.70866141732283472" right="0.70866141732283472" top="0.74803149606299213" bottom="0.74803149606299213" header="0.31496062992125984" footer="0.31496062992125984"/>
  <pageSetup scale="62" orientation="portrait" r:id="rId1"/>
  <headerFooter>
    <oddHeader>&amp;L&amp;G</oddHeader>
    <oddFooter>&amp;RDate d'impression : &amp;D</oddFooter>
  </headerFooter>
  <legacyDrawingHF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1EA80-3F4B-4DD4-B476-22E36FF49E36}">
  <sheetPr>
    <tabColor theme="7"/>
  </sheetPr>
  <dimension ref="A1:Z378"/>
  <sheetViews>
    <sheetView workbookViewId="0">
      <selection activeCell="J14" sqref="J14"/>
    </sheetView>
  </sheetViews>
  <sheetFormatPr baseColWidth="10" defaultRowHeight="12.75" x14ac:dyDescent="0.2"/>
  <cols>
    <col min="1" max="1" width="26.140625" style="111" customWidth="1"/>
    <col min="2" max="2" width="9" style="111" customWidth="1"/>
    <col min="3" max="3" width="4.42578125" style="111" customWidth="1"/>
    <col min="4" max="4" width="71" customWidth="1"/>
    <col min="5" max="5" width="22.7109375" style="111" customWidth="1"/>
    <col min="13" max="14" width="26.140625" style="111" customWidth="1"/>
    <col min="15" max="15" width="17.85546875" customWidth="1"/>
    <col min="16" max="16" width="19" customWidth="1"/>
  </cols>
  <sheetData>
    <row r="1" spans="1:26" x14ac:dyDescent="0.2">
      <c r="J1" s="75"/>
      <c r="O1" s="111"/>
      <c r="P1" s="111"/>
      <c r="Q1" s="111"/>
      <c r="R1" s="111"/>
      <c r="S1" s="111"/>
      <c r="T1" s="111"/>
      <c r="U1" s="111"/>
      <c r="V1" s="111"/>
      <c r="W1" s="111"/>
      <c r="X1" s="111"/>
      <c r="Y1" s="111"/>
      <c r="Z1" s="111"/>
    </row>
    <row r="2" spans="1:26" x14ac:dyDescent="0.2">
      <c r="D2" t="s">
        <v>53</v>
      </c>
      <c r="E2" s="219">
        <v>41136</v>
      </c>
      <c r="O2" s="111"/>
      <c r="P2" s="111"/>
      <c r="Q2" s="111"/>
      <c r="R2" s="111"/>
      <c r="S2" s="111"/>
      <c r="T2" s="111"/>
      <c r="U2" s="111"/>
      <c r="V2" s="111"/>
      <c r="W2" s="111"/>
      <c r="X2" s="111"/>
      <c r="Y2" s="111"/>
      <c r="Z2" s="111"/>
    </row>
    <row r="3" spans="1:26" x14ac:dyDescent="0.2">
      <c r="O3" s="111"/>
      <c r="P3" s="111"/>
      <c r="Q3" s="111"/>
      <c r="R3" s="111"/>
      <c r="S3" s="111"/>
      <c r="T3" s="111"/>
      <c r="U3" s="111"/>
      <c r="V3" s="111"/>
      <c r="W3" s="111"/>
      <c r="X3" s="111"/>
      <c r="Y3" s="111"/>
      <c r="Z3" s="111"/>
    </row>
    <row r="4" spans="1:26" x14ac:dyDescent="0.2">
      <c r="O4" s="111"/>
      <c r="P4" s="111"/>
      <c r="Q4" s="111"/>
      <c r="R4" s="111"/>
      <c r="S4" s="111"/>
      <c r="T4" s="111"/>
      <c r="U4" s="111"/>
      <c r="V4" s="111"/>
      <c r="W4" s="111"/>
      <c r="X4" s="111"/>
      <c r="Y4" s="111"/>
      <c r="Z4" s="111"/>
    </row>
    <row r="5" spans="1:26" ht="11.25" customHeight="1" x14ac:dyDescent="0.2">
      <c r="A5" s="209"/>
      <c r="B5" s="209"/>
      <c r="C5" s="209"/>
      <c r="D5" s="210"/>
      <c r="E5" s="209"/>
      <c r="F5" s="210"/>
      <c r="G5" s="210"/>
      <c r="H5" s="210"/>
      <c r="I5" s="210"/>
      <c r="J5" s="210"/>
      <c r="K5" s="210"/>
      <c r="L5" s="210"/>
      <c r="O5" s="111"/>
      <c r="P5" s="111"/>
      <c r="Q5" s="111"/>
      <c r="R5" s="111"/>
      <c r="S5" s="111"/>
      <c r="T5" s="111"/>
      <c r="U5" s="111"/>
      <c r="V5" s="111"/>
      <c r="W5" s="111"/>
      <c r="X5" s="111"/>
      <c r="Y5" s="111"/>
      <c r="Z5" s="111"/>
    </row>
    <row r="6" spans="1:26" x14ac:dyDescent="0.2">
      <c r="A6" s="111" t="s">
        <v>220</v>
      </c>
      <c r="D6" t="s">
        <v>140</v>
      </c>
      <c r="E6" s="220">
        <f ca="1">EI_IS_cotisations!G21</f>
        <v>143045.90852145836</v>
      </c>
      <c r="O6" s="111"/>
      <c r="P6" s="111"/>
      <c r="Q6" s="111"/>
      <c r="R6" s="111"/>
      <c r="S6" s="111"/>
      <c r="T6" s="111"/>
      <c r="U6" s="111"/>
      <c r="V6" s="111"/>
      <c r="W6" s="111"/>
      <c r="X6" s="111"/>
      <c r="Y6" s="111"/>
      <c r="Z6" s="111"/>
    </row>
    <row r="7" spans="1:26" x14ac:dyDescent="0.2">
      <c r="D7" t="s">
        <v>156</v>
      </c>
      <c r="E7" s="219">
        <v>38916</v>
      </c>
      <c r="O7" s="111"/>
      <c r="P7" s="111"/>
      <c r="Q7" s="111"/>
      <c r="R7" s="111"/>
      <c r="S7" s="111"/>
      <c r="T7" s="111"/>
      <c r="U7" s="111"/>
      <c r="V7" s="111"/>
      <c r="W7" s="111"/>
      <c r="X7" s="111"/>
      <c r="Y7" s="111"/>
      <c r="Z7" s="111"/>
    </row>
    <row r="8" spans="1:26" ht="13.5" thickBot="1" x14ac:dyDescent="0.25">
      <c r="P8" s="113"/>
      <c r="Q8" s="113"/>
      <c r="R8" s="113"/>
      <c r="S8" s="113"/>
      <c r="T8" s="113"/>
    </row>
    <row r="9" spans="1:26" ht="14.25" thickTop="1" thickBot="1" x14ac:dyDescent="0.25">
      <c r="B9" s="111" t="s">
        <v>332</v>
      </c>
      <c r="D9" s="108" t="s">
        <v>54</v>
      </c>
      <c r="E9" s="221">
        <f>E10*$E$2</f>
        <v>534.76800000000003</v>
      </c>
      <c r="P9" s="113"/>
      <c r="Q9" s="113"/>
      <c r="R9" s="113"/>
      <c r="S9" s="113"/>
      <c r="T9" s="113"/>
    </row>
    <row r="10" spans="1:26" ht="13.5" thickTop="1" x14ac:dyDescent="0.2">
      <c r="E10" s="222">
        <v>1.2999999999999999E-2</v>
      </c>
      <c r="M10"/>
      <c r="P10" s="113"/>
      <c r="Q10" s="113"/>
      <c r="R10" s="113"/>
      <c r="S10" s="113"/>
      <c r="T10" s="113"/>
    </row>
    <row r="11" spans="1:26" ht="13.5" thickBot="1" x14ac:dyDescent="0.25">
      <c r="M11"/>
      <c r="P11" s="113"/>
      <c r="Q11" s="113"/>
      <c r="R11" s="113"/>
      <c r="S11" s="113"/>
      <c r="T11" s="113"/>
    </row>
    <row r="12" spans="1:26" ht="14.25" thickTop="1" thickBot="1" x14ac:dyDescent="0.25">
      <c r="B12" s="111" t="s">
        <v>333</v>
      </c>
      <c r="D12" s="108" t="s">
        <v>198</v>
      </c>
      <c r="E12" s="221">
        <f ca="1">H18</f>
        <v>11054.512681716669</v>
      </c>
      <c r="M12"/>
      <c r="N12" s="247" t="s">
        <v>389</v>
      </c>
      <c r="O12" s="248"/>
      <c r="P12" s="249"/>
      <c r="Q12" s="250"/>
      <c r="R12" s="113"/>
      <c r="S12" s="113"/>
      <c r="T12" s="113"/>
    </row>
    <row r="13" spans="1:26" ht="13.5" thickTop="1" x14ac:dyDescent="0.2">
      <c r="D13" s="72"/>
      <c r="E13" s="81"/>
      <c r="M13"/>
      <c r="N13" s="251">
        <f>EI_IS_cotisations!AD4</f>
        <v>4</v>
      </c>
      <c r="P13" s="113"/>
      <c r="Q13" s="252"/>
      <c r="R13" s="113"/>
      <c r="S13" s="113"/>
      <c r="T13" s="113"/>
    </row>
    <row r="14" spans="1:26" x14ac:dyDescent="0.2">
      <c r="D14" s="72"/>
      <c r="E14" s="81" t="s">
        <v>52</v>
      </c>
      <c r="F14" s="111" t="s">
        <v>56</v>
      </c>
      <c r="G14" t="s">
        <v>207</v>
      </c>
      <c r="H14" t="s">
        <v>221</v>
      </c>
      <c r="M14"/>
      <c r="N14" s="253" t="s">
        <v>419</v>
      </c>
      <c r="O14" t="s">
        <v>420</v>
      </c>
      <c r="P14" s="113" t="s">
        <v>421</v>
      </c>
      <c r="Q14" s="252" t="s">
        <v>383</v>
      </c>
      <c r="R14" s="113"/>
      <c r="S14" s="113"/>
      <c r="T14" s="113"/>
    </row>
    <row r="15" spans="1:26" x14ac:dyDescent="0.2">
      <c r="E15" s="223">
        <v>0</v>
      </c>
      <c r="F15" s="106">
        <f>E15</f>
        <v>0</v>
      </c>
      <c r="G15" s="78">
        <v>0</v>
      </c>
      <c r="H15" s="106">
        <f>F15*G15</f>
        <v>0</v>
      </c>
      <c r="M15"/>
      <c r="N15" s="253" t="s">
        <v>234</v>
      </c>
      <c r="O15" t="str">
        <f t="shared" ref="O15:O24" si="0">$N$13&amp;"_"&amp;N15</f>
        <v>4_ID</v>
      </c>
      <c r="P15" t="str">
        <f t="shared" ref="P15:P24" si="1">IFERROR(VLOOKUP(O15,B:E,3,FALSE),0)</f>
        <v>INVALIDITE DECES</v>
      </c>
      <c r="Q15" s="254">
        <f t="shared" ref="Q15" si="2">IFERROR(VLOOKUP(O15,B:E,4,FALSE),0)</f>
        <v>1031</v>
      </c>
      <c r="R15" s="113"/>
      <c r="S15" s="113"/>
      <c r="T15" s="113"/>
    </row>
    <row r="16" spans="1:26" x14ac:dyDescent="0.2">
      <c r="E16" s="223">
        <f>E7</f>
        <v>38916</v>
      </c>
      <c r="F16" s="106">
        <f ca="1">MIN(E6,E16)</f>
        <v>38916</v>
      </c>
      <c r="G16" s="78">
        <v>7.0000000000000007E-2</v>
      </c>
      <c r="H16" s="106">
        <f ca="1">F16*G16</f>
        <v>2724.1200000000003</v>
      </c>
      <c r="M16"/>
      <c r="N16" s="253" t="s">
        <v>385</v>
      </c>
      <c r="O16" t="str">
        <f t="shared" si="0"/>
        <v>4_RB1</v>
      </c>
      <c r="P16">
        <f t="shared" si="1"/>
        <v>0</v>
      </c>
      <c r="Q16" s="254">
        <f>IFERROR(VLOOKUP(O16,B:E,4,FALSE),0)</f>
        <v>0</v>
      </c>
      <c r="R16" s="113"/>
      <c r="S16" s="113"/>
      <c r="T16" s="113"/>
    </row>
    <row r="17" spans="1:20" x14ac:dyDescent="0.2">
      <c r="E17" s="223">
        <f>E16*4</f>
        <v>155664</v>
      </c>
      <c r="F17" s="106">
        <f ca="1">MAX(MIN(E6,4*E16)-E16,0)</f>
        <v>104129.90852145836</v>
      </c>
      <c r="G17" s="78">
        <v>0.08</v>
      </c>
      <c r="H17" s="106">
        <f ca="1">F17*G17</f>
        <v>8330.3926817166684</v>
      </c>
      <c r="M17"/>
      <c r="N17" s="253" t="s">
        <v>386</v>
      </c>
      <c r="O17" t="str">
        <f t="shared" si="0"/>
        <v>4_RB2</v>
      </c>
      <c r="P17">
        <f t="shared" si="1"/>
        <v>0</v>
      </c>
      <c r="Q17" s="254">
        <f t="shared" ref="Q17:Q24" si="3">IFERROR(VLOOKUP(O17,B:E,4,FALSE),0)</f>
        <v>0</v>
      </c>
      <c r="R17" s="113"/>
      <c r="S17" s="113"/>
      <c r="T17" s="113"/>
    </row>
    <row r="18" spans="1:20" x14ac:dyDescent="0.2">
      <c r="F18" s="120">
        <f ca="1">SUM(F15:F17)</f>
        <v>143045.90852145836</v>
      </c>
      <c r="G18" s="121"/>
      <c r="H18" s="120">
        <f ca="1">SUM(H15:H17)</f>
        <v>11054.512681716669</v>
      </c>
      <c r="M18"/>
      <c r="N18" s="253" t="s">
        <v>228</v>
      </c>
      <c r="O18" t="str">
        <f t="shared" si="0"/>
        <v>4_RC1</v>
      </c>
      <c r="P18" t="str">
        <f t="shared" si="1"/>
        <v>COTISATION SECTION C</v>
      </c>
      <c r="Q18" s="254">
        <f t="shared" si="3"/>
        <v>4.1000000000000002E-2</v>
      </c>
      <c r="R18" s="113"/>
      <c r="S18" s="113"/>
      <c r="T18" s="113"/>
    </row>
    <row r="19" spans="1:20" ht="13.5" thickBot="1" x14ac:dyDescent="0.25">
      <c r="M19"/>
      <c r="N19" s="253" t="s">
        <v>229</v>
      </c>
      <c r="O19" t="str">
        <f t="shared" si="0"/>
        <v>4_RC2</v>
      </c>
      <c r="P19" t="str">
        <f t="shared" si="1"/>
        <v>COTISATION SECTION B</v>
      </c>
      <c r="Q19" s="254">
        <f t="shared" si="3"/>
        <v>2420</v>
      </c>
      <c r="R19" s="113"/>
      <c r="S19" s="113"/>
      <c r="T19" s="113"/>
    </row>
    <row r="20" spans="1:20" ht="14.25" thickTop="1" thickBot="1" x14ac:dyDescent="0.25">
      <c r="D20" s="112" t="s">
        <v>206</v>
      </c>
      <c r="E20" s="224">
        <f ca="1">E9+E12</f>
        <v>11589.280681716669</v>
      </c>
      <c r="M20"/>
      <c r="N20" s="253" t="s">
        <v>230</v>
      </c>
      <c r="O20" t="str">
        <f t="shared" si="0"/>
        <v>4_RC3</v>
      </c>
      <c r="P20">
        <f t="shared" si="1"/>
        <v>0</v>
      </c>
      <c r="Q20" s="254">
        <f t="shared" si="3"/>
        <v>0</v>
      </c>
      <c r="R20" s="113"/>
      <c r="S20" s="113"/>
      <c r="T20" s="113"/>
    </row>
    <row r="21" spans="1:20" ht="13.5" thickTop="1" x14ac:dyDescent="0.2">
      <c r="M21"/>
      <c r="N21" s="253" t="s">
        <v>231</v>
      </c>
      <c r="O21" t="str">
        <f t="shared" si="0"/>
        <v>4_RC4</v>
      </c>
      <c r="P21">
        <f t="shared" si="1"/>
        <v>0</v>
      </c>
      <c r="Q21" s="254">
        <f t="shared" si="3"/>
        <v>0</v>
      </c>
      <c r="R21" s="113"/>
      <c r="S21" s="113"/>
      <c r="T21" s="113"/>
    </row>
    <row r="22" spans="1:20" x14ac:dyDescent="0.2">
      <c r="M22"/>
      <c r="N22" s="253" t="s">
        <v>232</v>
      </c>
      <c r="O22" t="str">
        <f t="shared" si="0"/>
        <v>4_RC5</v>
      </c>
      <c r="P22">
        <f t="shared" si="1"/>
        <v>0</v>
      </c>
      <c r="Q22" s="254">
        <f t="shared" si="3"/>
        <v>0</v>
      </c>
      <c r="R22" s="113"/>
      <c r="S22" s="113"/>
      <c r="T22" s="113"/>
    </row>
    <row r="23" spans="1:20" x14ac:dyDescent="0.2">
      <c r="M23"/>
      <c r="N23" s="253" t="s">
        <v>233</v>
      </c>
      <c r="O23" t="str">
        <f t="shared" si="0"/>
        <v>4_RC6</v>
      </c>
      <c r="P23">
        <f t="shared" si="1"/>
        <v>0</v>
      </c>
      <c r="Q23" s="254">
        <f t="shared" si="3"/>
        <v>0</v>
      </c>
      <c r="R23" s="113"/>
      <c r="S23" s="113"/>
      <c r="T23" s="113"/>
    </row>
    <row r="24" spans="1:20" ht="13.5" thickBot="1" x14ac:dyDescent="0.25">
      <c r="A24" s="209"/>
      <c r="B24" s="209"/>
      <c r="C24" s="209"/>
      <c r="D24" s="210"/>
      <c r="E24" s="209"/>
      <c r="F24" s="210"/>
      <c r="G24" s="210"/>
      <c r="H24" s="210"/>
      <c r="I24" s="210"/>
      <c r="J24" s="210"/>
      <c r="K24" s="210"/>
      <c r="L24" s="210"/>
      <c r="M24"/>
      <c r="N24" s="255" t="s">
        <v>23</v>
      </c>
      <c r="O24" s="256" t="str">
        <f t="shared" si="0"/>
        <v>4_URPS</v>
      </c>
      <c r="P24" s="256">
        <f t="shared" si="1"/>
        <v>0</v>
      </c>
      <c r="Q24" s="257">
        <f t="shared" si="3"/>
        <v>0</v>
      </c>
      <c r="R24" s="113"/>
      <c r="S24" s="113"/>
      <c r="T24" s="113"/>
    </row>
    <row r="25" spans="1:20" x14ac:dyDescent="0.2">
      <c r="A25" s="111" t="s">
        <v>219</v>
      </c>
      <c r="D25" t="s">
        <v>140</v>
      </c>
      <c r="E25" s="220">
        <f ca="1">EI_IS_cotisations!G21</f>
        <v>143045.90852145836</v>
      </c>
      <c r="M25"/>
      <c r="P25" s="113"/>
      <c r="Q25" s="113"/>
      <c r="R25" s="113"/>
      <c r="S25" s="113"/>
      <c r="T25" s="113"/>
    </row>
    <row r="26" spans="1:20" ht="13.5" thickBot="1" x14ac:dyDescent="0.25">
      <c r="M26"/>
      <c r="P26" s="113"/>
      <c r="Q26" s="113"/>
      <c r="R26" s="113"/>
      <c r="S26" s="113"/>
      <c r="T26" s="113"/>
    </row>
    <row r="27" spans="1:20" ht="14.25" thickTop="1" thickBot="1" x14ac:dyDescent="0.25">
      <c r="B27" s="111" t="s">
        <v>334</v>
      </c>
      <c r="D27" s="108" t="s">
        <v>54</v>
      </c>
      <c r="E27" s="221">
        <f>E28*$E$2</f>
        <v>534.76800000000003</v>
      </c>
      <c r="M27"/>
      <c r="P27" s="113"/>
      <c r="Q27" s="113"/>
      <c r="R27" s="113"/>
      <c r="S27" s="113"/>
      <c r="T27" s="113"/>
    </row>
    <row r="28" spans="1:20" ht="13.5" thickTop="1" x14ac:dyDescent="0.2">
      <c r="E28" s="222">
        <v>1.2999999999999999E-2</v>
      </c>
      <c r="M28"/>
      <c r="P28" s="113"/>
      <c r="Q28" s="113"/>
      <c r="R28" s="113"/>
      <c r="S28" s="113"/>
      <c r="T28" s="113"/>
    </row>
    <row r="29" spans="1:20" ht="13.5" thickBot="1" x14ac:dyDescent="0.25">
      <c r="M29"/>
      <c r="P29" s="113"/>
      <c r="Q29" s="113"/>
      <c r="R29" s="113"/>
      <c r="S29" s="113"/>
      <c r="T29" s="113"/>
    </row>
    <row r="30" spans="1:20" ht="14.25" thickTop="1" thickBot="1" x14ac:dyDescent="0.25">
      <c r="B30" s="111" t="s">
        <v>335</v>
      </c>
      <c r="D30" s="108" t="s">
        <v>198</v>
      </c>
      <c r="E30" s="221">
        <f ca="1">H35</f>
        <v>14267.387193004171</v>
      </c>
      <c r="M30"/>
      <c r="P30" s="113"/>
      <c r="Q30" s="113"/>
      <c r="R30" s="113"/>
      <c r="S30" s="113"/>
      <c r="T30" s="113"/>
    </row>
    <row r="31" spans="1:20" ht="13.5" thickTop="1" x14ac:dyDescent="0.2">
      <c r="D31" s="72"/>
      <c r="E31" s="81"/>
      <c r="M31"/>
      <c r="P31" s="113"/>
      <c r="Q31" s="113"/>
      <c r="R31" s="113"/>
      <c r="S31" s="113"/>
      <c r="T31" s="113"/>
    </row>
    <row r="32" spans="1:20" x14ac:dyDescent="0.2">
      <c r="D32" s="72"/>
      <c r="E32" s="81" t="s">
        <v>52</v>
      </c>
      <c r="F32" s="111" t="s">
        <v>56</v>
      </c>
      <c r="G32" t="s">
        <v>207</v>
      </c>
      <c r="H32" t="s">
        <v>221</v>
      </c>
      <c r="M32"/>
      <c r="P32" s="113"/>
      <c r="Q32" s="113"/>
      <c r="R32" s="113"/>
      <c r="S32" s="113"/>
      <c r="T32" s="113"/>
    </row>
    <row r="33" spans="1:20" x14ac:dyDescent="0.2">
      <c r="E33" s="223">
        <v>0</v>
      </c>
      <c r="F33" s="106">
        <f>E33*G33</f>
        <v>0</v>
      </c>
      <c r="G33" s="78">
        <v>0</v>
      </c>
      <c r="H33" s="106">
        <f>F33*G33</f>
        <v>0</v>
      </c>
      <c r="M33"/>
      <c r="P33" s="113"/>
      <c r="Q33" s="113"/>
      <c r="R33" s="113"/>
      <c r="S33" s="113"/>
      <c r="T33" s="113"/>
    </row>
    <row r="34" spans="1:20" x14ac:dyDescent="0.2">
      <c r="E34" s="223">
        <f>E2</f>
        <v>41136</v>
      </c>
      <c r="F34" s="106">
        <f ca="1">MAX(MIN(E25,4*E34)-E34,0)</f>
        <v>101909.90852145836</v>
      </c>
      <c r="G34" s="78">
        <v>0.14000000000000001</v>
      </c>
      <c r="H34" s="106">
        <f ca="1">F34*G34</f>
        <v>14267.387193004171</v>
      </c>
      <c r="M34"/>
      <c r="P34" s="113"/>
      <c r="Q34" s="113"/>
      <c r="R34" s="113"/>
      <c r="S34" s="113"/>
      <c r="T34" s="113"/>
    </row>
    <row r="35" spans="1:20" x14ac:dyDescent="0.2">
      <c r="E35" s="223"/>
      <c r="F35" s="106"/>
      <c r="H35" s="106">
        <f ca="1">SUM(H33:H34)</f>
        <v>14267.387193004171</v>
      </c>
      <c r="M35"/>
      <c r="P35" s="113"/>
      <c r="Q35" s="113"/>
      <c r="R35" s="113"/>
      <c r="S35" s="113"/>
      <c r="T35" s="113"/>
    </row>
    <row r="36" spans="1:20" x14ac:dyDescent="0.2">
      <c r="M36"/>
      <c r="P36" s="113"/>
      <c r="Q36" s="113"/>
      <c r="R36" s="113"/>
      <c r="S36" s="113"/>
      <c r="T36" s="113"/>
    </row>
    <row r="37" spans="1:20" ht="13.5" thickBot="1" x14ac:dyDescent="0.25">
      <c r="M37"/>
      <c r="P37" s="113"/>
      <c r="Q37" s="113"/>
      <c r="R37" s="113"/>
      <c r="S37" s="113"/>
      <c r="T37" s="113"/>
    </row>
    <row r="38" spans="1:20" ht="14.25" thickTop="1" thickBot="1" x14ac:dyDescent="0.25">
      <c r="D38" s="112" t="s">
        <v>206</v>
      </c>
      <c r="E38" s="224">
        <f ca="1">E27+E30</f>
        <v>14802.155193004171</v>
      </c>
      <c r="M38"/>
      <c r="P38" s="113"/>
      <c r="Q38" s="113"/>
      <c r="R38" s="113"/>
      <c r="S38" s="113"/>
      <c r="T38" s="113"/>
    </row>
    <row r="39" spans="1:20" ht="13.5" thickTop="1" x14ac:dyDescent="0.2">
      <c r="M39"/>
      <c r="P39" s="113"/>
      <c r="Q39" s="113"/>
      <c r="R39" s="113"/>
      <c r="S39" s="113"/>
      <c r="T39" s="113"/>
    </row>
    <row r="40" spans="1:20" x14ac:dyDescent="0.2">
      <c r="M40"/>
      <c r="P40" s="113"/>
      <c r="Q40" s="113"/>
      <c r="R40" s="113"/>
      <c r="S40" s="113"/>
      <c r="T40" s="113"/>
    </row>
    <row r="41" spans="1:20" x14ac:dyDescent="0.2">
      <c r="M41"/>
      <c r="P41" s="113"/>
      <c r="Q41" s="113"/>
      <c r="R41" s="113"/>
      <c r="S41" s="113"/>
      <c r="T41" s="113"/>
    </row>
    <row r="42" spans="1:20" x14ac:dyDescent="0.2">
      <c r="M42"/>
      <c r="P42" s="113"/>
      <c r="Q42" s="113"/>
      <c r="R42" s="113"/>
      <c r="S42" s="113"/>
      <c r="T42" s="113"/>
    </row>
    <row r="43" spans="1:20" x14ac:dyDescent="0.2">
      <c r="M43"/>
      <c r="P43" s="113"/>
      <c r="Q43" s="113"/>
      <c r="R43" s="113"/>
      <c r="S43" s="113"/>
      <c r="T43" s="113"/>
    </row>
    <row r="44" spans="1:20" x14ac:dyDescent="0.2">
      <c r="A44" s="209"/>
      <c r="B44" s="209"/>
      <c r="C44" s="209"/>
      <c r="D44" s="210"/>
      <c r="E44" s="209"/>
      <c r="F44" s="210"/>
      <c r="G44" s="210"/>
      <c r="H44" s="210"/>
      <c r="I44" s="210"/>
      <c r="J44" s="210"/>
      <c r="K44" s="210"/>
      <c r="L44" s="210"/>
      <c r="M44"/>
      <c r="P44" s="113"/>
      <c r="Q44" s="113"/>
      <c r="R44" s="113"/>
      <c r="S44" s="113"/>
      <c r="T44" s="113"/>
    </row>
    <row r="45" spans="1:20" x14ac:dyDescent="0.2">
      <c r="A45" s="111" t="s">
        <v>12</v>
      </c>
      <c r="M45"/>
      <c r="P45" s="113"/>
      <c r="Q45" s="113"/>
      <c r="R45" s="113"/>
      <c r="S45" s="113"/>
      <c r="T45" s="113"/>
    </row>
    <row r="46" spans="1:20" x14ac:dyDescent="0.2">
      <c r="A46" s="111">
        <v>2</v>
      </c>
      <c r="D46" s="72"/>
      <c r="E46" s="81"/>
      <c r="F46" s="72"/>
      <c r="G46" s="82"/>
      <c r="M46"/>
      <c r="P46" s="113"/>
      <c r="Q46" s="113"/>
      <c r="R46" s="113"/>
      <c r="S46" s="113"/>
      <c r="T46" s="113"/>
    </row>
    <row r="47" spans="1:20" x14ac:dyDescent="0.2">
      <c r="D47" t="s">
        <v>140</v>
      </c>
      <c r="E47" s="220">
        <f ca="1">EI_IS_cotisations!G21</f>
        <v>143045.90852145836</v>
      </c>
      <c r="F47" s="72"/>
      <c r="G47" s="82"/>
      <c r="M47"/>
      <c r="P47" s="113"/>
      <c r="Q47" s="113"/>
      <c r="R47" s="113"/>
      <c r="S47" s="113"/>
      <c r="T47" s="113"/>
    </row>
    <row r="48" spans="1:20" x14ac:dyDescent="0.2">
      <c r="D48" s="72" t="s">
        <v>13</v>
      </c>
      <c r="E48" s="225">
        <f>MIN(1,simulateur!E18)</f>
        <v>1</v>
      </c>
      <c r="M48"/>
      <c r="P48" s="113"/>
      <c r="Q48" s="113"/>
      <c r="R48" s="113"/>
      <c r="S48" s="113"/>
      <c r="T48" s="113"/>
    </row>
    <row r="49" spans="2:20" ht="13.5" thickBot="1" x14ac:dyDescent="0.25">
      <c r="M49"/>
      <c r="P49" s="113"/>
      <c r="Q49" s="113"/>
      <c r="R49" s="113"/>
      <c r="S49" s="113"/>
      <c r="T49" s="113"/>
    </row>
    <row r="50" spans="2:20" ht="14.25" thickTop="1" thickBot="1" x14ac:dyDescent="0.25">
      <c r="B50" s="111" t="s">
        <v>387</v>
      </c>
      <c r="D50" s="107" t="s">
        <v>237</v>
      </c>
      <c r="E50" s="226">
        <v>1658</v>
      </c>
      <c r="M50"/>
      <c r="P50" s="113"/>
      <c r="Q50" s="113"/>
      <c r="R50" s="113"/>
      <c r="S50" s="113"/>
      <c r="T50" s="113"/>
    </row>
    <row r="51" spans="2:20" ht="13.5" thickTop="1" x14ac:dyDescent="0.2">
      <c r="M51"/>
      <c r="P51" s="113"/>
      <c r="Q51" s="113"/>
      <c r="R51" s="113"/>
      <c r="S51" s="113"/>
      <c r="T51" s="113"/>
    </row>
    <row r="52" spans="2:20" x14ac:dyDescent="0.2">
      <c r="B52" s="111" t="s">
        <v>388</v>
      </c>
      <c r="D52" s="107" t="s">
        <v>245</v>
      </c>
      <c r="E52" s="227">
        <f ca="1">E47*E53</f>
        <v>4434.4231641652095</v>
      </c>
      <c r="M52"/>
      <c r="P52" s="113"/>
      <c r="Q52" s="113"/>
      <c r="R52" s="113"/>
      <c r="S52" s="113"/>
      <c r="T52" s="113"/>
    </row>
    <row r="53" spans="2:20" x14ac:dyDescent="0.2">
      <c r="E53" s="222">
        <v>3.1E-2</v>
      </c>
      <c r="M53"/>
      <c r="P53" s="113"/>
      <c r="Q53" s="113"/>
      <c r="R53" s="113"/>
      <c r="S53" s="113"/>
      <c r="T53" s="113"/>
    </row>
    <row r="54" spans="2:20" x14ac:dyDescent="0.2">
      <c r="M54"/>
      <c r="P54" s="113"/>
      <c r="Q54" s="113"/>
      <c r="R54" s="113"/>
      <c r="S54" s="113"/>
      <c r="T54" s="113"/>
    </row>
    <row r="55" spans="2:20" x14ac:dyDescent="0.2">
      <c r="M55"/>
      <c r="N55"/>
      <c r="P55" s="113"/>
      <c r="Q55" s="113"/>
      <c r="R55" s="113"/>
      <c r="S55" s="113"/>
      <c r="T55" s="113"/>
    </row>
    <row r="56" spans="2:20" ht="13.5" thickBot="1" x14ac:dyDescent="0.25">
      <c r="E56" s="123"/>
      <c r="M56"/>
      <c r="N56"/>
      <c r="P56" s="113"/>
      <c r="Q56" s="113"/>
      <c r="R56" s="113"/>
      <c r="S56" s="113"/>
      <c r="T56" s="113"/>
    </row>
    <row r="57" spans="2:20" ht="14.25" thickTop="1" thickBot="1" x14ac:dyDescent="0.25">
      <c r="B57" s="111" t="s">
        <v>330</v>
      </c>
      <c r="D57" s="108" t="s">
        <v>195</v>
      </c>
      <c r="E57" s="226">
        <v>145</v>
      </c>
      <c r="M57"/>
      <c r="N57"/>
      <c r="P57" s="113"/>
      <c r="Q57" s="113"/>
      <c r="R57" s="113"/>
      <c r="S57" s="113"/>
      <c r="T57" s="113"/>
    </row>
    <row r="58" spans="2:20" ht="14.25" thickTop="1" thickBot="1" x14ac:dyDescent="0.25">
      <c r="E58" s="123"/>
      <c r="M58"/>
      <c r="N58"/>
      <c r="P58" s="113"/>
      <c r="Q58" s="113"/>
      <c r="R58" s="113"/>
      <c r="S58" s="113"/>
      <c r="T58" s="113"/>
    </row>
    <row r="59" spans="2:20" ht="14.25" thickTop="1" thickBot="1" x14ac:dyDescent="0.25">
      <c r="B59" s="111" t="s">
        <v>331</v>
      </c>
      <c r="D59" s="107" t="s">
        <v>198</v>
      </c>
      <c r="E59" s="221">
        <f ca="1">L62</f>
        <v>11832.541388489177</v>
      </c>
      <c r="M59"/>
      <c r="N59"/>
      <c r="P59" s="113"/>
      <c r="Q59" s="113"/>
      <c r="R59" s="113"/>
      <c r="S59" s="113"/>
      <c r="T59" s="113"/>
    </row>
    <row r="60" spans="2:20" ht="13.5" thickTop="1" x14ac:dyDescent="0.2">
      <c r="M60"/>
      <c r="N60"/>
      <c r="P60" s="113"/>
      <c r="Q60" s="113"/>
      <c r="R60" s="113"/>
      <c r="S60" s="113"/>
      <c r="T60" s="113"/>
    </row>
    <row r="61" spans="2:20" x14ac:dyDescent="0.2">
      <c r="D61" t="s">
        <v>194</v>
      </c>
      <c r="E61" s="103">
        <v>297549</v>
      </c>
      <c r="F61" s="81" t="s">
        <v>14</v>
      </c>
      <c r="G61" s="81" t="s">
        <v>15</v>
      </c>
      <c r="H61" s="81" t="s">
        <v>16</v>
      </c>
      <c r="I61" s="81" t="s">
        <v>17</v>
      </c>
      <c r="J61" s="81"/>
      <c r="L61" s="81" t="s">
        <v>197</v>
      </c>
      <c r="M61"/>
      <c r="N61"/>
      <c r="P61" s="113"/>
      <c r="Q61" s="113"/>
      <c r="R61" s="113"/>
      <c r="S61" s="113"/>
      <c r="T61" s="113"/>
    </row>
    <row r="62" spans="2:20" x14ac:dyDescent="0.2">
      <c r="D62" s="72"/>
      <c r="E62" s="81"/>
      <c r="F62" s="81">
        <v>1</v>
      </c>
      <c r="G62" s="81">
        <v>2</v>
      </c>
      <c r="H62" s="81">
        <v>3</v>
      </c>
      <c r="I62" s="81">
        <v>4</v>
      </c>
      <c r="J62" s="81"/>
      <c r="K62" s="85"/>
      <c r="L62" s="102">
        <f ca="1">+SUM(L63:L68)</f>
        <v>11832.54138848917</v>
      </c>
      <c r="M62"/>
      <c r="N62"/>
      <c r="P62" s="113"/>
      <c r="Q62" s="113"/>
      <c r="R62" s="113"/>
      <c r="S62" s="113"/>
      <c r="T62" s="113"/>
    </row>
    <row r="63" spans="2:20" x14ac:dyDescent="0.2">
      <c r="D63" s="72"/>
      <c r="E63" s="228">
        <v>0</v>
      </c>
      <c r="F63" s="104">
        <v>4.5999999999999999E-2</v>
      </c>
      <c r="G63" s="104">
        <v>5.2999999999999999E-2</v>
      </c>
      <c r="H63" s="104">
        <v>0.06</v>
      </c>
      <c r="I63" s="104">
        <v>0.06</v>
      </c>
      <c r="J63" s="81">
        <v>2</v>
      </c>
      <c r="K63" s="105">
        <f ca="1">+IF($E$47&lt;E63,0,MIN($E$47-E63,E64-E63))</f>
        <v>42507</v>
      </c>
      <c r="L63" s="105">
        <f t="shared" ref="L63:L68" ca="1" si="4">IFERROR(K63*HLOOKUP($E$48,$F$62:$I$68,J63,FALSE),0)</f>
        <v>1955.3219999999999</v>
      </c>
      <c r="M63"/>
      <c r="N63"/>
      <c r="P63" s="113"/>
      <c r="Q63" s="113"/>
      <c r="R63" s="113"/>
      <c r="S63" s="113"/>
      <c r="T63" s="113"/>
    </row>
    <row r="64" spans="2:20" x14ac:dyDescent="0.2">
      <c r="D64" s="81" t="s">
        <v>189</v>
      </c>
      <c r="E64" s="229">
        <v>42507</v>
      </c>
      <c r="F64" s="104">
        <v>8.7999999999999995E-2</v>
      </c>
      <c r="G64" s="104">
        <v>0.10199999999999999</v>
      </c>
      <c r="H64" s="104">
        <v>0.11600000000000001</v>
      </c>
      <c r="I64" s="104">
        <v>0.11600000000000001</v>
      </c>
      <c r="J64" s="81">
        <v>3</v>
      </c>
      <c r="K64" s="105">
        <f ca="1">+IF($E$47&lt;E64,0,MIN($E$47-E64,E65-E64))</f>
        <v>42507</v>
      </c>
      <c r="L64" s="105">
        <f t="shared" ca="1" si="4"/>
        <v>3740.616</v>
      </c>
      <c r="M64"/>
      <c r="N64"/>
      <c r="P64" s="113"/>
      <c r="Q64" s="113"/>
      <c r="R64" s="113"/>
      <c r="S64" s="113"/>
      <c r="T64" s="113"/>
    </row>
    <row r="65" spans="1:20" x14ac:dyDescent="0.2">
      <c r="D65" s="81" t="s">
        <v>190</v>
      </c>
      <c r="E65" s="229">
        <v>85014</v>
      </c>
      <c r="F65" s="104">
        <v>0.10199999999999999</v>
      </c>
      <c r="G65" s="104">
        <v>0.1195</v>
      </c>
      <c r="H65" s="104">
        <v>0.13700000000000001</v>
      </c>
      <c r="I65" s="104">
        <v>0.13700000000000001</v>
      </c>
      <c r="J65" s="81">
        <v>4</v>
      </c>
      <c r="K65" s="105">
        <f ca="1">+IF($E$47&lt;E65,0,MIN($E$47-E65,E66-E65))</f>
        <v>42507</v>
      </c>
      <c r="L65" s="105">
        <f t="shared" ca="1" si="4"/>
        <v>4335.7139999999999</v>
      </c>
      <c r="M65"/>
      <c r="N65"/>
      <c r="P65" s="113"/>
      <c r="Q65" s="113"/>
      <c r="R65" s="113"/>
      <c r="S65" s="113"/>
      <c r="T65" s="113"/>
    </row>
    <row r="66" spans="1:20" x14ac:dyDescent="0.2">
      <c r="D66" s="81" t="s">
        <v>191</v>
      </c>
      <c r="E66" s="229">
        <v>127521</v>
      </c>
      <c r="F66" s="104">
        <v>0.11600000000000001</v>
      </c>
      <c r="G66" s="104">
        <v>0.13700000000000001</v>
      </c>
      <c r="H66" s="104">
        <v>0.158</v>
      </c>
      <c r="I66" s="104">
        <v>0.158</v>
      </c>
      <c r="J66" s="81">
        <v>5</v>
      </c>
      <c r="K66" s="105">
        <f ca="1">+IF($E$47&lt;E66,0,MIN($E$47-E66,E67-E66))</f>
        <v>15524.908521458361</v>
      </c>
      <c r="L66" s="105">
        <f t="shared" ca="1" si="4"/>
        <v>1800.88938848917</v>
      </c>
      <c r="M66"/>
      <c r="N66"/>
      <c r="P66" s="113"/>
      <c r="Q66" s="113"/>
      <c r="R66" s="113"/>
      <c r="S66" s="113"/>
      <c r="T66" s="113"/>
    </row>
    <row r="67" spans="1:20" x14ac:dyDescent="0.2">
      <c r="D67" s="81" t="s">
        <v>192</v>
      </c>
      <c r="E67" s="229">
        <v>170028</v>
      </c>
      <c r="F67" s="104">
        <v>0.13</v>
      </c>
      <c r="G67" s="104">
        <v>0.1545</v>
      </c>
      <c r="H67" s="104">
        <v>0.17899999999999999</v>
      </c>
      <c r="I67" s="104">
        <v>0.20399999999999999</v>
      </c>
      <c r="J67" s="81">
        <v>6</v>
      </c>
      <c r="K67" s="105">
        <f ca="1">+IF($E$47&lt;E67,0,MIN($E$47-E67,E68-E67))</f>
        <v>0</v>
      </c>
      <c r="L67" s="105">
        <f t="shared" ca="1" si="4"/>
        <v>0</v>
      </c>
      <c r="M67"/>
      <c r="N67"/>
      <c r="P67" s="113"/>
      <c r="Q67" s="113"/>
      <c r="R67" s="113"/>
      <c r="S67" s="113"/>
      <c r="T67" s="113"/>
    </row>
    <row r="68" spans="1:20" x14ac:dyDescent="0.2">
      <c r="D68" s="81" t="s">
        <v>193</v>
      </c>
      <c r="E68" s="229">
        <v>212535</v>
      </c>
      <c r="F68" s="82"/>
      <c r="G68" s="82"/>
      <c r="H68" s="82"/>
      <c r="I68" s="82"/>
      <c r="J68" s="81">
        <v>7</v>
      </c>
      <c r="K68" s="105">
        <f ca="1">+IF($E$47&lt;E68,0,MIN($E$47-E68,G73-E68))</f>
        <v>0</v>
      </c>
      <c r="L68" s="105">
        <f t="shared" ca="1" si="4"/>
        <v>0</v>
      </c>
      <c r="M68"/>
      <c r="N68"/>
      <c r="P68" s="113"/>
      <c r="Q68" s="113"/>
      <c r="R68" s="113"/>
      <c r="S68" s="113"/>
      <c r="T68" s="113"/>
    </row>
    <row r="69" spans="1:20" x14ac:dyDescent="0.2">
      <c r="M69"/>
      <c r="N69"/>
      <c r="P69" s="113"/>
      <c r="Q69" s="113"/>
      <c r="R69" s="113"/>
      <c r="S69" s="113"/>
      <c r="T69" s="113"/>
    </row>
    <row r="70" spans="1:20" ht="13.5" thickBot="1" x14ac:dyDescent="0.25">
      <c r="M70"/>
      <c r="N70"/>
      <c r="P70" s="113"/>
      <c r="Q70" s="113"/>
      <c r="R70" s="113"/>
      <c r="S70" s="113"/>
      <c r="T70" s="113"/>
    </row>
    <row r="71" spans="1:20" ht="14.25" thickTop="1" thickBot="1" x14ac:dyDescent="0.25">
      <c r="D71" s="112" t="s">
        <v>206</v>
      </c>
      <c r="E71" s="224">
        <f ca="1">E50+E57+E59</f>
        <v>13635.541388489177</v>
      </c>
      <c r="M71"/>
      <c r="N71"/>
      <c r="P71" s="113"/>
      <c r="Q71" s="113"/>
      <c r="R71" s="113"/>
      <c r="S71" s="113"/>
      <c r="T71" s="113"/>
    </row>
    <row r="72" spans="1:20" ht="13.5" thickTop="1" x14ac:dyDescent="0.2">
      <c r="M72"/>
      <c r="N72"/>
      <c r="P72" s="113"/>
      <c r="Q72" s="113"/>
      <c r="R72" s="113"/>
      <c r="S72" s="113"/>
      <c r="T72" s="113"/>
    </row>
    <row r="73" spans="1:20" x14ac:dyDescent="0.2">
      <c r="A73" s="209"/>
      <c r="B73" s="209"/>
      <c r="C73" s="209"/>
      <c r="D73" s="210"/>
      <c r="E73" s="209"/>
      <c r="F73" s="210"/>
      <c r="G73" s="210"/>
      <c r="H73" s="210"/>
      <c r="I73" s="210"/>
      <c r="J73" s="210"/>
      <c r="K73" s="210"/>
      <c r="L73" s="210"/>
      <c r="M73"/>
      <c r="N73"/>
      <c r="P73" s="113"/>
      <c r="Q73" s="113"/>
      <c r="R73" s="113"/>
      <c r="S73" s="113"/>
      <c r="T73" s="113"/>
    </row>
    <row r="74" spans="1:20" x14ac:dyDescent="0.2">
      <c r="A74" s="111" t="s">
        <v>21</v>
      </c>
      <c r="D74" s="73" t="s">
        <v>21</v>
      </c>
      <c r="E74" s="111">
        <v>14</v>
      </c>
      <c r="H74" s="73"/>
      <c r="I74" s="73"/>
      <c r="J74" s="73"/>
      <c r="K74" s="73"/>
      <c r="L74" s="73"/>
      <c r="M74"/>
      <c r="N74"/>
      <c r="P74" s="113"/>
      <c r="Q74" s="113"/>
      <c r="R74" s="113"/>
      <c r="S74" s="113"/>
      <c r="T74" s="113"/>
    </row>
    <row r="75" spans="1:20" x14ac:dyDescent="0.2">
      <c r="A75" s="111">
        <v>14</v>
      </c>
      <c r="D75" t="s">
        <v>140</v>
      </c>
      <c r="E75" s="220">
        <f ca="1">EI_IS_cotisations!G21</f>
        <v>143045.90852145836</v>
      </c>
      <c r="H75" s="73"/>
      <c r="I75" s="73"/>
      <c r="J75" s="73"/>
      <c r="K75" s="73"/>
      <c r="L75" s="73"/>
      <c r="M75"/>
      <c r="N75"/>
      <c r="P75" s="113"/>
      <c r="Q75" s="113"/>
      <c r="R75" s="113"/>
      <c r="S75" s="113"/>
      <c r="T75" s="113"/>
    </row>
    <row r="76" spans="1:20" ht="13.5" thickBot="1" x14ac:dyDescent="0.25">
      <c r="H76" s="73"/>
      <c r="I76" s="73"/>
      <c r="J76" s="73"/>
      <c r="K76" s="73"/>
      <c r="L76" s="73"/>
      <c r="M76"/>
      <c r="N76"/>
      <c r="P76" s="113"/>
      <c r="Q76" s="113"/>
      <c r="R76" s="113"/>
      <c r="S76" s="113"/>
      <c r="T76" s="113"/>
    </row>
    <row r="77" spans="1:20" ht="14.25" thickTop="1" thickBot="1" x14ac:dyDescent="0.25">
      <c r="B77" s="111" t="s">
        <v>337</v>
      </c>
      <c r="D77" s="108" t="s">
        <v>199</v>
      </c>
      <c r="E77" s="230">
        <v>1840</v>
      </c>
      <c r="H77" s="73"/>
      <c r="I77" s="73"/>
      <c r="J77" s="73"/>
      <c r="K77" s="73"/>
      <c r="L77" s="73"/>
      <c r="M77"/>
      <c r="N77"/>
      <c r="P77" s="113"/>
      <c r="Q77" s="113"/>
      <c r="R77" s="113"/>
      <c r="S77" s="113"/>
      <c r="T77" s="113"/>
    </row>
    <row r="78" spans="1:20" ht="14.25" thickTop="1" thickBot="1" x14ac:dyDescent="0.25">
      <c r="D78" s="73"/>
      <c r="E78" s="231"/>
      <c r="H78" s="73"/>
      <c r="I78" s="73"/>
      <c r="J78" s="73"/>
      <c r="K78" s="73"/>
      <c r="L78" s="73"/>
      <c r="M78"/>
      <c r="N78"/>
      <c r="P78" s="113"/>
      <c r="Q78" s="113"/>
      <c r="R78" s="113"/>
      <c r="S78" s="113"/>
      <c r="T78" s="113"/>
    </row>
    <row r="79" spans="1:20" ht="14.25" thickTop="1" thickBot="1" x14ac:dyDescent="0.25">
      <c r="B79" s="111" t="s">
        <v>338</v>
      </c>
      <c r="D79" s="108" t="s">
        <v>54</v>
      </c>
      <c r="E79" s="230">
        <v>776</v>
      </c>
      <c r="M79"/>
      <c r="N79"/>
      <c r="P79" s="113"/>
      <c r="Q79" s="113"/>
      <c r="R79" s="113"/>
      <c r="S79" s="113"/>
      <c r="T79" s="113"/>
    </row>
    <row r="80" spans="1:20" ht="14.25" thickTop="1" thickBot="1" x14ac:dyDescent="0.25">
      <c r="E80" s="123"/>
      <c r="M80"/>
      <c r="N80"/>
      <c r="P80" s="113"/>
      <c r="Q80" s="113"/>
      <c r="R80" s="113"/>
      <c r="S80" s="113"/>
      <c r="T80" s="113"/>
    </row>
    <row r="81" spans="2:20" ht="14.25" thickTop="1" thickBot="1" x14ac:dyDescent="0.25">
      <c r="B81" s="111" t="s">
        <v>336</v>
      </c>
      <c r="D81" s="108" t="s">
        <v>238</v>
      </c>
      <c r="E81" s="230">
        <v>200</v>
      </c>
      <c r="M81"/>
      <c r="N81"/>
      <c r="P81" s="113"/>
      <c r="Q81" s="113"/>
      <c r="R81" s="113"/>
      <c r="S81" s="113"/>
      <c r="T81" s="113"/>
    </row>
    <row r="82" spans="2:20" ht="14.25" thickTop="1" thickBot="1" x14ac:dyDescent="0.25">
      <c r="M82"/>
      <c r="N82"/>
      <c r="P82" s="113"/>
      <c r="Q82" s="113"/>
      <c r="R82" s="113"/>
      <c r="S82" s="113"/>
      <c r="T82" s="113"/>
    </row>
    <row r="83" spans="2:20" ht="14.25" thickTop="1" thickBot="1" x14ac:dyDescent="0.25">
      <c r="B83" s="111" t="s">
        <v>422</v>
      </c>
      <c r="D83" s="108" t="s">
        <v>23</v>
      </c>
      <c r="E83" s="116">
        <f ca="1">MIN(F85,G85)</f>
        <v>143.04590852145836</v>
      </c>
      <c r="M83"/>
      <c r="N83"/>
      <c r="P83" s="113"/>
      <c r="Q83" s="113"/>
      <c r="R83" s="113"/>
      <c r="S83" s="113"/>
      <c r="T83" s="113"/>
    </row>
    <row r="84" spans="2:20" ht="13.5" thickTop="1" x14ac:dyDescent="0.2">
      <c r="D84" s="81" t="s">
        <v>202</v>
      </c>
      <c r="E84" s="111" t="s">
        <v>18</v>
      </c>
      <c r="G84" t="s">
        <v>240</v>
      </c>
      <c r="M84"/>
      <c r="N84"/>
      <c r="P84" s="113"/>
      <c r="Q84" s="113"/>
      <c r="R84" s="113"/>
      <c r="S84" s="113"/>
      <c r="T84" s="113"/>
    </row>
    <row r="85" spans="2:20" x14ac:dyDescent="0.2">
      <c r="D85">
        <v>14</v>
      </c>
      <c r="E85" s="95">
        <v>1E-3</v>
      </c>
      <c r="F85" s="109">
        <f ca="1">$E$75*E85</f>
        <v>143.04590852145836</v>
      </c>
      <c r="G85" s="122">
        <f>E2*0.5%</f>
        <v>205.68</v>
      </c>
      <c r="M85"/>
      <c r="N85"/>
      <c r="P85" s="113"/>
      <c r="Q85" s="113"/>
      <c r="R85" s="113"/>
      <c r="S85" s="113"/>
      <c r="T85" s="113"/>
    </row>
    <row r="86" spans="2:20" x14ac:dyDescent="0.2">
      <c r="M86"/>
      <c r="N86"/>
      <c r="P86" s="113"/>
      <c r="Q86" s="113"/>
      <c r="R86" s="113"/>
      <c r="S86" s="113"/>
      <c r="T86" s="113"/>
    </row>
    <row r="87" spans="2:20" x14ac:dyDescent="0.2">
      <c r="D87" s="108" t="s">
        <v>239</v>
      </c>
      <c r="M87"/>
      <c r="N87"/>
      <c r="P87" s="113"/>
      <c r="Q87" s="113"/>
      <c r="R87" s="113"/>
      <c r="S87" s="113"/>
      <c r="T87" s="113"/>
    </row>
    <row r="88" spans="2:20" ht="13.5" thickBot="1" x14ac:dyDescent="0.25">
      <c r="D88" t="s">
        <v>18</v>
      </c>
      <c r="E88" s="232">
        <f>40%*0.4%</f>
        <v>1.6000000000000001E-3</v>
      </c>
      <c r="M88"/>
      <c r="N88"/>
      <c r="P88" s="113"/>
      <c r="Q88" s="113"/>
      <c r="R88" s="113"/>
      <c r="S88" s="113"/>
      <c r="T88" s="113"/>
    </row>
    <row r="89" spans="2:20" ht="14.25" thickTop="1" thickBot="1" x14ac:dyDescent="0.25">
      <c r="B89" s="111" t="s">
        <v>339</v>
      </c>
      <c r="D89" s="72" t="s">
        <v>178</v>
      </c>
      <c r="E89" s="116">
        <f ca="1">MIN(5*E2,E75)*E88</f>
        <v>228.8734536343334</v>
      </c>
      <c r="M89"/>
      <c r="N89"/>
      <c r="P89" s="113"/>
      <c r="Q89" s="113"/>
      <c r="R89" s="113"/>
      <c r="S89" s="113"/>
      <c r="T89" s="113"/>
    </row>
    <row r="90" spans="2:20" ht="14.25" thickTop="1" thickBot="1" x14ac:dyDescent="0.25">
      <c r="M90"/>
      <c r="N90"/>
      <c r="P90" s="113"/>
      <c r="Q90" s="113"/>
      <c r="R90" s="113"/>
      <c r="S90" s="113"/>
      <c r="T90" s="113"/>
    </row>
    <row r="91" spans="2:20" ht="14.25" thickTop="1" thickBot="1" x14ac:dyDescent="0.25">
      <c r="B91" s="111" t="s">
        <v>340</v>
      </c>
      <c r="D91" s="108" t="s">
        <v>198</v>
      </c>
      <c r="E91" s="116">
        <f ca="1">H94</f>
        <v>3533.9972556437506</v>
      </c>
      <c r="F91" t="s">
        <v>200</v>
      </c>
      <c r="H91" t="s">
        <v>222</v>
      </c>
      <c r="M91"/>
      <c r="N91"/>
      <c r="P91" s="113"/>
      <c r="Q91" s="113"/>
      <c r="R91" s="113"/>
      <c r="S91" s="113"/>
      <c r="T91" s="113"/>
    </row>
    <row r="92" spans="2:20" ht="13.5" thickTop="1" x14ac:dyDescent="0.2">
      <c r="D92" s="77" t="str">
        <f>"&lt;"&amp;TEXT(E92,"000 0")</f>
        <v>&lt;25 246</v>
      </c>
      <c r="E92" s="233">
        <v>25246</v>
      </c>
      <c r="F92" s="106">
        <f>$E92*$G92</f>
        <v>0</v>
      </c>
      <c r="G92" s="79">
        <v>0</v>
      </c>
      <c r="H92" s="106">
        <f>F92*G92</f>
        <v>0</v>
      </c>
      <c r="M92"/>
      <c r="N92"/>
      <c r="P92" s="113"/>
      <c r="Q92" s="113"/>
      <c r="R92" s="113"/>
      <c r="S92" s="113"/>
      <c r="T92" s="113"/>
    </row>
    <row r="93" spans="2:20" x14ac:dyDescent="0.2">
      <c r="D93" s="77" t="str">
        <f>"&lt;"&amp;TEXT(E93,"000 0")</f>
        <v>&lt;193 913</v>
      </c>
      <c r="E93" s="233">
        <v>193913</v>
      </c>
      <c r="F93" s="106">
        <f ca="1">MIN($E93,E75)-$E92</f>
        <v>117799.90852145836</v>
      </c>
      <c r="G93" s="79">
        <v>0.03</v>
      </c>
      <c r="H93" s="106">
        <f ca="1">F93*G93</f>
        <v>3533.9972556437506</v>
      </c>
      <c r="M93"/>
      <c r="N93"/>
      <c r="P93" s="113"/>
      <c r="Q93" s="113"/>
      <c r="R93" s="113"/>
      <c r="S93" s="113"/>
      <c r="T93" s="113"/>
    </row>
    <row r="94" spans="2:20" x14ac:dyDescent="0.2">
      <c r="D94" s="110" t="s">
        <v>201</v>
      </c>
      <c r="H94" s="106">
        <f ca="1">SUM(H92:H93)</f>
        <v>3533.9972556437506</v>
      </c>
      <c r="M94"/>
      <c r="N94"/>
      <c r="P94" s="113"/>
      <c r="Q94" s="113"/>
      <c r="R94" s="113"/>
      <c r="S94" s="113"/>
      <c r="T94" s="113"/>
    </row>
    <row r="95" spans="2:20" ht="13.5" thickBot="1" x14ac:dyDescent="0.25">
      <c r="M95"/>
      <c r="N95"/>
      <c r="P95" s="113"/>
      <c r="Q95" s="113"/>
      <c r="R95" s="113"/>
      <c r="S95" s="113"/>
      <c r="T95" s="113"/>
    </row>
    <row r="96" spans="2:20" ht="14.25" thickTop="1" thickBot="1" x14ac:dyDescent="0.25">
      <c r="D96" s="112" t="s">
        <v>206</v>
      </c>
      <c r="E96" s="224">
        <f ca="1">E77+E79+E81+E83+RC_5_14+E91</f>
        <v>6822.1311641652092</v>
      </c>
      <c r="M96"/>
      <c r="N96"/>
      <c r="P96" s="113"/>
      <c r="Q96" s="113"/>
      <c r="R96" s="113"/>
      <c r="S96" s="113"/>
      <c r="T96" s="113"/>
    </row>
    <row r="97" spans="1:20" ht="13.5" thickTop="1" x14ac:dyDescent="0.2">
      <c r="M97"/>
      <c r="N97"/>
      <c r="P97" s="113"/>
      <c r="Q97" s="113"/>
      <c r="R97" s="113"/>
      <c r="S97" s="113"/>
      <c r="T97" s="113"/>
    </row>
    <row r="98" spans="1:20" x14ac:dyDescent="0.2">
      <c r="A98" s="209"/>
      <c r="B98" s="209"/>
      <c r="C98" s="209"/>
      <c r="D98" s="210"/>
      <c r="E98" s="209"/>
      <c r="F98" s="210"/>
      <c r="G98" s="210"/>
      <c r="H98" s="210"/>
      <c r="I98" s="210"/>
      <c r="J98" s="210"/>
      <c r="K98" s="210"/>
      <c r="L98" s="210"/>
      <c r="M98"/>
      <c r="N98"/>
      <c r="P98" s="113"/>
      <c r="Q98" s="113"/>
      <c r="R98" s="113"/>
      <c r="S98" s="113"/>
      <c r="T98" s="113"/>
    </row>
    <row r="99" spans="1:20" x14ac:dyDescent="0.2">
      <c r="A99" s="111" t="s">
        <v>329</v>
      </c>
      <c r="D99" s="73" t="s">
        <v>35</v>
      </c>
      <c r="E99" s="111" t="s">
        <v>327</v>
      </c>
      <c r="F99" s="73"/>
      <c r="G99" s="73"/>
      <c r="H99" s="73"/>
      <c r="I99" s="73"/>
      <c r="J99" s="73"/>
      <c r="K99" s="73"/>
      <c r="L99" s="73"/>
      <c r="M99"/>
      <c r="N99"/>
      <c r="P99" s="113"/>
      <c r="Q99" s="113"/>
      <c r="R99" s="113"/>
      <c r="S99" s="113"/>
      <c r="T99" s="113"/>
    </row>
    <row r="100" spans="1:20" x14ac:dyDescent="0.2">
      <c r="A100" s="111">
        <v>12</v>
      </c>
      <c r="D100" s="73"/>
      <c r="F100" s="73"/>
      <c r="G100" s="73"/>
      <c r="H100" s="73"/>
      <c r="I100" s="73"/>
      <c r="J100" s="73"/>
      <c r="K100" s="73"/>
      <c r="L100" s="73"/>
      <c r="M100"/>
      <c r="N100"/>
      <c r="P100" s="113"/>
      <c r="Q100" s="113"/>
      <c r="R100" s="113"/>
      <c r="S100" s="113"/>
      <c r="T100" s="113"/>
    </row>
    <row r="101" spans="1:20" x14ac:dyDescent="0.2">
      <c r="D101" t="s">
        <v>140</v>
      </c>
      <c r="E101" s="220">
        <f ca="1">EI_IS_cotisations!G21</f>
        <v>143045.90852145836</v>
      </c>
      <c r="F101" s="72"/>
      <c r="G101" s="82"/>
      <c r="H101" s="73"/>
      <c r="I101" s="73"/>
      <c r="J101" s="73"/>
      <c r="K101" s="73"/>
      <c r="L101" s="73"/>
      <c r="M101"/>
      <c r="N101"/>
      <c r="P101" s="113"/>
      <c r="Q101" s="113"/>
      <c r="R101" s="113"/>
      <c r="S101" s="113"/>
      <c r="T101" s="113"/>
    </row>
    <row r="102" spans="1:20" x14ac:dyDescent="0.2">
      <c r="F102" s="72"/>
      <c r="G102" s="82"/>
      <c r="H102" s="73"/>
      <c r="I102" s="73"/>
      <c r="J102" s="73"/>
      <c r="K102" s="73"/>
      <c r="L102" s="73"/>
      <c r="M102"/>
      <c r="N102"/>
      <c r="P102" s="113"/>
      <c r="Q102" s="113"/>
      <c r="R102" s="113"/>
      <c r="S102" s="113"/>
      <c r="T102" s="113"/>
    </row>
    <row r="103" spans="1:20" ht="13.5" thickBot="1" x14ac:dyDescent="0.25">
      <c r="F103" s="72"/>
      <c r="G103" s="82"/>
      <c r="H103" s="73"/>
      <c r="I103" s="73"/>
      <c r="J103" s="73"/>
      <c r="K103" s="73"/>
      <c r="L103" s="73"/>
      <c r="M103"/>
      <c r="N103"/>
      <c r="P103" s="113"/>
      <c r="Q103" s="113"/>
      <c r="R103" s="113"/>
      <c r="S103" s="113"/>
      <c r="T103" s="113"/>
    </row>
    <row r="104" spans="1:20" ht="14.25" thickTop="1" thickBot="1" x14ac:dyDescent="0.25">
      <c r="B104" s="111" t="s">
        <v>341</v>
      </c>
      <c r="D104" s="108" t="s">
        <v>20</v>
      </c>
      <c r="E104" s="230">
        <v>2769</v>
      </c>
      <c r="F104" s="73"/>
      <c r="G104" s="73"/>
      <c r="H104" s="73"/>
      <c r="I104" s="73"/>
      <c r="J104" s="73"/>
      <c r="K104" s="73"/>
      <c r="L104" s="73"/>
      <c r="M104"/>
      <c r="N104"/>
      <c r="P104" s="113"/>
      <c r="Q104" s="113"/>
      <c r="R104" s="113"/>
      <c r="S104" s="113"/>
      <c r="T104" s="113"/>
    </row>
    <row r="105" spans="1:20" ht="14.25" thickTop="1" thickBot="1" x14ac:dyDescent="0.25">
      <c r="D105" s="72"/>
      <c r="E105" s="77"/>
      <c r="F105" s="73"/>
      <c r="G105" s="73"/>
      <c r="H105" s="73"/>
      <c r="I105" s="73"/>
      <c r="J105" s="73"/>
      <c r="K105" s="73"/>
      <c r="L105" s="73"/>
      <c r="M105"/>
      <c r="N105"/>
      <c r="P105" s="113"/>
      <c r="Q105" s="113"/>
      <c r="R105" s="113"/>
      <c r="S105" s="113"/>
      <c r="T105" s="113"/>
    </row>
    <row r="106" spans="1:20" ht="14.25" thickTop="1" thickBot="1" x14ac:dyDescent="0.25">
      <c r="B106" s="111" t="s">
        <v>342</v>
      </c>
      <c r="D106" s="108" t="s">
        <v>196</v>
      </c>
      <c r="E106" s="116">
        <f ca="1">G109*F109</f>
        <v>11510.552857535315</v>
      </c>
      <c r="H106" s="73"/>
      <c r="I106" s="73"/>
      <c r="J106" s="73"/>
      <c r="K106" s="73"/>
      <c r="L106" s="73"/>
      <c r="M106"/>
      <c r="N106"/>
      <c r="P106" s="113"/>
      <c r="Q106" s="113"/>
      <c r="R106" s="113"/>
      <c r="S106" s="113"/>
      <c r="T106" s="113"/>
    </row>
    <row r="107" spans="1:20" ht="13.5" thickTop="1" x14ac:dyDescent="0.2">
      <c r="D107" s="72"/>
      <c r="E107" s="123" t="s">
        <v>381</v>
      </c>
      <c r="F107" t="s">
        <v>207</v>
      </c>
      <c r="G107" t="s">
        <v>19</v>
      </c>
      <c r="H107" s="73"/>
      <c r="I107" s="73"/>
      <c r="J107" s="73"/>
      <c r="K107" s="73"/>
      <c r="L107" s="73"/>
      <c r="M107"/>
      <c r="N107"/>
      <c r="P107" s="113"/>
      <c r="Q107" s="113"/>
      <c r="R107" s="113"/>
      <c r="S107" s="113"/>
      <c r="T107" s="113"/>
    </row>
    <row r="108" spans="1:20" x14ac:dyDescent="0.2">
      <c r="D108" s="77"/>
      <c r="E108" s="234">
        <f>0.85*E2</f>
        <v>34965.599999999999</v>
      </c>
      <c r="F108" s="79">
        <v>0</v>
      </c>
      <c r="G108" s="106">
        <f>E108*F108</f>
        <v>0</v>
      </c>
      <c r="H108" s="73"/>
      <c r="I108" s="73"/>
      <c r="J108" s="73"/>
      <c r="K108" s="73"/>
      <c r="L108" s="73"/>
      <c r="M108"/>
      <c r="N108"/>
      <c r="P108" s="113"/>
      <c r="Q108" s="113"/>
      <c r="R108" s="113"/>
      <c r="S108" s="113"/>
      <c r="T108" s="113"/>
    </row>
    <row r="109" spans="1:20" x14ac:dyDescent="0.2">
      <c r="D109" s="77"/>
      <c r="E109" s="234">
        <f>5*E2</f>
        <v>205680</v>
      </c>
      <c r="F109" s="79">
        <v>0.1065</v>
      </c>
      <c r="G109" s="106">
        <f ca="1">MIN(E109,E101)-E108</f>
        <v>108080.30852145836</v>
      </c>
      <c r="H109" s="73"/>
      <c r="I109" s="73"/>
      <c r="J109" s="73"/>
      <c r="K109" s="73"/>
      <c r="L109" s="73"/>
      <c r="M109"/>
      <c r="N109"/>
      <c r="P109" s="113"/>
      <c r="Q109" s="113"/>
      <c r="R109" s="113"/>
      <c r="S109" s="113"/>
      <c r="T109" s="113"/>
    </row>
    <row r="110" spans="1:20" x14ac:dyDescent="0.2">
      <c r="D110" s="110"/>
      <c r="H110" s="73"/>
      <c r="I110" s="73"/>
      <c r="J110" s="73"/>
      <c r="K110" s="73"/>
      <c r="L110" s="73"/>
      <c r="M110"/>
      <c r="N110"/>
      <c r="P110" s="113"/>
      <c r="Q110" s="113"/>
      <c r="R110" s="113"/>
      <c r="S110" s="113"/>
      <c r="T110" s="113"/>
    </row>
    <row r="111" spans="1:20" ht="13.5" thickBot="1" x14ac:dyDescent="0.25">
      <c r="D111" s="72"/>
      <c r="E111" s="77"/>
      <c r="F111" s="73"/>
      <c r="G111" s="73"/>
      <c r="H111" s="73"/>
      <c r="I111" s="73"/>
      <c r="J111" s="73"/>
      <c r="K111" s="73"/>
      <c r="L111" s="73"/>
      <c r="M111"/>
      <c r="N111"/>
      <c r="P111" s="113"/>
      <c r="Q111" s="113"/>
      <c r="R111" s="113"/>
      <c r="S111" s="113"/>
      <c r="T111" s="113"/>
    </row>
    <row r="112" spans="1:20" ht="14.25" thickTop="1" thickBot="1" x14ac:dyDescent="0.25">
      <c r="B112" s="111" t="s">
        <v>423</v>
      </c>
      <c r="D112" s="108" t="s">
        <v>23</v>
      </c>
      <c r="E112" s="116">
        <f ca="1">MIN(E114*E101,F114)</f>
        <v>205.68</v>
      </c>
      <c r="F112" s="73"/>
      <c r="G112" s="73"/>
      <c r="H112" s="73"/>
      <c r="I112" s="73"/>
      <c r="J112" s="73"/>
      <c r="K112" s="73"/>
      <c r="L112" s="73"/>
      <c r="M112"/>
      <c r="N112"/>
      <c r="P112" s="113"/>
      <c r="Q112" s="113"/>
      <c r="R112" s="113"/>
      <c r="S112" s="113"/>
      <c r="T112" s="113"/>
    </row>
    <row r="113" spans="2:20" ht="14.25" thickTop="1" thickBot="1" x14ac:dyDescent="0.25">
      <c r="D113" s="72"/>
      <c r="F113" s="77" t="s">
        <v>241</v>
      </c>
      <c r="G113" s="73"/>
      <c r="H113" s="73"/>
      <c r="I113" s="73"/>
      <c r="J113" s="73"/>
      <c r="K113" s="73"/>
      <c r="L113" s="73"/>
      <c r="M113"/>
      <c r="N113"/>
      <c r="P113" s="113"/>
      <c r="Q113" s="113"/>
      <c r="R113" s="113"/>
      <c r="S113" s="113"/>
      <c r="T113" s="113"/>
    </row>
    <row r="114" spans="2:20" ht="14.25" thickTop="1" thickBot="1" x14ac:dyDescent="0.25">
      <c r="D114" s="73" t="s">
        <v>207</v>
      </c>
      <c r="E114" s="235">
        <v>3.0000000000000001E-3</v>
      </c>
      <c r="F114" s="80">
        <f>E2*0.5%</f>
        <v>205.68</v>
      </c>
      <c r="G114" s="109"/>
      <c r="H114" s="73"/>
      <c r="I114" s="73"/>
      <c r="J114" s="73"/>
      <c r="K114" s="73"/>
      <c r="L114" s="73"/>
      <c r="M114"/>
      <c r="N114"/>
      <c r="P114" s="113"/>
      <c r="Q114" s="113"/>
      <c r="R114" s="113"/>
      <c r="S114" s="113"/>
      <c r="T114" s="113"/>
    </row>
    <row r="115" spans="2:20" ht="13.5" thickTop="1" x14ac:dyDescent="0.2">
      <c r="D115" s="111"/>
      <c r="F115" s="111"/>
      <c r="G115" s="111"/>
      <c r="H115" s="73"/>
      <c r="I115" s="73"/>
      <c r="J115" s="73"/>
      <c r="K115" s="73"/>
      <c r="L115" s="73"/>
      <c r="M115"/>
      <c r="N115"/>
      <c r="P115" s="113"/>
      <c r="Q115" s="113"/>
      <c r="R115" s="113"/>
      <c r="S115" s="113"/>
      <c r="T115" s="113"/>
    </row>
    <row r="116" spans="2:20" ht="13.5" thickBot="1" x14ac:dyDescent="0.25">
      <c r="D116" s="72"/>
      <c r="E116" s="77"/>
      <c r="F116" s="73"/>
      <c r="G116" s="73"/>
      <c r="H116" s="73"/>
      <c r="I116" s="73"/>
      <c r="J116" s="73"/>
      <c r="K116" s="73"/>
      <c r="L116" s="73"/>
      <c r="M116"/>
      <c r="N116"/>
      <c r="P116" s="113"/>
      <c r="Q116" s="113"/>
      <c r="R116" s="113"/>
      <c r="S116" s="113"/>
      <c r="T116" s="113"/>
    </row>
    <row r="117" spans="2:20" ht="14.25" thickTop="1" thickBot="1" x14ac:dyDescent="0.25">
      <c r="B117" s="111" t="s">
        <v>343</v>
      </c>
      <c r="D117" s="108" t="s">
        <v>203</v>
      </c>
      <c r="E117" s="230">
        <v>1466</v>
      </c>
      <c r="F117" s="73"/>
      <c r="G117" s="73"/>
      <c r="H117" s="73"/>
      <c r="I117" s="73"/>
      <c r="J117" s="73"/>
      <c r="K117" s="73"/>
      <c r="L117" s="73"/>
      <c r="M117"/>
      <c r="N117"/>
      <c r="P117" s="113"/>
      <c r="Q117" s="113"/>
      <c r="R117" s="113"/>
      <c r="S117" s="113"/>
      <c r="T117" s="113"/>
    </row>
    <row r="118" spans="2:20" ht="14.25" thickTop="1" thickBot="1" x14ac:dyDescent="0.25">
      <c r="D118" s="111"/>
      <c r="F118" s="111"/>
      <c r="G118" s="111"/>
      <c r="H118" s="73"/>
      <c r="I118" s="73"/>
      <c r="J118" s="73"/>
      <c r="K118" s="73"/>
      <c r="L118" s="73"/>
      <c r="M118"/>
      <c r="N118"/>
      <c r="P118" s="113"/>
      <c r="Q118" s="113"/>
      <c r="R118" s="113"/>
      <c r="S118" s="113"/>
      <c r="T118" s="113"/>
    </row>
    <row r="119" spans="2:20" ht="14.25" thickTop="1" thickBot="1" x14ac:dyDescent="0.25">
      <c r="B119" s="111" t="s">
        <v>344</v>
      </c>
      <c r="D119" s="108" t="s">
        <v>204</v>
      </c>
      <c r="E119" s="236">
        <f ca="1">MIN(E47,5*E2)*E121</f>
        <v>1037.0828367805732</v>
      </c>
      <c r="F119" s="73"/>
      <c r="G119" s="73"/>
      <c r="H119" s="73"/>
      <c r="I119" s="73"/>
      <c r="J119" s="73"/>
      <c r="K119" s="73"/>
      <c r="L119" s="73"/>
      <c r="M119"/>
      <c r="N119"/>
      <c r="P119" s="113"/>
      <c r="Q119" s="113"/>
      <c r="R119" s="113"/>
      <c r="S119" s="113"/>
      <c r="T119" s="113"/>
    </row>
    <row r="120" spans="2:20" ht="13.5" thickTop="1" x14ac:dyDescent="0.2">
      <c r="D120" s="72"/>
      <c r="E120" s="77"/>
      <c r="F120" s="73"/>
      <c r="G120" s="73"/>
      <c r="H120" s="73"/>
      <c r="I120" s="73"/>
      <c r="J120" s="73"/>
      <c r="K120" s="73"/>
      <c r="L120" s="73"/>
      <c r="M120"/>
      <c r="N120"/>
      <c r="P120" s="113"/>
      <c r="Q120" s="113"/>
      <c r="R120" s="113"/>
      <c r="S120" s="113"/>
      <c r="T120" s="113"/>
    </row>
    <row r="121" spans="2:20" x14ac:dyDescent="0.2">
      <c r="D121" t="s">
        <v>207</v>
      </c>
      <c r="E121" s="237">
        <v>7.2500000000000004E-3</v>
      </c>
      <c r="G121" s="73"/>
      <c r="H121" s="73"/>
      <c r="I121" s="73"/>
      <c r="J121" s="73"/>
      <c r="K121" s="73"/>
      <c r="L121" s="73"/>
      <c r="M121"/>
      <c r="N121"/>
      <c r="P121" s="113"/>
      <c r="Q121" s="113"/>
      <c r="R121" s="113"/>
      <c r="S121" s="113"/>
      <c r="T121" s="113"/>
    </row>
    <row r="122" spans="2:20" x14ac:dyDescent="0.2">
      <c r="D122" s="72"/>
      <c r="F122" s="73"/>
      <c r="G122" s="73"/>
      <c r="H122" s="73"/>
      <c r="I122" s="73"/>
      <c r="J122" s="73"/>
      <c r="K122" s="73"/>
      <c r="L122" s="73"/>
      <c r="M122"/>
      <c r="N122"/>
      <c r="P122" s="113"/>
      <c r="Q122" s="113"/>
      <c r="R122" s="113"/>
      <c r="S122" s="113"/>
      <c r="T122" s="113"/>
    </row>
    <row r="123" spans="2:20" ht="13.5" thickBot="1" x14ac:dyDescent="0.25">
      <c r="D123" s="73"/>
      <c r="E123" s="77"/>
      <c r="F123" s="73"/>
      <c r="G123" s="73"/>
      <c r="H123" s="73"/>
      <c r="I123" s="73"/>
      <c r="J123" s="73"/>
      <c r="K123" s="73"/>
      <c r="L123" s="73"/>
      <c r="M123"/>
      <c r="N123"/>
      <c r="P123" s="113"/>
      <c r="Q123" s="113"/>
      <c r="R123" s="113"/>
      <c r="S123" s="113"/>
      <c r="T123" s="113"/>
    </row>
    <row r="124" spans="2:20" ht="14.25" thickTop="1" thickBot="1" x14ac:dyDescent="0.25">
      <c r="B124" s="111" t="s">
        <v>345</v>
      </c>
      <c r="D124" s="108" t="s">
        <v>54</v>
      </c>
      <c r="E124" s="230">
        <v>1160</v>
      </c>
      <c r="F124" s="73"/>
      <c r="G124" s="73"/>
      <c r="H124" s="73"/>
      <c r="I124" s="73"/>
      <c r="J124" s="73"/>
      <c r="K124" s="73"/>
      <c r="L124" s="73"/>
      <c r="M124"/>
      <c r="N124"/>
      <c r="P124" s="113"/>
      <c r="Q124" s="113"/>
      <c r="R124" s="113"/>
      <c r="S124" s="113"/>
      <c r="T124" s="113"/>
    </row>
    <row r="125" spans="2:20" ht="13.5" thickTop="1" x14ac:dyDescent="0.2">
      <c r="D125" s="111"/>
      <c r="F125" s="111"/>
      <c r="G125" s="111"/>
      <c r="H125" s="73"/>
      <c r="I125" s="73"/>
      <c r="J125" s="73"/>
      <c r="K125" s="73"/>
      <c r="L125" s="73"/>
      <c r="M125"/>
      <c r="N125"/>
      <c r="O125" s="111"/>
      <c r="P125" s="113"/>
      <c r="Q125" s="113"/>
      <c r="R125" s="113"/>
      <c r="S125" s="113"/>
      <c r="T125" s="113"/>
    </row>
    <row r="126" spans="2:20" x14ac:dyDescent="0.2">
      <c r="D126" s="111"/>
      <c r="F126" s="111"/>
      <c r="G126" s="111"/>
      <c r="H126" s="73"/>
      <c r="I126" s="73"/>
      <c r="J126" s="73"/>
      <c r="K126" s="73"/>
      <c r="L126" s="73"/>
      <c r="M126"/>
      <c r="N126"/>
      <c r="O126" s="111"/>
      <c r="P126" s="113"/>
      <c r="Q126" s="113"/>
      <c r="R126" s="113"/>
      <c r="S126" s="113"/>
      <c r="T126" s="113"/>
    </row>
    <row r="127" spans="2:20" x14ac:dyDescent="0.2">
      <c r="D127" s="111"/>
      <c r="F127" s="111"/>
      <c r="G127" s="111"/>
      <c r="H127" s="73"/>
      <c r="I127" s="73"/>
      <c r="J127" s="73"/>
      <c r="K127" s="73"/>
      <c r="L127" s="73"/>
      <c r="M127"/>
      <c r="N127"/>
      <c r="O127" s="111"/>
      <c r="P127" s="113"/>
      <c r="Q127" s="113"/>
      <c r="R127" s="113"/>
      <c r="S127" s="113"/>
      <c r="T127" s="113"/>
    </row>
    <row r="128" spans="2:20" ht="13.5" thickBot="1" x14ac:dyDescent="0.25">
      <c r="D128" s="111"/>
      <c r="F128" s="111"/>
      <c r="G128" s="111"/>
      <c r="H128" s="73"/>
      <c r="I128" s="73"/>
      <c r="J128" s="73"/>
      <c r="K128" s="73"/>
      <c r="L128" s="73"/>
      <c r="M128"/>
      <c r="N128"/>
      <c r="O128" s="111"/>
      <c r="P128" s="113"/>
      <c r="Q128" s="113"/>
      <c r="R128" s="113"/>
      <c r="S128" s="113"/>
      <c r="T128" s="113"/>
    </row>
    <row r="129" spans="1:20" ht="14.25" thickTop="1" thickBot="1" x14ac:dyDescent="0.25">
      <c r="B129" s="111" t="s">
        <v>346</v>
      </c>
      <c r="D129" s="108" t="s">
        <v>205</v>
      </c>
      <c r="E129" s="230"/>
      <c r="F129" s="73"/>
      <c r="G129" s="73"/>
      <c r="H129" s="73"/>
      <c r="I129" s="73"/>
      <c r="J129" s="73"/>
      <c r="K129" s="73"/>
      <c r="L129" s="73"/>
      <c r="M129"/>
      <c r="N129"/>
      <c r="P129" s="113"/>
      <c r="Q129" s="113"/>
      <c r="R129" s="113"/>
      <c r="S129" s="113"/>
      <c r="T129" s="113"/>
    </row>
    <row r="130" spans="1:20" ht="13.5" thickTop="1" x14ac:dyDescent="0.2">
      <c r="D130" s="73"/>
      <c r="E130" s="77"/>
      <c r="F130" s="73"/>
      <c r="G130" s="73"/>
      <c r="H130" s="73"/>
      <c r="I130" s="73"/>
      <c r="J130" s="73"/>
      <c r="K130" s="73"/>
      <c r="L130" s="73"/>
      <c r="M130"/>
      <c r="N130"/>
      <c r="P130" s="113"/>
      <c r="Q130" s="113"/>
      <c r="R130" s="113"/>
      <c r="S130" s="113"/>
      <c r="T130" s="113"/>
    </row>
    <row r="131" spans="1:20" x14ac:dyDescent="0.2">
      <c r="D131" s="73"/>
      <c r="E131" s="77"/>
      <c r="F131" s="73"/>
      <c r="G131" s="73"/>
      <c r="H131" s="73"/>
      <c r="I131" s="73"/>
      <c r="J131" s="73"/>
      <c r="K131" s="73"/>
      <c r="L131" s="73"/>
      <c r="M131"/>
      <c r="N131"/>
      <c r="P131" s="113"/>
      <c r="Q131" s="113"/>
      <c r="R131" s="113"/>
      <c r="S131" s="113"/>
      <c r="T131" s="113"/>
    </row>
    <row r="132" spans="1:20" x14ac:dyDescent="0.2">
      <c r="D132" s="73"/>
      <c r="E132" s="238">
        <f ca="1">+E104+E106+E112+E117+E119+E129</f>
        <v>16988.315694315887</v>
      </c>
      <c r="F132" s="73"/>
      <c r="G132" s="73"/>
      <c r="H132" s="73"/>
      <c r="I132" s="73"/>
      <c r="J132" s="73"/>
      <c r="K132" s="73"/>
      <c r="L132" s="73"/>
      <c r="M132"/>
      <c r="N132"/>
      <c r="P132" s="113"/>
      <c r="Q132" s="113"/>
      <c r="R132" s="113"/>
      <c r="S132" s="113"/>
      <c r="T132" s="113"/>
    </row>
    <row r="133" spans="1:20" x14ac:dyDescent="0.2">
      <c r="D133" s="73"/>
      <c r="E133" s="77"/>
      <c r="F133" s="73"/>
      <c r="G133" s="73"/>
      <c r="H133" s="73"/>
      <c r="I133" s="73"/>
      <c r="J133" s="73"/>
      <c r="K133" s="73"/>
      <c r="L133" s="73"/>
      <c r="M133"/>
      <c r="N133"/>
      <c r="P133" s="113"/>
      <c r="Q133" s="113"/>
      <c r="R133" s="113"/>
      <c r="S133" s="113"/>
      <c r="T133" s="113"/>
    </row>
    <row r="134" spans="1:20" x14ac:dyDescent="0.2">
      <c r="D134" s="73"/>
      <c r="E134" s="77"/>
      <c r="F134" s="73"/>
      <c r="G134" s="73"/>
      <c r="H134" s="73"/>
      <c r="I134" s="73"/>
      <c r="J134" s="73"/>
      <c r="K134" s="73"/>
      <c r="L134" s="73"/>
      <c r="M134"/>
      <c r="N134"/>
      <c r="P134" s="113"/>
      <c r="Q134" s="113"/>
      <c r="R134" s="113"/>
      <c r="S134" s="113"/>
      <c r="T134" s="113"/>
    </row>
    <row r="135" spans="1:20" x14ac:dyDescent="0.2">
      <c r="A135" s="209"/>
      <c r="B135" s="209"/>
      <c r="C135" s="209"/>
      <c r="D135" s="210"/>
      <c r="E135" s="209"/>
      <c r="F135" s="210"/>
      <c r="G135" s="210"/>
      <c r="H135" s="210"/>
      <c r="I135" s="210"/>
      <c r="J135" s="210"/>
      <c r="K135" s="210"/>
      <c r="L135" s="210"/>
      <c r="M135"/>
      <c r="N135"/>
      <c r="P135" s="113"/>
      <c r="Q135" s="113"/>
      <c r="R135" s="113"/>
      <c r="S135" s="113"/>
      <c r="T135" s="113"/>
    </row>
    <row r="136" spans="1:20" x14ac:dyDescent="0.2">
      <c r="A136" s="111" t="s">
        <v>35</v>
      </c>
      <c r="D136" s="73" t="s">
        <v>35</v>
      </c>
      <c r="E136" s="111" t="s">
        <v>328</v>
      </c>
      <c r="F136" s="73"/>
      <c r="G136" s="73"/>
      <c r="H136" s="73"/>
      <c r="I136" s="73"/>
      <c r="J136" s="73"/>
      <c r="K136" s="73"/>
      <c r="L136" s="73"/>
      <c r="M136"/>
      <c r="N136"/>
      <c r="P136" s="113"/>
      <c r="Q136" s="113"/>
      <c r="R136" s="113"/>
      <c r="S136" s="113"/>
      <c r="T136" s="113"/>
    </row>
    <row r="137" spans="1:20" x14ac:dyDescent="0.2">
      <c r="A137" s="111">
        <v>15</v>
      </c>
      <c r="D137" s="73"/>
      <c r="F137" s="73"/>
      <c r="G137" s="73"/>
      <c r="H137" s="73"/>
      <c r="I137" s="73"/>
      <c r="J137" s="73"/>
      <c r="K137" s="73"/>
      <c r="L137" s="73"/>
      <c r="M137"/>
      <c r="N137"/>
      <c r="P137" s="113"/>
      <c r="Q137" s="113"/>
      <c r="R137" s="113"/>
      <c r="S137" s="113"/>
      <c r="T137" s="113"/>
    </row>
    <row r="138" spans="1:20" x14ac:dyDescent="0.2">
      <c r="D138" t="s">
        <v>140</v>
      </c>
      <c r="E138" s="220">
        <f ca="1">EI_IS_cotisations!G21</f>
        <v>143045.90852145836</v>
      </c>
      <c r="F138" s="72"/>
      <c r="G138" s="82"/>
      <c r="M138"/>
      <c r="N138"/>
      <c r="P138" s="113"/>
      <c r="Q138" s="113"/>
      <c r="R138" s="113"/>
      <c r="S138" s="113"/>
      <c r="T138" s="113"/>
    </row>
    <row r="139" spans="1:20" x14ac:dyDescent="0.2">
      <c r="F139" s="72"/>
      <c r="G139" s="82"/>
      <c r="M139"/>
      <c r="N139"/>
      <c r="P139" s="113"/>
      <c r="Q139" s="113"/>
      <c r="R139" s="113"/>
      <c r="S139" s="113"/>
      <c r="T139" s="113"/>
    </row>
    <row r="140" spans="1:20" ht="13.5" thickBot="1" x14ac:dyDescent="0.25">
      <c r="F140" s="72"/>
      <c r="G140" s="82"/>
      <c r="M140"/>
      <c r="N140"/>
      <c r="P140" s="113"/>
      <c r="Q140" s="113"/>
      <c r="R140" s="113"/>
      <c r="S140" s="113"/>
      <c r="T140" s="113"/>
    </row>
    <row r="141" spans="1:20" ht="14.25" thickTop="1" thickBot="1" x14ac:dyDescent="0.25">
      <c r="B141" s="111" t="s">
        <v>349</v>
      </c>
      <c r="D141" s="108" t="s">
        <v>20</v>
      </c>
      <c r="E141" s="230">
        <v>2769</v>
      </c>
      <c r="F141" s="73"/>
      <c r="G141" s="73"/>
      <c r="H141" s="73"/>
      <c r="I141" s="73"/>
      <c r="J141" s="73"/>
      <c r="K141" s="73"/>
      <c r="L141" s="73"/>
      <c r="M141"/>
      <c r="N141"/>
      <c r="P141" s="113"/>
      <c r="Q141" s="113"/>
      <c r="R141" s="113"/>
      <c r="S141" s="113"/>
      <c r="T141" s="113"/>
    </row>
    <row r="142" spans="1:20" ht="14.25" thickTop="1" thickBot="1" x14ac:dyDescent="0.25">
      <c r="D142" s="72"/>
      <c r="E142" s="77"/>
      <c r="F142" s="73"/>
      <c r="G142" s="73"/>
      <c r="H142" s="73"/>
      <c r="I142" s="73"/>
      <c r="J142" s="73"/>
      <c r="K142" s="73"/>
      <c r="L142" s="73"/>
      <c r="M142"/>
      <c r="N142"/>
      <c r="P142" s="113"/>
      <c r="Q142" s="113"/>
      <c r="R142" s="113"/>
      <c r="S142" s="113"/>
      <c r="T142" s="113"/>
    </row>
    <row r="143" spans="1:20" ht="14.25" thickTop="1" thickBot="1" x14ac:dyDescent="0.25">
      <c r="B143" s="111" t="s">
        <v>350</v>
      </c>
      <c r="D143" s="108" t="s">
        <v>196</v>
      </c>
      <c r="E143" s="116">
        <f ca="1">G146*F146</f>
        <v>11510.552857535315</v>
      </c>
      <c r="M143"/>
      <c r="N143"/>
      <c r="P143" s="113"/>
      <c r="Q143" s="113"/>
      <c r="R143" s="113"/>
      <c r="S143" s="113"/>
      <c r="T143" s="113"/>
    </row>
    <row r="144" spans="1:20" ht="13.5" thickTop="1" x14ac:dyDescent="0.2">
      <c r="D144" s="72"/>
      <c r="E144" s="123" t="s">
        <v>381</v>
      </c>
      <c r="F144" t="s">
        <v>207</v>
      </c>
      <c r="G144" t="s">
        <v>19</v>
      </c>
      <c r="M144"/>
      <c r="N144"/>
      <c r="P144" s="113"/>
      <c r="Q144" s="113"/>
      <c r="R144" s="113"/>
      <c r="S144" s="113"/>
      <c r="T144" s="113"/>
    </row>
    <row r="145" spans="2:20" x14ac:dyDescent="0.2">
      <c r="D145" s="77"/>
      <c r="E145" s="234">
        <f>0.85*E2</f>
        <v>34965.599999999999</v>
      </c>
      <c r="F145" s="79">
        <v>0</v>
      </c>
      <c r="G145" s="106">
        <f>E145*F145</f>
        <v>0</v>
      </c>
      <c r="M145"/>
      <c r="N145"/>
      <c r="P145" s="113"/>
      <c r="Q145" s="113"/>
      <c r="R145" s="113"/>
      <c r="S145" s="113"/>
      <c r="T145" s="113"/>
    </row>
    <row r="146" spans="2:20" x14ac:dyDescent="0.2">
      <c r="D146" s="77"/>
      <c r="E146" s="234">
        <f>5*E2</f>
        <v>205680</v>
      </c>
      <c r="F146" s="79">
        <v>0.1065</v>
      </c>
      <c r="G146" s="106">
        <f ca="1">MIN(E146,E138)-E145</f>
        <v>108080.30852145836</v>
      </c>
      <c r="H146" s="106"/>
      <c r="I146" s="106"/>
      <c r="J146" s="106"/>
      <c r="K146" s="106"/>
      <c r="L146" s="106"/>
      <c r="M146"/>
      <c r="N146"/>
      <c r="P146" s="113"/>
      <c r="Q146" s="113"/>
      <c r="R146" s="113"/>
      <c r="S146" s="113"/>
      <c r="T146" s="113"/>
    </row>
    <row r="147" spans="2:20" x14ac:dyDescent="0.2">
      <c r="D147" s="110"/>
      <c r="M147"/>
      <c r="N147"/>
      <c r="P147" s="113"/>
      <c r="Q147" s="113"/>
      <c r="R147" s="113"/>
      <c r="S147" s="113"/>
      <c r="T147" s="113"/>
    </row>
    <row r="148" spans="2:20" ht="13.5" thickBot="1" x14ac:dyDescent="0.25">
      <c r="D148" s="72"/>
      <c r="E148" s="77"/>
      <c r="F148" s="73"/>
      <c r="G148" s="73"/>
      <c r="H148" s="73"/>
      <c r="I148" s="73"/>
      <c r="J148" s="73"/>
      <c r="K148" s="73"/>
      <c r="L148" s="73"/>
      <c r="M148"/>
      <c r="N148"/>
      <c r="P148" s="113"/>
      <c r="Q148" s="113"/>
      <c r="R148" s="113"/>
      <c r="S148" s="113"/>
      <c r="T148" s="113"/>
    </row>
    <row r="149" spans="2:20" ht="14.25" thickTop="1" thickBot="1" x14ac:dyDescent="0.25">
      <c r="B149" s="111" t="s">
        <v>354</v>
      </c>
      <c r="D149" s="108" t="s">
        <v>23</v>
      </c>
      <c r="E149" s="116">
        <f ca="1">MIN(F151,E151*E138)</f>
        <v>143.04590852145836</v>
      </c>
      <c r="F149" s="73"/>
      <c r="G149" s="73"/>
      <c r="H149" s="73"/>
      <c r="I149" s="73"/>
      <c r="J149" s="73"/>
      <c r="K149" s="73"/>
      <c r="L149" s="73"/>
      <c r="M149"/>
      <c r="N149"/>
      <c r="P149" s="113"/>
      <c r="Q149" s="113"/>
      <c r="R149" s="113"/>
      <c r="S149" s="113"/>
      <c r="T149" s="113"/>
    </row>
    <row r="150" spans="2:20" ht="14.25" thickTop="1" thickBot="1" x14ac:dyDescent="0.25">
      <c r="D150" s="72"/>
      <c r="F150" s="77" t="s">
        <v>241</v>
      </c>
      <c r="G150" s="73"/>
      <c r="H150" s="73"/>
      <c r="I150" s="73"/>
      <c r="J150" s="73"/>
      <c r="K150" s="73"/>
      <c r="L150" s="73"/>
      <c r="M150"/>
      <c r="N150"/>
      <c r="P150" s="113"/>
      <c r="Q150" s="113"/>
      <c r="R150" s="113"/>
      <c r="S150" s="113"/>
      <c r="T150" s="113"/>
    </row>
    <row r="151" spans="2:20" ht="14.25" thickTop="1" thickBot="1" x14ac:dyDescent="0.25">
      <c r="D151" s="73" t="s">
        <v>207</v>
      </c>
      <c r="E151" s="235">
        <v>1E-3</v>
      </c>
      <c r="F151" s="80">
        <f>E2*0.5%</f>
        <v>205.68</v>
      </c>
      <c r="G151" s="73"/>
      <c r="H151" s="73"/>
      <c r="I151" s="73"/>
      <c r="J151" s="73"/>
      <c r="K151" s="73"/>
      <c r="L151" s="73"/>
      <c r="M151"/>
      <c r="N151"/>
      <c r="P151" s="113"/>
      <c r="Q151" s="113"/>
      <c r="R151" s="113"/>
      <c r="S151" s="113"/>
      <c r="T151" s="113"/>
    </row>
    <row r="152" spans="2:20" ht="14.25" thickTop="1" thickBot="1" x14ac:dyDescent="0.25">
      <c r="D152" s="72"/>
      <c r="E152" s="77"/>
      <c r="F152" s="73"/>
      <c r="G152" s="73"/>
      <c r="H152" s="73"/>
      <c r="I152" s="73"/>
      <c r="J152" s="73"/>
      <c r="K152" s="73"/>
      <c r="L152" s="73"/>
      <c r="M152"/>
      <c r="N152"/>
      <c r="P152" s="113"/>
      <c r="Q152" s="113"/>
      <c r="R152" s="113"/>
      <c r="S152" s="113"/>
      <c r="T152" s="113"/>
    </row>
    <row r="153" spans="2:20" ht="14.25" thickTop="1" thickBot="1" x14ac:dyDescent="0.25">
      <c r="B153" s="111" t="s">
        <v>351</v>
      </c>
      <c r="D153" s="108" t="s">
        <v>203</v>
      </c>
      <c r="E153" s="230">
        <f>780/3</f>
        <v>260</v>
      </c>
      <c r="F153" s="73"/>
      <c r="G153" s="73"/>
      <c r="H153" s="73"/>
      <c r="I153" s="73"/>
      <c r="J153" s="73"/>
      <c r="K153" s="73"/>
      <c r="L153" s="73"/>
      <c r="M153"/>
      <c r="N153"/>
      <c r="P153" s="113"/>
      <c r="Q153" s="113"/>
      <c r="R153" s="113"/>
      <c r="S153" s="113"/>
      <c r="T153" s="113"/>
    </row>
    <row r="154" spans="2:20" ht="14.25" thickTop="1" thickBot="1" x14ac:dyDescent="0.25">
      <c r="D154" s="73"/>
      <c r="E154" s="77"/>
      <c r="F154" s="73"/>
      <c r="G154" s="73"/>
      <c r="H154" s="73"/>
      <c r="I154" s="73"/>
      <c r="J154" s="73"/>
      <c r="K154" s="73"/>
      <c r="L154" s="73"/>
      <c r="M154"/>
      <c r="N154"/>
      <c r="P154" s="113"/>
      <c r="Q154" s="113"/>
      <c r="R154" s="113"/>
      <c r="S154" s="113"/>
      <c r="T154" s="113"/>
    </row>
    <row r="155" spans="2:20" ht="14.25" thickTop="1" thickBot="1" x14ac:dyDescent="0.25">
      <c r="B155" s="111" t="s">
        <v>352</v>
      </c>
      <c r="D155" s="108" t="s">
        <v>54</v>
      </c>
      <c r="E155" s="230">
        <v>260</v>
      </c>
      <c r="F155" s="73"/>
      <c r="G155" s="73"/>
      <c r="H155" s="73"/>
      <c r="I155" s="73"/>
      <c r="J155" s="73"/>
      <c r="K155" s="73"/>
      <c r="L155" s="73"/>
      <c r="M155"/>
      <c r="N155"/>
      <c r="P155" s="113"/>
      <c r="Q155" s="113"/>
      <c r="R155" s="113"/>
      <c r="S155" s="113"/>
      <c r="T155" s="113"/>
    </row>
    <row r="156" spans="2:20" ht="14.25" thickTop="1" thickBot="1" x14ac:dyDescent="0.25">
      <c r="D156" s="73"/>
      <c r="E156" s="77"/>
      <c r="F156" s="73"/>
      <c r="G156" s="73"/>
      <c r="H156" s="73"/>
      <c r="I156" s="73"/>
      <c r="J156" s="73"/>
      <c r="K156" s="73"/>
      <c r="L156" s="73"/>
      <c r="M156"/>
      <c r="N156"/>
      <c r="P156" s="113"/>
      <c r="Q156" s="113"/>
      <c r="R156" s="113"/>
      <c r="S156" s="113"/>
      <c r="T156" s="113"/>
    </row>
    <row r="157" spans="2:20" ht="14.25" thickTop="1" thickBot="1" x14ac:dyDescent="0.25">
      <c r="B157" s="111" t="s">
        <v>353</v>
      </c>
      <c r="D157" s="108" t="s">
        <v>205</v>
      </c>
      <c r="E157" s="230">
        <v>0</v>
      </c>
      <c r="F157" s="73"/>
      <c r="G157" s="73"/>
      <c r="H157" s="73"/>
      <c r="I157" s="73"/>
      <c r="J157" s="73"/>
      <c r="K157" s="73"/>
      <c r="L157" s="73"/>
      <c r="M157"/>
      <c r="N157"/>
      <c r="P157" s="113"/>
      <c r="Q157" s="113"/>
      <c r="R157" s="113"/>
      <c r="S157" s="113"/>
      <c r="T157" s="113"/>
    </row>
    <row r="158" spans="2:20" ht="13.5" thickTop="1" x14ac:dyDescent="0.2">
      <c r="D158" s="73"/>
      <c r="E158" s="77"/>
      <c r="F158" s="73"/>
      <c r="G158" s="73"/>
      <c r="H158" s="73"/>
      <c r="I158" s="73"/>
      <c r="J158" s="73"/>
      <c r="K158" s="73"/>
      <c r="L158" s="73"/>
      <c r="M158"/>
      <c r="N158"/>
      <c r="P158" s="113"/>
      <c r="Q158" s="113"/>
      <c r="R158" s="113"/>
      <c r="S158" s="113"/>
      <c r="T158" s="113"/>
    </row>
    <row r="159" spans="2:20" x14ac:dyDescent="0.2">
      <c r="D159" s="73"/>
      <c r="E159" s="77"/>
      <c r="F159" s="73"/>
      <c r="G159" s="73"/>
      <c r="H159" s="73"/>
      <c r="I159" s="73"/>
      <c r="J159" s="73"/>
      <c r="K159" s="73"/>
      <c r="L159" s="73"/>
      <c r="M159"/>
      <c r="N159"/>
      <c r="P159" s="113"/>
      <c r="Q159" s="113"/>
      <c r="R159" s="113"/>
      <c r="S159" s="113"/>
      <c r="T159" s="113"/>
    </row>
    <row r="160" spans="2:20" x14ac:dyDescent="0.2">
      <c r="D160" s="73"/>
      <c r="E160" s="238">
        <f ca="1">E141+E143+E149+E153+E155+E157</f>
        <v>14942.598766056773</v>
      </c>
      <c r="F160" s="73"/>
      <c r="G160" s="73"/>
      <c r="H160" s="73"/>
      <c r="I160" s="73"/>
      <c r="J160" s="73"/>
      <c r="K160" s="73"/>
      <c r="L160" s="73"/>
      <c r="M160"/>
      <c r="N160"/>
      <c r="P160" s="113"/>
      <c r="Q160" s="113"/>
      <c r="R160" s="113"/>
      <c r="S160" s="113"/>
      <c r="T160" s="113"/>
    </row>
    <row r="161" spans="1:20" x14ac:dyDescent="0.2">
      <c r="D161" s="73"/>
      <c r="E161" s="77"/>
      <c r="F161" s="73"/>
      <c r="G161" s="73"/>
      <c r="H161" s="73"/>
      <c r="I161" s="73"/>
      <c r="J161" s="73"/>
      <c r="K161" s="73"/>
      <c r="L161" s="73"/>
      <c r="M161"/>
      <c r="N161"/>
      <c r="P161" s="113"/>
      <c r="Q161" s="113"/>
      <c r="R161" s="113"/>
      <c r="S161" s="113"/>
      <c r="T161" s="113"/>
    </row>
    <row r="162" spans="1:20" x14ac:dyDescent="0.2">
      <c r="D162" s="73"/>
      <c r="E162" s="77"/>
      <c r="F162" s="73"/>
      <c r="G162" s="73"/>
      <c r="H162" s="73"/>
      <c r="I162" s="73"/>
      <c r="J162" s="73"/>
      <c r="K162" s="73"/>
      <c r="L162" s="73"/>
      <c r="M162"/>
      <c r="N162"/>
      <c r="P162" s="113"/>
      <c r="Q162" s="113"/>
      <c r="R162" s="113"/>
      <c r="S162" s="113"/>
      <c r="T162" s="113"/>
    </row>
    <row r="163" spans="1:20" x14ac:dyDescent="0.2">
      <c r="A163" s="209"/>
      <c r="B163" s="209"/>
      <c r="C163" s="209"/>
      <c r="D163" s="210"/>
      <c r="E163" s="209"/>
      <c r="F163" s="210"/>
      <c r="G163" s="210"/>
      <c r="H163" s="210"/>
      <c r="I163" s="210"/>
      <c r="J163" s="210"/>
      <c r="K163" s="210"/>
      <c r="L163" s="210"/>
      <c r="M163"/>
      <c r="N163"/>
      <c r="P163" s="113"/>
      <c r="Q163" s="113"/>
      <c r="R163" s="113"/>
      <c r="S163" s="113"/>
      <c r="T163" s="113"/>
    </row>
    <row r="164" spans="1:20" x14ac:dyDescent="0.2">
      <c r="D164" t="s">
        <v>208</v>
      </c>
      <c r="E164" s="111">
        <v>3</v>
      </c>
      <c r="M164"/>
      <c r="N164"/>
      <c r="P164" s="113"/>
      <c r="Q164" s="113"/>
      <c r="R164" s="113"/>
      <c r="S164" s="113"/>
      <c r="T164" s="113"/>
    </row>
    <row r="165" spans="1:20" x14ac:dyDescent="0.2">
      <c r="D165" t="s">
        <v>140</v>
      </c>
      <c r="E165" s="220">
        <f ca="1">EI_IS_cotisations!G21</f>
        <v>143045.90852145836</v>
      </c>
      <c r="M165"/>
      <c r="N165"/>
      <c r="P165" s="113"/>
      <c r="Q165" s="113"/>
      <c r="R165" s="113"/>
      <c r="S165" s="113"/>
      <c r="T165" s="113"/>
    </row>
    <row r="166" spans="1:20" ht="13.5" thickBot="1" x14ac:dyDescent="0.25">
      <c r="M166"/>
      <c r="N166"/>
      <c r="P166" s="113"/>
      <c r="Q166" s="113"/>
      <c r="R166" s="113"/>
      <c r="S166" s="113"/>
      <c r="T166" s="113"/>
    </row>
    <row r="167" spans="1:20" ht="14.25" thickTop="1" thickBot="1" x14ac:dyDescent="0.25">
      <c r="B167" s="111" t="s">
        <v>347</v>
      </c>
      <c r="D167" s="108" t="s">
        <v>198</v>
      </c>
      <c r="E167" s="116">
        <f ca="1">_xlfn.XLOOKUP(E165,E168:E175,F168:F175,,-1)</f>
        <v>20925</v>
      </c>
      <c r="M167"/>
      <c r="N167"/>
      <c r="P167" s="113"/>
      <c r="Q167" s="113"/>
      <c r="R167" s="113"/>
      <c r="S167" s="113"/>
      <c r="T167" s="113"/>
    </row>
    <row r="168" spans="1:20" ht="13.5" thickTop="1" x14ac:dyDescent="0.2">
      <c r="D168" s="73" t="str">
        <f>"&lt;"&amp;TEXT(E168,"#00 0")</f>
        <v>&lt;000</v>
      </c>
      <c r="E168" s="239">
        <v>0</v>
      </c>
      <c r="F168" s="87">
        <v>670</v>
      </c>
      <c r="L168" s="73"/>
      <c r="M168"/>
      <c r="N168"/>
      <c r="P168" s="113"/>
      <c r="Q168" s="113"/>
      <c r="R168" s="113"/>
      <c r="S168" s="113"/>
      <c r="T168" s="113"/>
    </row>
    <row r="169" spans="1:20" x14ac:dyDescent="0.2">
      <c r="D169" s="73" t="str">
        <f t="shared" ref="D169:D174" si="5">"&lt;"&amp;TEXT(E169,"#00 0")</f>
        <v>&lt;16 191</v>
      </c>
      <c r="E169" s="239">
        <v>16191</v>
      </c>
      <c r="F169" s="87">
        <v>2511</v>
      </c>
      <c r="L169" s="73"/>
      <c r="M169"/>
      <c r="N169"/>
      <c r="P169" s="113"/>
      <c r="Q169" s="113"/>
      <c r="R169" s="113"/>
      <c r="S169" s="113"/>
      <c r="T169" s="113"/>
    </row>
    <row r="170" spans="1:20" x14ac:dyDescent="0.2">
      <c r="D170" s="73" t="str">
        <f t="shared" si="5"/>
        <v>&lt;32 351</v>
      </c>
      <c r="E170" s="239">
        <v>32351</v>
      </c>
      <c r="F170" s="87">
        <v>3962</v>
      </c>
      <c r="L170" s="73"/>
      <c r="M170"/>
      <c r="N170"/>
      <c r="P170" s="113"/>
      <c r="Q170" s="113"/>
      <c r="R170" s="113"/>
      <c r="S170" s="113"/>
      <c r="T170" s="113"/>
    </row>
    <row r="171" spans="1:20" x14ac:dyDescent="0.2">
      <c r="D171" s="73" t="str">
        <f t="shared" si="5"/>
        <v>&lt;44 791</v>
      </c>
      <c r="E171" s="239">
        <v>44791</v>
      </c>
      <c r="F171" s="87">
        <v>6194</v>
      </c>
      <c r="L171" s="73"/>
      <c r="M171"/>
      <c r="N171"/>
    </row>
    <row r="172" spans="1:20" x14ac:dyDescent="0.2">
      <c r="D172" s="73" t="str">
        <f t="shared" si="5"/>
        <v>&lt;64 561</v>
      </c>
      <c r="E172" s="239">
        <v>64561</v>
      </c>
      <c r="F172" s="87">
        <v>9877</v>
      </c>
      <c r="J172" s="73"/>
      <c r="K172" s="73"/>
      <c r="L172" s="73"/>
      <c r="M172"/>
      <c r="N172"/>
    </row>
    <row r="173" spans="1:20" x14ac:dyDescent="0.2">
      <c r="D173" s="73" t="str">
        <f t="shared" si="5"/>
        <v>&lt;79 041</v>
      </c>
      <c r="E173" s="239">
        <v>79041</v>
      </c>
      <c r="F173" s="87">
        <v>15066</v>
      </c>
      <c r="J173" s="73"/>
      <c r="K173" s="73"/>
      <c r="L173" s="73"/>
      <c r="M173"/>
      <c r="N173"/>
    </row>
    <row r="174" spans="1:20" x14ac:dyDescent="0.2">
      <c r="D174" s="73" t="str">
        <f t="shared" si="5"/>
        <v>&lt;94 851</v>
      </c>
      <c r="E174" s="239">
        <v>94851</v>
      </c>
      <c r="F174" s="87">
        <v>16740</v>
      </c>
      <c r="J174" s="73"/>
      <c r="K174" s="73"/>
      <c r="L174" s="73"/>
      <c r="M174"/>
      <c r="N174"/>
    </row>
    <row r="175" spans="1:20" x14ac:dyDescent="0.2">
      <c r="D175" s="73" t="str">
        <f>TEXT(E175,"000 0")&amp;" et +"</f>
        <v>132 781 et +</v>
      </c>
      <c r="E175" s="239">
        <v>132781</v>
      </c>
      <c r="F175" s="87">
        <v>20925</v>
      </c>
      <c r="J175" s="73"/>
      <c r="K175" s="73"/>
      <c r="L175" s="73"/>
      <c r="M175"/>
      <c r="N175"/>
    </row>
    <row r="176" spans="1:20" ht="13.5" thickBot="1" x14ac:dyDescent="0.25">
      <c r="D176" s="73"/>
      <c r="E176" s="77"/>
      <c r="F176" s="73"/>
      <c r="G176" s="73"/>
      <c r="H176" s="73"/>
      <c r="I176" s="73"/>
      <c r="J176" s="73"/>
      <c r="K176" s="73"/>
      <c r="L176" s="73"/>
      <c r="M176"/>
      <c r="N176"/>
    </row>
    <row r="177" spans="2:14" ht="14.25" thickTop="1" thickBot="1" x14ac:dyDescent="0.25">
      <c r="B177" s="111" t="s">
        <v>348</v>
      </c>
      <c r="D177" s="108" t="s">
        <v>54</v>
      </c>
      <c r="E177" s="116">
        <f ca="1">_xlfn.XLOOKUP(E165,E178:E185,F178:F185,,-1)</f>
        <v>828</v>
      </c>
      <c r="F177" s="73"/>
      <c r="G177" s="73"/>
      <c r="H177" s="73"/>
      <c r="I177" s="73"/>
      <c r="J177" s="73"/>
      <c r="K177" s="73"/>
      <c r="L177" s="73"/>
      <c r="M177"/>
      <c r="N177"/>
    </row>
    <row r="178" spans="2:14" ht="13.5" thickTop="1" x14ac:dyDescent="0.2">
      <c r="D178" s="73" t="s">
        <v>22</v>
      </c>
      <c r="E178" s="239">
        <v>0</v>
      </c>
      <c r="F178" s="88">
        <v>288</v>
      </c>
      <c r="G178" s="73"/>
      <c r="H178" s="73"/>
      <c r="I178" s="73"/>
      <c r="J178" s="73"/>
      <c r="K178" s="73"/>
      <c r="L178" s="73"/>
      <c r="M178"/>
      <c r="N178"/>
    </row>
    <row r="179" spans="2:14" x14ac:dyDescent="0.2">
      <c r="D179" s="73" t="s">
        <v>22</v>
      </c>
      <c r="E179" s="239">
        <v>16191</v>
      </c>
      <c r="F179" s="88">
        <v>396</v>
      </c>
      <c r="G179" s="73"/>
      <c r="H179" s="73"/>
      <c r="I179" s="73"/>
      <c r="J179" s="73"/>
      <c r="K179" s="73"/>
      <c r="L179" s="73"/>
      <c r="M179"/>
      <c r="N179"/>
    </row>
    <row r="180" spans="2:14" x14ac:dyDescent="0.2">
      <c r="D180" s="73" t="s">
        <v>22</v>
      </c>
      <c r="E180" s="239">
        <v>32351</v>
      </c>
      <c r="F180" s="90">
        <f>+F179</f>
        <v>396</v>
      </c>
      <c r="G180" s="73"/>
      <c r="H180" s="73"/>
      <c r="I180" s="73"/>
      <c r="J180" s="73"/>
      <c r="K180" s="73"/>
      <c r="L180" s="73"/>
      <c r="M180"/>
      <c r="N180"/>
    </row>
    <row r="181" spans="2:14" x14ac:dyDescent="0.2">
      <c r="D181" s="73" t="s">
        <v>22</v>
      </c>
      <c r="E181" s="239">
        <v>44791</v>
      </c>
      <c r="F181" s="88">
        <v>612</v>
      </c>
      <c r="G181" s="73"/>
      <c r="H181" s="73"/>
      <c r="I181" s="73"/>
      <c r="J181" s="73"/>
      <c r="K181" s="73"/>
      <c r="L181" s="73"/>
      <c r="M181"/>
      <c r="N181"/>
    </row>
    <row r="182" spans="2:14" x14ac:dyDescent="0.2">
      <c r="D182" s="73" t="s">
        <v>22</v>
      </c>
      <c r="E182" s="239">
        <v>64561</v>
      </c>
      <c r="F182" s="90">
        <f>+F181</f>
        <v>612</v>
      </c>
      <c r="G182" s="73"/>
      <c r="H182" s="73"/>
      <c r="I182" s="73"/>
      <c r="J182" s="73"/>
      <c r="K182" s="73"/>
      <c r="L182" s="73"/>
      <c r="M182"/>
      <c r="N182"/>
    </row>
    <row r="183" spans="2:14" x14ac:dyDescent="0.2">
      <c r="D183" s="73" t="s">
        <v>22</v>
      </c>
      <c r="E183" s="239">
        <v>79041</v>
      </c>
      <c r="F183" s="88">
        <v>828</v>
      </c>
      <c r="G183" s="73"/>
      <c r="H183" s="73"/>
      <c r="I183" s="73"/>
      <c r="J183" s="73"/>
      <c r="K183" s="73"/>
      <c r="L183" s="73"/>
      <c r="M183"/>
      <c r="N183"/>
    </row>
    <row r="184" spans="2:14" x14ac:dyDescent="0.2">
      <c r="D184" s="73" t="s">
        <v>22</v>
      </c>
      <c r="E184" s="239">
        <v>94851</v>
      </c>
      <c r="F184" s="90">
        <f>+F183</f>
        <v>828</v>
      </c>
      <c r="G184" s="73"/>
      <c r="H184" s="73"/>
      <c r="I184" s="73"/>
      <c r="J184" s="73"/>
      <c r="K184" s="73"/>
      <c r="L184" s="73"/>
      <c r="M184"/>
      <c r="N184"/>
    </row>
    <row r="185" spans="2:14" x14ac:dyDescent="0.2">
      <c r="D185" s="73" t="s">
        <v>22</v>
      </c>
      <c r="E185" s="239">
        <v>132781</v>
      </c>
      <c r="F185" s="90">
        <f>+F184</f>
        <v>828</v>
      </c>
      <c r="G185" s="73"/>
      <c r="H185" s="73"/>
      <c r="I185" s="73"/>
      <c r="J185" s="73"/>
      <c r="K185" s="73"/>
      <c r="L185" s="73"/>
      <c r="M185"/>
      <c r="N185"/>
    </row>
    <row r="186" spans="2:14" x14ac:dyDescent="0.2">
      <c r="D186" s="73"/>
      <c r="E186" s="77"/>
      <c r="F186" s="73"/>
      <c r="G186" s="73"/>
      <c r="H186" s="73"/>
      <c r="I186" s="73"/>
      <c r="J186" s="73"/>
      <c r="K186" s="73"/>
      <c r="L186" s="73"/>
      <c r="M186"/>
      <c r="N186"/>
    </row>
    <row r="187" spans="2:14" x14ac:dyDescent="0.2">
      <c r="D187" s="73"/>
      <c r="E187" s="77"/>
      <c r="F187" s="73"/>
      <c r="G187" s="73"/>
      <c r="H187" s="73"/>
      <c r="I187" s="73"/>
      <c r="J187" s="73"/>
      <c r="K187" s="73"/>
      <c r="L187" s="73"/>
      <c r="M187"/>
      <c r="N187"/>
    </row>
    <row r="188" spans="2:14" x14ac:dyDescent="0.2">
      <c r="D188" s="73"/>
      <c r="E188" s="77"/>
      <c r="F188" s="73"/>
      <c r="G188" s="73"/>
      <c r="H188" s="73"/>
      <c r="I188" s="73"/>
      <c r="J188" s="73"/>
      <c r="K188" s="73"/>
      <c r="L188" s="73"/>
      <c r="M188"/>
      <c r="N188"/>
    </row>
    <row r="189" spans="2:14" x14ac:dyDescent="0.2">
      <c r="D189" s="73" t="s">
        <v>209</v>
      </c>
      <c r="E189" s="238">
        <f ca="1">E167+E177</f>
        <v>21753</v>
      </c>
      <c r="F189" s="73"/>
      <c r="G189" s="73"/>
      <c r="H189" s="73"/>
      <c r="I189" s="73"/>
      <c r="J189" s="73"/>
      <c r="K189" s="73"/>
      <c r="L189" s="73"/>
      <c r="M189"/>
      <c r="N189"/>
    </row>
    <row r="190" spans="2:14" x14ac:dyDescent="0.2">
      <c r="D190" s="73"/>
      <c r="E190" s="77"/>
      <c r="F190" s="73"/>
      <c r="G190" s="73"/>
      <c r="H190" s="73"/>
      <c r="I190" s="73"/>
      <c r="J190" s="73"/>
      <c r="K190" s="73"/>
      <c r="L190" s="73"/>
      <c r="M190"/>
      <c r="N190"/>
    </row>
    <row r="191" spans="2:14" x14ac:dyDescent="0.2">
      <c r="D191" s="73"/>
      <c r="E191" s="77"/>
      <c r="F191" s="73"/>
      <c r="G191" s="73"/>
      <c r="H191" s="73"/>
      <c r="I191" s="73"/>
      <c r="J191" s="73"/>
      <c r="K191" s="73"/>
      <c r="L191" s="73"/>
      <c r="M191"/>
      <c r="N191"/>
    </row>
    <row r="192" spans="2:14" x14ac:dyDescent="0.2">
      <c r="D192" s="73"/>
      <c r="E192" s="77"/>
      <c r="F192" s="73"/>
      <c r="G192" s="73"/>
      <c r="H192" s="73"/>
      <c r="I192" s="73"/>
      <c r="J192" s="73"/>
      <c r="K192" s="73"/>
      <c r="L192" s="73"/>
      <c r="M192"/>
      <c r="N192"/>
    </row>
    <row r="193" spans="1:14" x14ac:dyDescent="0.2">
      <c r="A193" s="209"/>
      <c r="B193" s="209"/>
      <c r="C193" s="209"/>
      <c r="D193" s="210"/>
      <c r="E193" s="209"/>
      <c r="F193" s="210"/>
      <c r="G193" s="210"/>
      <c r="H193" s="210"/>
      <c r="I193" s="210"/>
      <c r="J193" s="210"/>
      <c r="K193" s="210"/>
      <c r="L193" s="210"/>
      <c r="M193"/>
      <c r="N193"/>
    </row>
    <row r="194" spans="1:14" x14ac:dyDescent="0.2">
      <c r="D194" s="91" t="s">
        <v>25</v>
      </c>
      <c r="H194" s="73"/>
      <c r="I194" s="73"/>
      <c r="J194" s="73"/>
      <c r="K194" s="73"/>
      <c r="L194" s="73"/>
      <c r="M194"/>
      <c r="N194"/>
    </row>
    <row r="195" spans="1:14" x14ac:dyDescent="0.2">
      <c r="D195" s="73"/>
      <c r="E195" s="77"/>
      <c r="F195" s="73"/>
      <c r="G195" s="73"/>
      <c r="H195" s="73"/>
      <c r="I195" s="73"/>
      <c r="J195" s="73"/>
      <c r="K195" s="73"/>
      <c r="L195" s="73"/>
      <c r="M195"/>
      <c r="N195"/>
    </row>
    <row r="196" spans="1:14" x14ac:dyDescent="0.2">
      <c r="D196" t="s">
        <v>140</v>
      </c>
      <c r="E196" s="220">
        <f ca="1">EI_IS_cotisations!G21</f>
        <v>143045.90852145836</v>
      </c>
      <c r="F196" s="73"/>
      <c r="G196" s="73"/>
      <c r="H196" s="73"/>
      <c r="I196" s="73"/>
      <c r="J196" s="73"/>
      <c r="K196" s="73"/>
      <c r="L196" s="73"/>
      <c r="M196"/>
      <c r="N196"/>
    </row>
    <row r="197" spans="1:14" x14ac:dyDescent="0.2">
      <c r="D197" s="73"/>
      <c r="E197" s="77"/>
      <c r="F197" s="73"/>
      <c r="G197" s="73"/>
      <c r="H197" s="73"/>
      <c r="I197" s="73"/>
      <c r="J197" s="73"/>
      <c r="K197" s="73"/>
      <c r="L197" s="73"/>
      <c r="M197"/>
      <c r="N197"/>
    </row>
    <row r="198" spans="1:14" x14ac:dyDescent="0.2">
      <c r="D198" s="73"/>
      <c r="E198" s="77"/>
      <c r="F198" s="73"/>
      <c r="G198" s="73"/>
      <c r="H198" s="73"/>
      <c r="I198" s="73"/>
      <c r="J198" s="73"/>
      <c r="K198" s="73"/>
      <c r="L198" s="73"/>
      <c r="M198"/>
      <c r="N198"/>
    </row>
    <row r="199" spans="1:14" x14ac:dyDescent="0.2">
      <c r="D199" s="73"/>
      <c r="E199" s="77"/>
      <c r="F199" s="73"/>
      <c r="G199" s="73"/>
      <c r="H199" s="73"/>
      <c r="I199" s="73"/>
      <c r="J199" s="73"/>
      <c r="K199" s="73"/>
      <c r="L199" s="73"/>
      <c r="M199"/>
      <c r="N199"/>
    </row>
    <row r="200" spans="1:14" ht="13.5" thickBot="1" x14ac:dyDescent="0.25">
      <c r="D200" s="73"/>
      <c r="E200" s="77"/>
      <c r="F200" s="73"/>
      <c r="G200" s="73"/>
      <c r="H200" s="73"/>
      <c r="I200" s="73"/>
      <c r="J200" s="73"/>
      <c r="K200" s="73"/>
      <c r="L200" s="73"/>
      <c r="M200"/>
      <c r="N200"/>
    </row>
    <row r="201" spans="1:14" ht="14.25" thickTop="1" thickBot="1" x14ac:dyDescent="0.25">
      <c r="B201" s="111" t="s">
        <v>355</v>
      </c>
      <c r="D201" s="108" t="s">
        <v>198</v>
      </c>
      <c r="E201" s="116">
        <f ca="1">MIN(E196,E202)*F202</f>
        <v>14304.590852145837</v>
      </c>
      <c r="F201" s="73"/>
      <c r="G201" s="73"/>
      <c r="H201" s="73"/>
      <c r="I201" s="73"/>
      <c r="J201" s="73"/>
      <c r="K201" s="73"/>
      <c r="L201" s="73"/>
      <c r="M201"/>
      <c r="N201"/>
    </row>
    <row r="202" spans="1:14" ht="13.5" thickTop="1" x14ac:dyDescent="0.2">
      <c r="D202" s="73" t="str">
        <f>"&lt;"&amp;TEXT(E202,"000 0")</f>
        <v>&lt;143 976</v>
      </c>
      <c r="E202" s="240">
        <f>3.5*E2</f>
        <v>143976</v>
      </c>
      <c r="F202" s="86">
        <v>0.1</v>
      </c>
      <c r="G202" s="73"/>
      <c r="H202" s="73"/>
      <c r="I202" s="73"/>
      <c r="J202" s="73"/>
      <c r="K202" s="73"/>
      <c r="L202" s="73"/>
      <c r="M202"/>
      <c r="N202"/>
    </row>
    <row r="203" spans="1:14" ht="13.5" thickBot="1" x14ac:dyDescent="0.25">
      <c r="D203" s="73"/>
      <c r="E203" s="77"/>
      <c r="F203" s="73"/>
      <c r="G203" s="73"/>
      <c r="H203" s="73"/>
      <c r="I203" s="73"/>
      <c r="J203" s="73"/>
      <c r="K203" s="73"/>
      <c r="L203" s="73"/>
      <c r="M203"/>
      <c r="N203"/>
    </row>
    <row r="204" spans="1:14" ht="14.25" thickTop="1" thickBot="1" x14ac:dyDescent="0.25">
      <c r="B204" s="111" t="s">
        <v>356</v>
      </c>
      <c r="D204" s="108" t="s">
        <v>54</v>
      </c>
      <c r="E204" s="116">
        <f ca="1">VLOOKUP(E196,E205:F207,2,TRUE)</f>
        <v>863</v>
      </c>
      <c r="F204" s="73"/>
      <c r="G204" s="73"/>
      <c r="H204" s="73"/>
      <c r="I204" s="73"/>
      <c r="J204" s="73"/>
      <c r="K204" s="73"/>
      <c r="L204" s="73"/>
      <c r="M204"/>
      <c r="N204"/>
    </row>
    <row r="205" spans="1:14" ht="13.5" thickTop="1" x14ac:dyDescent="0.2">
      <c r="D205" s="73"/>
      <c r="E205" s="123">
        <v>0</v>
      </c>
      <c r="F205" s="76">
        <v>631</v>
      </c>
      <c r="G205" s="73"/>
      <c r="H205" s="73"/>
      <c r="I205" s="73"/>
      <c r="J205" s="73"/>
      <c r="K205" s="73"/>
      <c r="L205" s="73"/>
      <c r="M205"/>
      <c r="N205"/>
    </row>
    <row r="206" spans="1:14" x14ac:dyDescent="0.2">
      <c r="D206" s="73"/>
      <c r="E206" s="123">
        <f>E2</f>
        <v>41136</v>
      </c>
      <c r="F206" s="76">
        <v>738</v>
      </c>
      <c r="G206" s="73"/>
      <c r="H206" s="73"/>
      <c r="I206" s="73"/>
      <c r="J206" s="73"/>
      <c r="K206" s="73"/>
      <c r="L206" s="73"/>
      <c r="M206"/>
      <c r="N206"/>
    </row>
    <row r="207" spans="1:14" x14ac:dyDescent="0.2">
      <c r="D207" s="73"/>
      <c r="E207" s="123">
        <f>E206*3</f>
        <v>123408</v>
      </c>
      <c r="F207" s="76">
        <v>863</v>
      </c>
      <c r="G207" s="73"/>
      <c r="H207" s="73"/>
      <c r="I207" s="73"/>
      <c r="J207" s="73"/>
      <c r="K207" s="73"/>
      <c r="L207" s="73"/>
      <c r="M207"/>
      <c r="N207"/>
    </row>
    <row r="208" spans="1:14" ht="13.5" thickBot="1" x14ac:dyDescent="0.25">
      <c r="D208" s="73"/>
      <c r="E208" s="77"/>
      <c r="F208" s="73"/>
      <c r="G208" s="73"/>
      <c r="H208" s="73"/>
      <c r="I208" s="73"/>
      <c r="J208" s="73"/>
      <c r="K208" s="73"/>
      <c r="L208" s="73"/>
      <c r="M208"/>
      <c r="N208"/>
    </row>
    <row r="209" spans="2:14" ht="14.25" thickTop="1" thickBot="1" x14ac:dyDescent="0.25">
      <c r="B209" s="111" t="s">
        <v>357</v>
      </c>
      <c r="D209" s="108" t="s">
        <v>23</v>
      </c>
      <c r="E209" s="116">
        <f ca="1">MIN(E211*E196,F211)</f>
        <v>205.68</v>
      </c>
      <c r="F209" s="73"/>
      <c r="G209" s="73"/>
      <c r="H209" s="73"/>
      <c r="I209" s="73"/>
      <c r="J209" s="73"/>
      <c r="K209" s="73"/>
      <c r="L209" s="73"/>
      <c r="M209"/>
      <c r="N209"/>
    </row>
    <row r="210" spans="2:14" ht="13.5" thickTop="1" x14ac:dyDescent="0.2">
      <c r="D210" s="72"/>
      <c r="F210" s="77" t="s">
        <v>382</v>
      </c>
      <c r="G210" s="73"/>
      <c r="H210" s="73"/>
      <c r="I210" s="73"/>
      <c r="J210" s="73"/>
      <c r="K210" s="73"/>
      <c r="L210" s="73"/>
      <c r="M210"/>
      <c r="N210"/>
    </row>
    <row r="211" spans="2:14" x14ac:dyDescent="0.2">
      <c r="D211" s="73" t="s">
        <v>207</v>
      </c>
      <c r="E211" s="241">
        <v>5.0000000000000001E-3</v>
      </c>
      <c r="F211" s="245">
        <f>E2*0.5%</f>
        <v>205.68</v>
      </c>
      <c r="G211" s="73"/>
      <c r="H211" s="73"/>
      <c r="I211" s="73"/>
      <c r="J211" s="73"/>
      <c r="K211" s="73"/>
      <c r="L211" s="73"/>
      <c r="M211"/>
      <c r="N211"/>
    </row>
    <row r="212" spans="2:14" x14ac:dyDescent="0.2">
      <c r="D212" s="111"/>
      <c r="F212" s="73"/>
      <c r="G212" s="111"/>
      <c r="H212" s="73"/>
      <c r="I212" s="73"/>
      <c r="J212" s="73"/>
      <c r="K212" s="73"/>
      <c r="L212" s="73"/>
      <c r="M212"/>
      <c r="N212"/>
    </row>
    <row r="213" spans="2:14" ht="13.5" thickBot="1" x14ac:dyDescent="0.25">
      <c r="D213" s="72"/>
      <c r="E213" s="77"/>
      <c r="F213" s="73"/>
      <c r="G213" s="73"/>
      <c r="H213" s="73"/>
      <c r="I213" s="73"/>
      <c r="J213" s="73"/>
      <c r="K213" s="73"/>
      <c r="L213" s="73"/>
      <c r="M213"/>
      <c r="N213"/>
    </row>
    <row r="214" spans="2:14" ht="14.25" thickTop="1" thickBot="1" x14ac:dyDescent="0.25">
      <c r="B214" s="111" t="s">
        <v>358</v>
      </c>
      <c r="D214" s="108" t="s">
        <v>215</v>
      </c>
      <c r="E214" s="242">
        <v>1712</v>
      </c>
      <c r="F214" s="73"/>
      <c r="G214" s="73"/>
      <c r="H214" s="73"/>
      <c r="I214" s="73"/>
      <c r="J214" s="73"/>
      <c r="K214" s="73"/>
      <c r="L214" s="73"/>
      <c r="M214"/>
      <c r="N214"/>
    </row>
    <row r="215" spans="2:14" ht="13.5" thickTop="1" x14ac:dyDescent="0.2">
      <c r="D215" s="111"/>
      <c r="F215" s="73"/>
      <c r="G215" s="111"/>
      <c r="H215" s="73"/>
      <c r="I215" s="73"/>
      <c r="J215" s="73"/>
      <c r="K215" s="73"/>
      <c r="L215" s="111"/>
      <c r="M215"/>
      <c r="N215"/>
    </row>
    <row r="216" spans="2:14" x14ac:dyDescent="0.2">
      <c r="D216" s="111"/>
      <c r="F216" s="73"/>
      <c r="G216" s="111"/>
      <c r="H216" s="73"/>
      <c r="I216" s="73"/>
      <c r="J216" s="73"/>
      <c r="K216" s="73"/>
      <c r="L216" s="111"/>
      <c r="M216"/>
      <c r="N216"/>
    </row>
    <row r="217" spans="2:14" x14ac:dyDescent="0.2">
      <c r="D217" s="111"/>
      <c r="F217" s="111"/>
      <c r="G217" s="111"/>
      <c r="H217" s="73"/>
      <c r="I217" s="73"/>
      <c r="J217" s="73"/>
      <c r="K217" s="73"/>
      <c r="L217" s="111"/>
      <c r="M217"/>
      <c r="N217"/>
    </row>
    <row r="218" spans="2:14" ht="13.5" thickBot="1" x14ac:dyDescent="0.25">
      <c r="D218" s="73"/>
      <c r="E218" s="77"/>
      <c r="F218" s="73"/>
      <c r="G218" s="73"/>
      <c r="H218" s="73"/>
      <c r="I218" s="73"/>
      <c r="J218" s="73"/>
      <c r="K218" s="73"/>
      <c r="L218" s="73"/>
      <c r="M218"/>
      <c r="N218"/>
    </row>
    <row r="219" spans="2:14" ht="14.25" thickTop="1" thickBot="1" x14ac:dyDescent="0.25">
      <c r="B219" s="111" t="s">
        <v>359</v>
      </c>
      <c r="D219" s="108" t="s">
        <v>216</v>
      </c>
      <c r="E219" s="116">
        <f ca="1">MIN(5*E2,E196)*E220</f>
        <v>1811.962523241313</v>
      </c>
      <c r="F219" s="73"/>
      <c r="G219" s="73"/>
      <c r="H219" s="73"/>
      <c r="I219" s="73"/>
      <c r="J219" s="73"/>
      <c r="K219" s="73"/>
      <c r="L219" s="73"/>
      <c r="M219"/>
      <c r="N219"/>
    </row>
    <row r="220" spans="2:14" ht="13.5" thickTop="1" x14ac:dyDescent="0.2">
      <c r="D220" s="72" t="s">
        <v>207</v>
      </c>
      <c r="E220" s="241">
        <v>1.2666999999999999E-2</v>
      </c>
      <c r="G220" s="73"/>
      <c r="H220" s="73"/>
      <c r="I220" s="73"/>
      <c r="J220" s="73"/>
      <c r="K220" s="73"/>
      <c r="L220" s="73"/>
      <c r="M220"/>
      <c r="N220"/>
    </row>
    <row r="221" spans="2:14" x14ac:dyDescent="0.2">
      <c r="D221" s="111"/>
      <c r="F221" s="111"/>
      <c r="G221" s="111"/>
      <c r="H221" s="73"/>
      <c r="I221" s="73"/>
      <c r="J221" s="73"/>
      <c r="K221" s="73"/>
      <c r="L221" s="73"/>
      <c r="M221"/>
      <c r="N221"/>
    </row>
    <row r="222" spans="2:14" x14ac:dyDescent="0.2">
      <c r="D222" s="73"/>
      <c r="E222" s="77"/>
      <c r="F222" s="73"/>
      <c r="G222" s="73"/>
      <c r="H222" s="73"/>
      <c r="I222" s="73"/>
      <c r="J222" s="73"/>
      <c r="K222" s="73"/>
      <c r="L222" s="73"/>
      <c r="M222"/>
      <c r="N222"/>
    </row>
    <row r="223" spans="2:14" x14ac:dyDescent="0.2">
      <c r="D223" s="73"/>
      <c r="E223" s="77"/>
      <c r="F223" s="73"/>
      <c r="G223" s="73"/>
      <c r="H223" s="73"/>
      <c r="I223" s="73"/>
      <c r="J223" s="73"/>
      <c r="K223" s="73"/>
      <c r="L223" s="73"/>
      <c r="M223"/>
      <c r="N223"/>
    </row>
    <row r="224" spans="2:14" ht="13.5" thickBot="1" x14ac:dyDescent="0.25">
      <c r="D224" s="73"/>
      <c r="E224" s="77"/>
      <c r="F224" s="73"/>
      <c r="G224" s="73"/>
      <c r="H224" s="73"/>
      <c r="I224" s="73"/>
      <c r="J224" s="73"/>
      <c r="K224" s="73"/>
      <c r="L224" s="73"/>
      <c r="M224"/>
      <c r="N224"/>
    </row>
    <row r="225" spans="1:14" ht="14.25" thickTop="1" thickBot="1" x14ac:dyDescent="0.25">
      <c r="B225" s="111" t="s">
        <v>360</v>
      </c>
      <c r="D225" s="108" t="s">
        <v>217</v>
      </c>
      <c r="E225" s="116">
        <f ca="1">-E196*VLOOKUP(E196,E226:F228,2,TRUE)</f>
        <v>-1602.1141754403336</v>
      </c>
      <c r="F225" s="73"/>
      <c r="G225" s="73"/>
      <c r="H225" s="73"/>
      <c r="I225" s="73"/>
      <c r="J225" s="73"/>
      <c r="K225" s="73"/>
      <c r="L225" s="73"/>
      <c r="M225"/>
      <c r="N225"/>
    </row>
    <row r="226" spans="1:14" ht="13.5" thickTop="1" x14ac:dyDescent="0.2">
      <c r="D226" s="73"/>
      <c r="E226" s="123">
        <v>0</v>
      </c>
      <c r="F226" s="79">
        <v>2.1499999999999998E-2</v>
      </c>
      <c r="G226" s="73"/>
      <c r="H226" s="73"/>
      <c r="I226" s="73"/>
      <c r="J226" s="73"/>
      <c r="K226" s="73"/>
      <c r="L226" s="73"/>
      <c r="M226"/>
      <c r="N226"/>
    </row>
    <row r="227" spans="1:14" x14ac:dyDescent="0.2">
      <c r="D227" s="73"/>
      <c r="E227" s="123">
        <f>E2*1.4</f>
        <v>57590.399999999994</v>
      </c>
      <c r="F227" s="79">
        <v>1.5100000000000001E-2</v>
      </c>
      <c r="G227" s="73"/>
      <c r="H227" s="73"/>
      <c r="I227" s="73"/>
      <c r="J227" s="73"/>
      <c r="K227" s="73"/>
      <c r="L227" s="73"/>
      <c r="M227"/>
      <c r="N227"/>
    </row>
    <row r="228" spans="1:14" x14ac:dyDescent="0.2">
      <c r="D228" s="73"/>
      <c r="E228" s="123">
        <f>E2*2.5</f>
        <v>102840</v>
      </c>
      <c r="F228" s="79">
        <v>1.12E-2</v>
      </c>
      <c r="G228" s="73"/>
      <c r="H228" s="73"/>
      <c r="I228" s="73"/>
      <c r="J228" s="73"/>
      <c r="K228" s="73"/>
      <c r="L228" s="73"/>
      <c r="M228"/>
      <c r="N228"/>
    </row>
    <row r="229" spans="1:14" x14ac:dyDescent="0.2">
      <c r="D229" s="73"/>
      <c r="E229" s="77"/>
      <c r="F229" s="73"/>
      <c r="G229" s="73"/>
      <c r="H229" s="73"/>
      <c r="I229" s="73"/>
      <c r="J229" s="73"/>
      <c r="K229" s="73"/>
      <c r="L229" s="73"/>
      <c r="M229"/>
      <c r="N229"/>
    </row>
    <row r="230" spans="1:14" x14ac:dyDescent="0.2">
      <c r="D230" s="73"/>
      <c r="E230" s="77"/>
      <c r="F230" s="73"/>
      <c r="G230" s="73"/>
      <c r="H230" s="73"/>
      <c r="I230" s="73"/>
      <c r="J230" s="73"/>
      <c r="K230" s="73"/>
      <c r="L230" s="73"/>
      <c r="M230"/>
      <c r="N230"/>
    </row>
    <row r="231" spans="1:14" x14ac:dyDescent="0.2">
      <c r="D231" s="73"/>
      <c r="E231" s="238">
        <f ca="1">E201+E204+E209+E214+E219+E225</f>
        <v>17295.119199946817</v>
      </c>
      <c r="F231" s="73"/>
      <c r="G231" s="73"/>
      <c r="H231" s="73"/>
      <c r="I231" s="73"/>
      <c r="J231" s="73"/>
      <c r="K231" s="73"/>
      <c r="L231" s="73"/>
      <c r="M231"/>
      <c r="N231"/>
    </row>
    <row r="232" spans="1:14" x14ac:dyDescent="0.2">
      <c r="D232" s="73"/>
      <c r="E232" s="77"/>
      <c r="F232" s="73"/>
      <c r="G232" s="73"/>
      <c r="H232" s="73"/>
      <c r="I232" s="73"/>
      <c r="J232" s="73"/>
      <c r="K232" s="73"/>
      <c r="L232" s="73"/>
      <c r="M232"/>
      <c r="N232"/>
    </row>
    <row r="233" spans="1:14" x14ac:dyDescent="0.2">
      <c r="D233" s="73"/>
      <c r="E233" s="77"/>
      <c r="F233" s="73"/>
      <c r="G233" s="73"/>
      <c r="H233" s="73"/>
      <c r="I233" s="73"/>
      <c r="J233" s="73"/>
      <c r="K233" s="73"/>
      <c r="L233" s="73"/>
      <c r="M233"/>
      <c r="N233"/>
    </row>
    <row r="234" spans="1:14" x14ac:dyDescent="0.2">
      <c r="A234" s="209"/>
      <c r="B234" s="209"/>
      <c r="C234" s="209"/>
      <c r="D234" s="210"/>
      <c r="E234" s="209"/>
      <c r="F234" s="210"/>
      <c r="G234" s="210"/>
      <c r="H234" s="210"/>
      <c r="I234" s="210"/>
      <c r="J234" s="210"/>
      <c r="K234" s="210"/>
      <c r="L234" s="210"/>
      <c r="M234"/>
      <c r="N234"/>
    </row>
    <row r="235" spans="1:14" x14ac:dyDescent="0.2">
      <c r="D235" s="91" t="s">
        <v>25</v>
      </c>
      <c r="H235" s="73"/>
      <c r="I235" s="73"/>
      <c r="J235" s="73"/>
      <c r="K235" s="73"/>
      <c r="L235" s="73"/>
      <c r="M235"/>
      <c r="N235"/>
    </row>
    <row r="236" spans="1:14" x14ac:dyDescent="0.2">
      <c r="D236" s="73"/>
      <c r="E236" s="77"/>
      <c r="F236" s="73"/>
      <c r="G236" s="73"/>
      <c r="H236" s="73"/>
      <c r="I236" s="73"/>
      <c r="J236" s="73"/>
      <c r="K236" s="73"/>
      <c r="L236" s="73"/>
      <c r="M236"/>
      <c r="N236"/>
    </row>
    <row r="237" spans="1:14" x14ac:dyDescent="0.2">
      <c r="D237" t="s">
        <v>140</v>
      </c>
      <c r="E237" s="220">
        <f ca="1">EI_IS_cotisations!G21</f>
        <v>143045.90852145836</v>
      </c>
      <c r="F237" s="73"/>
      <c r="G237" s="73"/>
      <c r="H237" s="73"/>
      <c r="I237" s="73"/>
      <c r="J237" s="73"/>
      <c r="K237" s="73"/>
      <c r="L237" s="73"/>
      <c r="M237"/>
      <c r="N237"/>
    </row>
    <row r="238" spans="1:14" x14ac:dyDescent="0.2">
      <c r="D238" s="73"/>
      <c r="E238" s="77"/>
      <c r="F238" s="73"/>
      <c r="G238" s="73"/>
      <c r="H238" s="73"/>
      <c r="I238" s="73"/>
      <c r="J238" s="73"/>
      <c r="K238" s="73"/>
      <c r="L238" s="73"/>
      <c r="M238"/>
      <c r="N238"/>
    </row>
    <row r="239" spans="1:14" x14ac:dyDescent="0.2">
      <c r="D239" s="73"/>
      <c r="E239" s="77"/>
      <c r="F239" s="73"/>
      <c r="G239" s="73"/>
      <c r="H239" s="73"/>
      <c r="I239" s="73"/>
      <c r="J239" s="73"/>
      <c r="K239" s="73"/>
      <c r="L239" s="73"/>
      <c r="M239"/>
      <c r="N239"/>
    </row>
    <row r="240" spans="1:14" x14ac:dyDescent="0.2">
      <c r="D240" s="73"/>
      <c r="E240" s="77"/>
      <c r="F240" s="73"/>
      <c r="G240" s="73"/>
      <c r="H240" s="73"/>
      <c r="I240" s="73"/>
      <c r="J240" s="73"/>
      <c r="K240" s="73"/>
      <c r="L240" s="73"/>
      <c r="M240"/>
      <c r="N240"/>
    </row>
    <row r="241" spans="2:14" ht="13.5" thickBot="1" x14ac:dyDescent="0.25">
      <c r="D241" s="73"/>
      <c r="E241" s="77"/>
      <c r="F241" s="73"/>
      <c r="G241" s="73"/>
      <c r="H241" s="73"/>
      <c r="I241" s="73"/>
      <c r="J241" s="73"/>
      <c r="K241" s="73"/>
      <c r="L241" s="73"/>
      <c r="M241"/>
      <c r="N241"/>
    </row>
    <row r="242" spans="2:14" ht="14.25" thickTop="1" thickBot="1" x14ac:dyDescent="0.25">
      <c r="B242" s="111" t="s">
        <v>361</v>
      </c>
      <c r="D242" s="108" t="s">
        <v>198</v>
      </c>
      <c r="E242" s="116">
        <f ca="1">MIN(E237,E243)*F243</f>
        <v>14304.590852145837</v>
      </c>
      <c r="F242" s="73"/>
      <c r="G242" s="73"/>
      <c r="H242" s="73"/>
      <c r="I242" s="73"/>
      <c r="J242" s="73"/>
      <c r="K242" s="73"/>
      <c r="L242" s="73"/>
      <c r="M242"/>
      <c r="N242"/>
    </row>
    <row r="243" spans="2:14" ht="13.5" thickTop="1" x14ac:dyDescent="0.2">
      <c r="D243" s="73" t="str">
        <f>"&lt;"&amp;TEXT(E243,"000 0")</f>
        <v>&lt;143 976</v>
      </c>
      <c r="E243" s="74">
        <f>3.5*E2</f>
        <v>143976</v>
      </c>
      <c r="F243" s="86">
        <v>0.1</v>
      </c>
      <c r="G243" s="73"/>
      <c r="H243" s="73"/>
      <c r="I243" s="73"/>
      <c r="J243" s="73"/>
      <c r="K243" s="73"/>
      <c r="L243" s="73"/>
      <c r="M243"/>
      <c r="N243"/>
    </row>
    <row r="244" spans="2:14" ht="13.5" thickBot="1" x14ac:dyDescent="0.25">
      <c r="D244" s="73"/>
      <c r="E244" s="77"/>
      <c r="F244" s="73"/>
      <c r="G244" s="73"/>
      <c r="H244" s="73"/>
      <c r="I244" s="73"/>
      <c r="J244" s="73"/>
      <c r="K244" s="73"/>
      <c r="L244" s="73"/>
      <c r="M244"/>
      <c r="N244"/>
    </row>
    <row r="245" spans="2:14" ht="14.25" thickTop="1" thickBot="1" x14ac:dyDescent="0.25">
      <c r="B245" s="111" t="s">
        <v>362</v>
      </c>
      <c r="D245" s="108" t="s">
        <v>54</v>
      </c>
      <c r="E245" s="116">
        <f ca="1">VLOOKUP(E237,E246:F248,2,TRUE)</f>
        <v>863</v>
      </c>
      <c r="F245" s="73"/>
      <c r="G245" s="73"/>
      <c r="H245" s="73"/>
      <c r="I245" s="73"/>
      <c r="J245" s="73"/>
      <c r="K245" s="73"/>
      <c r="L245" s="73"/>
      <c r="M245"/>
      <c r="N245"/>
    </row>
    <row r="246" spans="2:14" ht="13.5" thickTop="1" x14ac:dyDescent="0.2">
      <c r="D246" s="73"/>
      <c r="E246" s="123">
        <v>0</v>
      </c>
      <c r="F246" s="76">
        <v>631</v>
      </c>
      <c r="G246" s="73"/>
      <c r="H246" s="73"/>
      <c r="I246" s="73"/>
      <c r="J246" s="73"/>
      <c r="K246" s="73"/>
      <c r="L246" s="73"/>
      <c r="M246"/>
      <c r="N246"/>
    </row>
    <row r="247" spans="2:14" x14ac:dyDescent="0.2">
      <c r="D247" s="73"/>
      <c r="E247" s="123">
        <f>E2</f>
        <v>41136</v>
      </c>
      <c r="F247" s="76">
        <v>738</v>
      </c>
      <c r="G247" s="73"/>
      <c r="H247" s="73"/>
      <c r="I247" s="73"/>
      <c r="J247" s="73"/>
      <c r="K247" s="73"/>
      <c r="L247" s="73"/>
      <c r="M247"/>
      <c r="N247"/>
    </row>
    <row r="248" spans="2:14" x14ac:dyDescent="0.2">
      <c r="D248" s="73"/>
      <c r="E248" s="123">
        <f>E247*3</f>
        <v>123408</v>
      </c>
      <c r="F248" s="76">
        <v>863</v>
      </c>
      <c r="G248" s="73"/>
      <c r="H248" s="73"/>
      <c r="I248" s="73"/>
      <c r="J248" s="73"/>
      <c r="K248" s="73"/>
      <c r="L248" s="73"/>
      <c r="M248"/>
      <c r="N248"/>
    </row>
    <row r="249" spans="2:14" ht="13.5" thickBot="1" x14ac:dyDescent="0.25">
      <c r="D249" s="73"/>
      <c r="E249" s="77"/>
      <c r="F249" s="73"/>
      <c r="G249" s="73"/>
      <c r="H249" s="73"/>
      <c r="I249" s="73"/>
      <c r="J249" s="73"/>
      <c r="K249" s="73"/>
      <c r="L249" s="73"/>
      <c r="M249"/>
      <c r="N249"/>
    </row>
    <row r="250" spans="2:14" ht="14.25" thickTop="1" thickBot="1" x14ac:dyDescent="0.25">
      <c r="B250" s="111" t="s">
        <v>363</v>
      </c>
      <c r="D250" s="108" t="s">
        <v>23</v>
      </c>
      <c r="E250" s="116">
        <f ca="1">MIN(F252,E252*E237)</f>
        <v>205.68</v>
      </c>
      <c r="F250" s="73"/>
      <c r="G250" s="73"/>
      <c r="H250" s="73"/>
      <c r="I250" s="73"/>
      <c r="J250" s="73"/>
      <c r="K250" s="73"/>
      <c r="L250" s="73"/>
      <c r="M250"/>
      <c r="N250"/>
    </row>
    <row r="251" spans="2:14" ht="13.5" thickTop="1" x14ac:dyDescent="0.2">
      <c r="D251" s="72"/>
      <c r="E251" s="123"/>
      <c r="F251" s="77" t="s">
        <v>382</v>
      </c>
      <c r="G251" s="73"/>
      <c r="H251" s="73"/>
      <c r="I251" s="73"/>
      <c r="J251" s="73"/>
      <c r="K251" s="73"/>
      <c r="L251" s="73"/>
      <c r="M251"/>
      <c r="N251"/>
    </row>
    <row r="252" spans="2:14" x14ac:dyDescent="0.2">
      <c r="D252" s="73" t="s">
        <v>207</v>
      </c>
      <c r="E252" s="241">
        <v>5.0000000000000001E-3</v>
      </c>
      <c r="F252" s="245">
        <f>E2*0.5%</f>
        <v>205.68</v>
      </c>
      <c r="G252" s="73"/>
      <c r="H252" s="73"/>
      <c r="I252" s="73"/>
      <c r="J252" s="73"/>
      <c r="K252" s="73"/>
      <c r="L252" s="73"/>
      <c r="M252"/>
      <c r="N252"/>
    </row>
    <row r="253" spans="2:14" ht="13.5" thickBot="1" x14ac:dyDescent="0.25">
      <c r="D253" s="72"/>
      <c r="E253" s="77"/>
      <c r="F253" s="73"/>
      <c r="G253" s="73"/>
      <c r="H253" s="73"/>
      <c r="I253" s="73"/>
      <c r="J253" s="73"/>
      <c r="K253" s="73"/>
      <c r="L253" s="73"/>
      <c r="M253"/>
      <c r="N253"/>
    </row>
    <row r="254" spans="2:14" ht="14.25" thickTop="1" thickBot="1" x14ac:dyDescent="0.25">
      <c r="B254" s="111" t="s">
        <v>364</v>
      </c>
      <c r="D254" s="108" t="s">
        <v>215</v>
      </c>
      <c r="E254" s="242">
        <v>5136</v>
      </c>
      <c r="F254" s="73"/>
      <c r="G254" s="73"/>
      <c r="H254" s="73"/>
      <c r="I254" s="73"/>
      <c r="J254" s="73"/>
      <c r="K254" s="73"/>
      <c r="L254" s="73"/>
      <c r="M254"/>
      <c r="N254"/>
    </row>
    <row r="255" spans="2:14" ht="13.5" thickTop="1" x14ac:dyDescent="0.2">
      <c r="D255" s="111"/>
      <c r="F255" s="73"/>
      <c r="G255" s="111"/>
      <c r="H255" s="73"/>
      <c r="I255" s="73"/>
      <c r="J255" s="73"/>
      <c r="K255" s="73"/>
      <c r="L255" s="73"/>
      <c r="M255"/>
      <c r="N255"/>
    </row>
    <row r="256" spans="2:14" x14ac:dyDescent="0.2">
      <c r="D256" s="111"/>
      <c r="F256" s="73"/>
      <c r="G256" s="111"/>
      <c r="H256" s="73"/>
      <c r="I256" s="73"/>
      <c r="J256" s="73"/>
      <c r="K256" s="73"/>
      <c r="L256" s="73"/>
      <c r="M256"/>
      <c r="N256"/>
    </row>
    <row r="257" spans="1:14" x14ac:dyDescent="0.2">
      <c r="D257" s="73"/>
      <c r="E257" s="77"/>
      <c r="F257" s="73"/>
      <c r="G257" s="73"/>
      <c r="H257" s="73"/>
      <c r="I257" s="73"/>
      <c r="J257" s="73"/>
      <c r="K257" s="73"/>
      <c r="L257" s="73"/>
      <c r="M257"/>
      <c r="N257"/>
    </row>
    <row r="258" spans="1:14" ht="13.5" thickBot="1" x14ac:dyDescent="0.25">
      <c r="D258" s="73"/>
      <c r="E258" s="77"/>
      <c r="F258" s="73"/>
      <c r="G258" s="73"/>
      <c r="H258" s="73"/>
      <c r="I258" s="73"/>
      <c r="J258" s="73"/>
      <c r="K258" s="73"/>
      <c r="L258" s="73"/>
      <c r="M258"/>
      <c r="N258"/>
    </row>
    <row r="259" spans="1:14" ht="14.25" thickTop="1" thickBot="1" x14ac:dyDescent="0.25">
      <c r="B259" s="111" t="s">
        <v>365</v>
      </c>
      <c r="D259" s="108" t="s">
        <v>216</v>
      </c>
      <c r="E259" s="116">
        <f ca="1">MIN(5*E2,E237)*E260</f>
        <v>5435.7445238154178</v>
      </c>
      <c r="F259" s="73"/>
      <c r="G259" s="73"/>
      <c r="H259" s="73"/>
      <c r="I259" s="73"/>
      <c r="J259" s="73"/>
      <c r="K259" s="73"/>
      <c r="L259" s="73"/>
      <c r="M259"/>
      <c r="N259"/>
    </row>
    <row r="260" spans="1:14" ht="13.5" thickTop="1" x14ac:dyDescent="0.2">
      <c r="D260" s="72" t="s">
        <v>207</v>
      </c>
      <c r="E260" s="241">
        <v>3.7999999999999999E-2</v>
      </c>
      <c r="G260" s="73"/>
      <c r="H260" s="73"/>
      <c r="I260" s="73"/>
      <c r="J260" s="73"/>
      <c r="K260" s="73"/>
      <c r="L260" s="73"/>
      <c r="M260"/>
      <c r="N260"/>
    </row>
    <row r="261" spans="1:14" x14ac:dyDescent="0.2">
      <c r="D261" s="73"/>
      <c r="E261" s="77"/>
      <c r="F261" s="73"/>
      <c r="G261" s="73"/>
      <c r="H261" s="73"/>
      <c r="I261" s="73"/>
      <c r="J261" s="73"/>
      <c r="K261" s="73"/>
      <c r="L261" s="73"/>
      <c r="M261"/>
      <c r="N261"/>
    </row>
    <row r="262" spans="1:14" x14ac:dyDescent="0.2">
      <c r="D262" s="73"/>
      <c r="E262" s="77"/>
      <c r="F262" s="73"/>
      <c r="G262" s="73"/>
      <c r="H262" s="73"/>
      <c r="I262" s="73"/>
      <c r="J262" s="73"/>
      <c r="K262" s="73"/>
      <c r="L262" s="73"/>
      <c r="M262"/>
      <c r="N262"/>
    </row>
    <row r="263" spans="1:14" x14ac:dyDescent="0.2">
      <c r="D263" s="73"/>
      <c r="E263" s="238">
        <f ca="1">+E242+E245+E250+E254+E259</f>
        <v>25945.015375961255</v>
      </c>
      <c r="F263" s="73"/>
      <c r="G263" s="73"/>
      <c r="H263" s="73"/>
      <c r="I263" s="73"/>
      <c r="J263" s="73"/>
      <c r="K263" s="73"/>
      <c r="L263" s="73"/>
      <c r="M263"/>
      <c r="N263"/>
    </row>
    <row r="264" spans="1:14" x14ac:dyDescent="0.2">
      <c r="D264" s="73"/>
      <c r="E264" s="77"/>
      <c r="F264" s="73"/>
      <c r="G264" s="73"/>
      <c r="H264" s="73"/>
      <c r="I264" s="109"/>
      <c r="J264" s="109"/>
      <c r="K264" s="73"/>
      <c r="L264" s="73"/>
      <c r="M264"/>
      <c r="N264"/>
    </row>
    <row r="265" spans="1:14" x14ac:dyDescent="0.2">
      <c r="D265" s="73"/>
      <c r="E265" s="77"/>
      <c r="F265" s="73"/>
      <c r="G265" s="73"/>
      <c r="H265" s="73"/>
      <c r="I265" s="73"/>
      <c r="J265" s="73"/>
      <c r="K265" s="73"/>
      <c r="L265" s="73"/>
      <c r="M265"/>
      <c r="N265"/>
    </row>
    <row r="266" spans="1:14" x14ac:dyDescent="0.2">
      <c r="A266" s="209"/>
      <c r="B266" s="209"/>
      <c r="C266" s="209"/>
      <c r="D266" s="210"/>
      <c r="E266" s="209"/>
      <c r="F266" s="210"/>
      <c r="G266" s="210"/>
      <c r="H266" s="210"/>
      <c r="I266" s="210"/>
      <c r="J266" s="210"/>
      <c r="K266" s="210"/>
      <c r="L266" s="210"/>
      <c r="M266"/>
      <c r="N266"/>
    </row>
    <row r="267" spans="1:14" x14ac:dyDescent="0.2">
      <c r="D267" t="s">
        <v>27</v>
      </c>
      <c r="E267" s="111">
        <v>1</v>
      </c>
      <c r="M267"/>
      <c r="N267"/>
    </row>
    <row r="268" spans="1:14" x14ac:dyDescent="0.2">
      <c r="D268" t="s">
        <v>140</v>
      </c>
      <c r="E268" s="220">
        <f ca="1">EI_IS_cotisations!G21</f>
        <v>143045.90852145836</v>
      </c>
      <c r="M268"/>
      <c r="N268"/>
    </row>
    <row r="269" spans="1:14" ht="13.5" thickBot="1" x14ac:dyDescent="0.25">
      <c r="M269"/>
      <c r="N269"/>
    </row>
    <row r="270" spans="1:14" ht="14.25" thickTop="1" thickBot="1" x14ac:dyDescent="0.25">
      <c r="B270" s="111" t="s">
        <v>366</v>
      </c>
      <c r="D270" s="108" t="s">
        <v>198</v>
      </c>
      <c r="E270" s="116">
        <f ca="1">_xlfn.XLOOKUP(E268,E271:E278,F271:F278,,-1)</f>
        <v>19857</v>
      </c>
      <c r="M270"/>
      <c r="N270"/>
    </row>
    <row r="271" spans="1:14" ht="13.5" thickTop="1" x14ac:dyDescent="0.2">
      <c r="D271" s="73" t="str">
        <f>"&lt;"&amp;TEXT(E272,"000 0")</f>
        <v>&lt;26 581</v>
      </c>
      <c r="E271" s="239">
        <v>0</v>
      </c>
      <c r="F271" s="83">
        <v>1527</v>
      </c>
      <c r="J271" s="73"/>
      <c r="K271" s="73"/>
      <c r="L271" s="75"/>
      <c r="M271"/>
      <c r="N271"/>
    </row>
    <row r="272" spans="1:14" x14ac:dyDescent="0.2">
      <c r="D272" s="73" t="str">
        <f t="shared" ref="D272:D277" si="6">"&lt;"&amp;TEXT(E273,"000 0")</f>
        <v>&lt;49 281</v>
      </c>
      <c r="E272" s="239">
        <v>26581</v>
      </c>
      <c r="F272" s="83">
        <v>3055</v>
      </c>
      <c r="H272" s="73"/>
      <c r="I272" s="73"/>
      <c r="J272" s="73"/>
      <c r="K272" s="73"/>
      <c r="L272" s="75"/>
      <c r="M272"/>
      <c r="N272"/>
    </row>
    <row r="273" spans="1:14" x14ac:dyDescent="0.2">
      <c r="D273" s="73" t="str">
        <f t="shared" si="6"/>
        <v>&lt;57 851</v>
      </c>
      <c r="E273" s="239">
        <v>49281</v>
      </c>
      <c r="F273" s="83">
        <v>4582</v>
      </c>
      <c r="H273" s="73"/>
      <c r="I273" s="73"/>
      <c r="J273" s="73"/>
      <c r="K273" s="73"/>
      <c r="L273" s="75"/>
      <c r="M273"/>
      <c r="N273"/>
    </row>
    <row r="274" spans="1:14" x14ac:dyDescent="0.2">
      <c r="D274" s="73" t="str">
        <f t="shared" si="6"/>
        <v>&lt;66 401</v>
      </c>
      <c r="E274" s="239">
        <v>57851</v>
      </c>
      <c r="F274" s="83">
        <v>7637</v>
      </c>
      <c r="H274" s="73"/>
      <c r="I274" s="73"/>
      <c r="J274" s="73"/>
      <c r="K274" s="73"/>
      <c r="L274" s="75"/>
      <c r="M274"/>
      <c r="N274"/>
    </row>
    <row r="275" spans="1:14" x14ac:dyDescent="0.2">
      <c r="D275" s="73" t="str">
        <f t="shared" si="6"/>
        <v>&lt;83 061</v>
      </c>
      <c r="E275" s="239">
        <v>66401</v>
      </c>
      <c r="F275" s="83">
        <v>10692</v>
      </c>
      <c r="H275" s="73"/>
      <c r="I275" s="73"/>
      <c r="J275" s="73"/>
      <c r="K275" s="73"/>
      <c r="L275" s="75"/>
      <c r="M275"/>
      <c r="N275"/>
    </row>
    <row r="276" spans="1:14" x14ac:dyDescent="0.2">
      <c r="D276" s="73" t="str">
        <f t="shared" si="6"/>
        <v>&lt;103 181</v>
      </c>
      <c r="E276" s="239">
        <v>83061</v>
      </c>
      <c r="F276" s="83">
        <v>16802</v>
      </c>
      <c r="H276" s="73"/>
      <c r="I276" s="73"/>
      <c r="J276" s="73"/>
      <c r="K276" s="73"/>
      <c r="L276" s="75"/>
      <c r="M276"/>
      <c r="N276"/>
    </row>
    <row r="277" spans="1:14" x14ac:dyDescent="0.2">
      <c r="D277" s="73" t="str">
        <f t="shared" si="6"/>
        <v>&lt;123 301</v>
      </c>
      <c r="E277" s="239">
        <v>103181</v>
      </c>
      <c r="F277" s="83">
        <v>18329</v>
      </c>
      <c r="H277" s="73"/>
      <c r="I277" s="73"/>
      <c r="J277" s="73"/>
      <c r="K277" s="73"/>
      <c r="L277" s="75"/>
      <c r="M277"/>
      <c r="N277"/>
    </row>
    <row r="278" spans="1:14" x14ac:dyDescent="0.2">
      <c r="D278" s="73" t="str">
        <f>TEXT(E278,"000 0")&amp;" et +"</f>
        <v>123 301 et +</v>
      </c>
      <c r="E278" s="239">
        <v>123301</v>
      </c>
      <c r="F278" s="83">
        <v>19857</v>
      </c>
      <c r="H278" s="73"/>
      <c r="I278" s="73"/>
      <c r="J278" s="73"/>
      <c r="K278" s="73"/>
      <c r="L278" s="75"/>
      <c r="M278"/>
      <c r="N278"/>
    </row>
    <row r="279" spans="1:14" ht="13.5" thickBot="1" x14ac:dyDescent="0.25">
      <c r="D279" s="73"/>
      <c r="E279" s="77"/>
      <c r="F279" s="89"/>
      <c r="G279" s="84"/>
      <c r="H279" s="73"/>
      <c r="I279" s="73"/>
      <c r="J279" s="73"/>
      <c r="K279" s="73"/>
      <c r="L279" s="73"/>
      <c r="M279"/>
      <c r="N279"/>
    </row>
    <row r="280" spans="1:14" ht="14.25" thickTop="1" thickBot="1" x14ac:dyDescent="0.25">
      <c r="B280" s="111" t="s">
        <v>367</v>
      </c>
      <c r="D280" s="108" t="s">
        <v>54</v>
      </c>
      <c r="E280" s="230">
        <v>76</v>
      </c>
      <c r="F280" s="89"/>
      <c r="G280" s="84"/>
      <c r="H280" s="73"/>
      <c r="I280" s="73"/>
      <c r="J280" s="73"/>
      <c r="K280" s="73"/>
      <c r="L280" s="73"/>
      <c r="M280"/>
      <c r="N280"/>
    </row>
    <row r="281" spans="1:14" ht="13.5" thickTop="1" x14ac:dyDescent="0.2">
      <c r="D281" s="73"/>
      <c r="E281" s="77"/>
      <c r="F281" s="89"/>
      <c r="G281" s="84"/>
      <c r="H281" s="73"/>
      <c r="I281" s="73"/>
      <c r="J281" s="73"/>
      <c r="K281" s="73"/>
      <c r="L281" s="73"/>
      <c r="M281"/>
      <c r="N281"/>
    </row>
    <row r="282" spans="1:14" x14ac:dyDescent="0.2">
      <c r="D282" s="73"/>
      <c r="E282" s="238">
        <f ca="1">E270+E280</f>
        <v>19933</v>
      </c>
      <c r="F282" s="89"/>
      <c r="G282" s="84"/>
      <c r="H282" s="73"/>
      <c r="I282" s="73"/>
      <c r="J282" s="73"/>
      <c r="K282" s="73"/>
      <c r="L282" s="73"/>
      <c r="M282"/>
      <c r="N282"/>
    </row>
    <row r="283" spans="1:14" x14ac:dyDescent="0.2">
      <c r="D283" s="73"/>
      <c r="E283" s="77"/>
      <c r="F283" s="89"/>
      <c r="G283" s="84"/>
      <c r="H283" s="73"/>
      <c r="I283" s="73"/>
      <c r="J283" s="73"/>
      <c r="K283" s="73"/>
      <c r="L283" s="73"/>
      <c r="M283"/>
      <c r="N283"/>
    </row>
    <row r="284" spans="1:14" x14ac:dyDescent="0.2">
      <c r="A284" s="209"/>
      <c r="B284" s="209"/>
      <c r="C284" s="209"/>
      <c r="D284" s="210"/>
      <c r="E284" s="209"/>
      <c r="F284" s="210"/>
      <c r="G284" s="210"/>
      <c r="H284" s="210"/>
      <c r="I284" s="210"/>
      <c r="J284" s="210"/>
      <c r="K284" s="210"/>
      <c r="L284" s="210"/>
      <c r="M284"/>
      <c r="N284"/>
    </row>
    <row r="285" spans="1:14" x14ac:dyDescent="0.2">
      <c r="D285" s="73" t="s">
        <v>29</v>
      </c>
      <c r="E285" s="111">
        <v>13</v>
      </c>
      <c r="H285" s="73"/>
      <c r="I285" s="73"/>
      <c r="J285" s="75"/>
      <c r="K285" s="73"/>
      <c r="L285" s="73"/>
      <c r="M285"/>
      <c r="N285"/>
    </row>
    <row r="286" spans="1:14" x14ac:dyDescent="0.2">
      <c r="D286" s="73"/>
      <c r="H286" s="73"/>
      <c r="I286" s="73"/>
      <c r="J286" s="73"/>
      <c r="K286" s="73"/>
      <c r="L286" s="73"/>
      <c r="M286"/>
      <c r="N286"/>
    </row>
    <row r="287" spans="1:14" x14ac:dyDescent="0.2">
      <c r="D287" t="s">
        <v>140</v>
      </c>
      <c r="E287" s="220">
        <f ca="1">EI_IS_cotisations!G21</f>
        <v>143045.90852145836</v>
      </c>
      <c r="M287"/>
      <c r="N287"/>
    </row>
    <row r="288" spans="1:14" ht="13.5" thickBot="1" x14ac:dyDescent="0.25">
      <c r="D288" s="73"/>
      <c r="H288" s="73"/>
      <c r="I288" s="73"/>
      <c r="J288" s="73"/>
      <c r="K288" s="73"/>
      <c r="L288" s="73"/>
      <c r="M288"/>
      <c r="N288"/>
    </row>
    <row r="289" spans="1:14" ht="14.25" thickTop="1" thickBot="1" x14ac:dyDescent="0.25">
      <c r="B289" s="111" t="s">
        <v>368</v>
      </c>
      <c r="D289" s="108" t="s">
        <v>198</v>
      </c>
      <c r="E289" s="116">
        <f ca="1">_xlfn.XLOOKUP(E287,E290:E292,F290:F292,,-1)</f>
        <v>12089.76</v>
      </c>
      <c r="M289"/>
      <c r="N289"/>
    </row>
    <row r="290" spans="1:14" ht="13.5" thickTop="1" x14ac:dyDescent="0.2">
      <c r="D290" s="73" t="str">
        <f>"&lt;"&amp;E290</f>
        <v>&lt;0</v>
      </c>
      <c r="E290" s="74">
        <v>0</v>
      </c>
      <c r="F290" s="83">
        <v>8059.84</v>
      </c>
      <c r="G290" s="73"/>
      <c r="H290" s="73"/>
      <c r="I290" s="73"/>
      <c r="J290" s="73"/>
      <c r="K290" s="73"/>
      <c r="L290" s="73"/>
      <c r="M290"/>
      <c r="N290"/>
    </row>
    <row r="291" spans="1:14" x14ac:dyDescent="0.2">
      <c r="D291" s="73" t="str">
        <f>"&lt;"&amp;E291</f>
        <v>&lt;67590</v>
      </c>
      <c r="E291" s="74">
        <v>67590</v>
      </c>
      <c r="F291" s="83">
        <v>10074.799999999999</v>
      </c>
      <c r="G291" s="73"/>
      <c r="H291" s="73"/>
      <c r="I291" s="73"/>
      <c r="J291" s="73"/>
      <c r="K291" s="73"/>
      <c r="L291" s="73"/>
      <c r="M291"/>
      <c r="N291"/>
    </row>
    <row r="292" spans="1:14" x14ac:dyDescent="0.2">
      <c r="D292" s="73" t="str">
        <f>E292&amp;" et +"</f>
        <v>90121 et +</v>
      </c>
      <c r="E292" s="74">
        <v>90121</v>
      </c>
      <c r="F292" s="83">
        <v>12089.76</v>
      </c>
      <c r="G292" s="73"/>
      <c r="H292" s="73"/>
      <c r="I292" s="73"/>
      <c r="J292" s="73"/>
      <c r="K292" s="73"/>
      <c r="L292" s="73"/>
      <c r="M292"/>
      <c r="N292"/>
    </row>
    <row r="293" spans="1:14" x14ac:dyDescent="0.2">
      <c r="D293" s="73"/>
      <c r="E293" s="77"/>
      <c r="F293" s="73"/>
      <c r="G293" s="73"/>
      <c r="H293" s="73"/>
      <c r="I293" s="73"/>
      <c r="J293" s="73"/>
      <c r="K293" s="73"/>
      <c r="L293" s="73"/>
      <c r="M293"/>
      <c r="N293"/>
    </row>
    <row r="294" spans="1:14" ht="13.5" thickBot="1" x14ac:dyDescent="0.25">
      <c r="D294" s="73"/>
      <c r="E294" s="77"/>
      <c r="F294" s="73"/>
      <c r="G294" s="73"/>
      <c r="H294" s="73"/>
      <c r="I294" s="73"/>
      <c r="J294" s="73"/>
      <c r="K294" s="73"/>
      <c r="L294" s="73"/>
      <c r="M294"/>
      <c r="N294"/>
    </row>
    <row r="295" spans="1:14" ht="14.25" thickTop="1" thickBot="1" x14ac:dyDescent="0.25">
      <c r="B295" s="111" t="s">
        <v>369</v>
      </c>
      <c r="D295" s="108" t="s">
        <v>54</v>
      </c>
      <c r="E295" s="230">
        <v>390</v>
      </c>
      <c r="F295" s="73"/>
      <c r="G295" s="73"/>
      <c r="H295" s="73"/>
      <c r="I295" s="73"/>
      <c r="J295" s="73"/>
      <c r="K295" s="73"/>
      <c r="L295" s="73"/>
      <c r="M295"/>
      <c r="N295"/>
    </row>
    <row r="296" spans="1:14" ht="13.5" thickTop="1" x14ac:dyDescent="0.2">
      <c r="D296" s="73"/>
      <c r="E296" s="77"/>
      <c r="F296" s="73"/>
      <c r="G296" s="73"/>
      <c r="H296" s="73"/>
      <c r="I296" s="73"/>
      <c r="J296" s="73"/>
      <c r="K296" s="73"/>
      <c r="L296" s="73"/>
      <c r="M296"/>
      <c r="N296"/>
    </row>
    <row r="297" spans="1:14" x14ac:dyDescent="0.2">
      <c r="D297" s="73"/>
      <c r="E297" s="238">
        <f ca="1">E289+E295</f>
        <v>12479.76</v>
      </c>
      <c r="F297" s="73"/>
      <c r="G297" s="73"/>
      <c r="H297" s="73"/>
      <c r="I297" s="73"/>
      <c r="J297" s="73"/>
      <c r="K297" s="73"/>
      <c r="L297" s="73"/>
      <c r="M297"/>
      <c r="N297"/>
    </row>
    <row r="298" spans="1:14" x14ac:dyDescent="0.2">
      <c r="D298" s="73"/>
      <c r="E298" s="77"/>
      <c r="F298" s="73"/>
      <c r="G298" s="73"/>
      <c r="H298" s="73"/>
      <c r="I298" s="73"/>
      <c r="J298" s="73"/>
      <c r="K298" s="73"/>
      <c r="L298" s="73"/>
      <c r="M298"/>
      <c r="N298"/>
    </row>
    <row r="299" spans="1:14" x14ac:dyDescent="0.2">
      <c r="A299" s="209"/>
      <c r="B299" s="209"/>
      <c r="C299" s="209"/>
      <c r="D299" s="210"/>
      <c r="E299" s="209"/>
      <c r="F299" s="210"/>
      <c r="G299" s="210"/>
      <c r="H299" s="210"/>
      <c r="I299" s="210"/>
      <c r="J299" s="210"/>
      <c r="K299" s="210"/>
      <c r="L299" s="210"/>
      <c r="M299"/>
      <c r="N299"/>
    </row>
    <row r="300" spans="1:14" x14ac:dyDescent="0.2">
      <c r="D300" s="73" t="s">
        <v>32</v>
      </c>
      <c r="E300" s="111">
        <v>4</v>
      </c>
      <c r="M300"/>
      <c r="N300"/>
    </row>
    <row r="301" spans="1:14" x14ac:dyDescent="0.2">
      <c r="M301"/>
      <c r="N301"/>
    </row>
    <row r="302" spans="1:14" x14ac:dyDescent="0.2">
      <c r="D302" t="s">
        <v>140</v>
      </c>
      <c r="E302" s="243">
        <f ca="1">EI_IS_cotisations!G21</f>
        <v>143045.90852145836</v>
      </c>
      <c r="M302"/>
      <c r="N302"/>
    </row>
    <row r="303" spans="1:14" x14ac:dyDescent="0.2">
      <c r="D303" s="73" t="s">
        <v>33</v>
      </c>
      <c r="E303" s="217">
        <f>MAX(1,simulateur!H19)</f>
        <v>1</v>
      </c>
      <c r="M303"/>
      <c r="N303"/>
    </row>
    <row r="304" spans="1:14" x14ac:dyDescent="0.2">
      <c r="D304" t="s">
        <v>210</v>
      </c>
      <c r="E304" s="218">
        <f>MAX(1,simulateur!H20)</f>
        <v>1</v>
      </c>
      <c r="M304"/>
      <c r="N304"/>
    </row>
    <row r="305" spans="2:14" ht="13.5" thickBot="1" x14ac:dyDescent="0.25">
      <c r="M305"/>
      <c r="N305"/>
    </row>
    <row r="306" spans="2:14" ht="14.25" thickTop="1" thickBot="1" x14ac:dyDescent="0.25">
      <c r="B306" s="111" t="s">
        <v>370</v>
      </c>
      <c r="D306" s="108" t="s">
        <v>54</v>
      </c>
      <c r="E306" s="230">
        <v>1031</v>
      </c>
      <c r="F306" s="73"/>
      <c r="J306" s="73"/>
      <c r="K306" s="73"/>
      <c r="L306" s="73"/>
      <c r="M306"/>
      <c r="N306"/>
    </row>
    <row r="307" spans="2:14" ht="13.5" thickTop="1" x14ac:dyDescent="0.2">
      <c r="D307" s="73"/>
      <c r="E307" s="77"/>
      <c r="F307" s="73"/>
      <c r="G307" s="73"/>
      <c r="H307" s="73"/>
      <c r="I307" s="73"/>
      <c r="J307" s="73"/>
      <c r="K307" s="73"/>
      <c r="L307" s="73"/>
      <c r="M307"/>
      <c r="N307"/>
    </row>
    <row r="308" spans="2:14" ht="13.5" thickBot="1" x14ac:dyDescent="0.25">
      <c r="F308" s="73"/>
      <c r="G308" s="73"/>
      <c r="H308" s="73"/>
      <c r="I308" s="73"/>
      <c r="J308" s="73"/>
      <c r="K308" s="73"/>
      <c r="L308" s="73"/>
      <c r="M308"/>
      <c r="N308"/>
    </row>
    <row r="309" spans="2:14" ht="14.25" thickTop="1" thickBot="1" x14ac:dyDescent="0.25">
      <c r="B309" s="111" t="s">
        <v>371</v>
      </c>
      <c r="D309" s="108" t="s">
        <v>211</v>
      </c>
      <c r="E309" s="116">
        <f>_xlfn.XLOOKUP(E303,D310:D317,E310:E317,,-1)</f>
        <v>2420</v>
      </c>
      <c r="M309"/>
      <c r="N309"/>
    </row>
    <row r="310" spans="2:14" ht="13.5" thickTop="1" x14ac:dyDescent="0.2">
      <c r="D310" s="77">
        <v>1</v>
      </c>
      <c r="E310" s="114">
        <v>2420</v>
      </c>
      <c r="F310" s="73"/>
      <c r="G310" s="73"/>
      <c r="H310" s="73"/>
      <c r="I310" s="73"/>
      <c r="J310" s="73"/>
      <c r="K310" s="73"/>
      <c r="L310" s="73"/>
      <c r="M310"/>
      <c r="N310"/>
    </row>
    <row r="311" spans="2:14" x14ac:dyDescent="0.2">
      <c r="D311" s="77">
        <v>2</v>
      </c>
      <c r="E311" s="114">
        <v>4840</v>
      </c>
      <c r="F311" s="73"/>
      <c r="G311" s="73"/>
      <c r="H311" s="73"/>
      <c r="I311" s="73"/>
      <c r="J311" s="73"/>
      <c r="K311" s="73"/>
      <c r="L311" s="73"/>
      <c r="M311"/>
      <c r="N311"/>
    </row>
    <row r="312" spans="2:14" x14ac:dyDescent="0.2">
      <c r="D312" s="77">
        <v>3</v>
      </c>
      <c r="E312" s="114">
        <v>7260</v>
      </c>
      <c r="F312" s="73"/>
      <c r="G312" s="73"/>
      <c r="H312" s="73"/>
      <c r="I312" s="73"/>
      <c r="J312" s="73"/>
      <c r="K312" s="73"/>
      <c r="L312" s="73"/>
      <c r="M312"/>
      <c r="N312"/>
    </row>
    <row r="313" spans="2:14" x14ac:dyDescent="0.2">
      <c r="D313" s="77">
        <v>4</v>
      </c>
      <c r="E313" s="115">
        <v>9680</v>
      </c>
      <c r="F313" s="73"/>
      <c r="G313" s="73"/>
      <c r="H313" s="73"/>
      <c r="I313" s="73"/>
      <c r="J313" s="73"/>
      <c r="K313" s="73"/>
      <c r="L313" s="73"/>
      <c r="M313"/>
      <c r="N313"/>
    </row>
    <row r="314" spans="2:14" x14ac:dyDescent="0.2">
      <c r="D314" s="77">
        <v>5</v>
      </c>
      <c r="E314" s="115">
        <v>12100</v>
      </c>
      <c r="F314" s="73"/>
      <c r="G314" s="73"/>
      <c r="H314" s="73"/>
      <c r="I314" s="73"/>
      <c r="J314" s="73"/>
      <c r="K314" s="73"/>
      <c r="L314" s="73"/>
      <c r="M314"/>
      <c r="N314"/>
    </row>
    <row r="315" spans="2:14" x14ac:dyDescent="0.2">
      <c r="D315" s="77">
        <v>6</v>
      </c>
      <c r="E315" s="115">
        <v>14520</v>
      </c>
      <c r="F315" s="73"/>
      <c r="G315" s="73"/>
      <c r="H315" s="73"/>
      <c r="I315" s="73"/>
      <c r="J315" s="73"/>
      <c r="K315" s="73"/>
      <c r="L315" s="73"/>
      <c r="M315"/>
      <c r="N315"/>
    </row>
    <row r="316" spans="2:14" x14ac:dyDescent="0.2">
      <c r="D316" s="77">
        <v>7</v>
      </c>
      <c r="E316" s="115">
        <v>16940</v>
      </c>
      <c r="F316" s="73"/>
      <c r="G316" s="73"/>
      <c r="H316" s="73"/>
      <c r="I316" s="73"/>
      <c r="J316" s="73"/>
      <c r="K316" s="73"/>
      <c r="L316" s="73"/>
      <c r="M316"/>
      <c r="N316"/>
    </row>
    <row r="317" spans="2:14" x14ac:dyDescent="0.2">
      <c r="D317" s="77">
        <v>8</v>
      </c>
      <c r="E317" s="114">
        <v>19360</v>
      </c>
      <c r="F317" s="73"/>
      <c r="G317" s="73"/>
      <c r="H317" s="73"/>
      <c r="I317" s="73"/>
      <c r="J317" s="73"/>
      <c r="K317" s="73"/>
      <c r="L317" s="73"/>
      <c r="M317"/>
      <c r="N317"/>
    </row>
    <row r="318" spans="2:14" ht="13.5" thickBot="1" x14ac:dyDescent="0.25">
      <c r="D318" s="73"/>
      <c r="E318" s="77"/>
      <c r="F318" s="73"/>
      <c r="G318" s="73"/>
      <c r="H318" s="73"/>
      <c r="I318" s="73"/>
      <c r="J318" s="73"/>
      <c r="K318" s="73"/>
      <c r="L318" s="73"/>
      <c r="M318"/>
      <c r="N318"/>
    </row>
    <row r="319" spans="2:14" ht="14.25" thickTop="1" thickBot="1" x14ac:dyDescent="0.25">
      <c r="B319" s="111" t="s">
        <v>372</v>
      </c>
      <c r="D319" s="108" t="s">
        <v>212</v>
      </c>
      <c r="E319" s="116">
        <f>E320*E304</f>
        <v>4.1000000000000002E-2</v>
      </c>
      <c r="F319" s="73"/>
      <c r="G319" s="73"/>
      <c r="H319" s="73"/>
      <c r="I319" s="73"/>
      <c r="J319" s="73"/>
      <c r="K319" s="73"/>
      <c r="L319" s="73"/>
      <c r="M319"/>
      <c r="N319"/>
    </row>
    <row r="320" spans="2:14" ht="13.5" thickTop="1" x14ac:dyDescent="0.2">
      <c r="D320" s="73" t="s">
        <v>207</v>
      </c>
      <c r="E320" s="117">
        <v>4.1000000000000002E-2</v>
      </c>
      <c r="F320" s="73"/>
      <c r="G320" s="73"/>
      <c r="H320" s="73"/>
      <c r="I320" s="73"/>
      <c r="J320" s="73"/>
      <c r="K320" s="73"/>
      <c r="L320" s="73"/>
      <c r="M320"/>
      <c r="N320"/>
    </row>
    <row r="321" spans="1:14" x14ac:dyDescent="0.2">
      <c r="D321" s="73"/>
      <c r="E321" s="77"/>
      <c r="F321" s="73"/>
      <c r="G321" s="73"/>
      <c r="H321" s="73"/>
      <c r="I321" s="73"/>
      <c r="J321" s="73"/>
      <c r="K321" s="73"/>
      <c r="L321" s="73"/>
      <c r="M321"/>
      <c r="N321"/>
    </row>
    <row r="322" spans="1:14" x14ac:dyDescent="0.2">
      <c r="D322" s="73"/>
      <c r="E322" s="238">
        <f>E306+E309+E319</f>
        <v>3451.0410000000002</v>
      </c>
      <c r="F322" s="73"/>
      <c r="G322" s="73"/>
      <c r="H322" s="73"/>
      <c r="I322" s="73"/>
      <c r="J322" s="73"/>
      <c r="K322" s="73"/>
      <c r="L322" s="73"/>
      <c r="M322"/>
      <c r="N322"/>
    </row>
    <row r="323" spans="1:14" x14ac:dyDescent="0.2">
      <c r="D323" s="73"/>
      <c r="E323" s="77"/>
      <c r="F323" s="73"/>
      <c r="G323" s="73"/>
      <c r="H323" s="73"/>
      <c r="I323" s="73"/>
      <c r="J323" s="73"/>
      <c r="K323" s="73"/>
      <c r="L323" s="73"/>
      <c r="M323"/>
      <c r="N323"/>
    </row>
    <row r="324" spans="1:14" x14ac:dyDescent="0.2">
      <c r="A324" s="209"/>
      <c r="B324" s="209"/>
      <c r="C324" s="209"/>
      <c r="D324" s="210"/>
      <c r="E324" s="209"/>
      <c r="F324" s="210"/>
      <c r="G324" s="210"/>
      <c r="H324" s="210"/>
      <c r="I324" s="210"/>
      <c r="J324" s="210"/>
      <c r="K324" s="210"/>
      <c r="L324" s="210"/>
      <c r="M324"/>
      <c r="N324"/>
    </row>
    <row r="325" spans="1:14" x14ac:dyDescent="0.2">
      <c r="D325" s="73" t="s">
        <v>37</v>
      </c>
      <c r="E325" s="111">
        <v>5</v>
      </c>
      <c r="J325" s="94"/>
      <c r="K325" s="73"/>
      <c r="L325" s="73"/>
      <c r="M325"/>
      <c r="N325"/>
    </row>
    <row r="326" spans="1:14" x14ac:dyDescent="0.2">
      <c r="D326" s="93"/>
      <c r="J326" s="94"/>
      <c r="K326" s="73"/>
      <c r="L326" s="73"/>
      <c r="M326"/>
      <c r="N326"/>
    </row>
    <row r="327" spans="1:14" x14ac:dyDescent="0.2">
      <c r="D327" t="s">
        <v>140</v>
      </c>
      <c r="E327" s="243">
        <f ca="1">EI_IS_cotisations!G21</f>
        <v>143045.90852145836</v>
      </c>
      <c r="M327"/>
      <c r="N327"/>
    </row>
    <row r="328" spans="1:14" x14ac:dyDescent="0.2">
      <c r="D328" s="93"/>
      <c r="J328" s="94"/>
      <c r="K328" s="73"/>
      <c r="L328" s="73"/>
      <c r="M328"/>
      <c r="N328"/>
    </row>
    <row r="329" spans="1:14" x14ac:dyDescent="0.2">
      <c r="D329" s="93"/>
      <c r="J329" s="94"/>
      <c r="K329" s="73"/>
      <c r="L329" s="73"/>
      <c r="M329"/>
      <c r="N329"/>
    </row>
    <row r="330" spans="1:14" ht="13.5" thickBot="1" x14ac:dyDescent="0.25">
      <c r="D330" s="93"/>
      <c r="J330" s="94"/>
      <c r="K330" s="73"/>
      <c r="L330" s="73"/>
      <c r="M330"/>
      <c r="N330"/>
    </row>
    <row r="331" spans="1:14" ht="14.25" thickTop="1" thickBot="1" x14ac:dyDescent="0.25">
      <c r="B331" s="111" t="s">
        <v>373</v>
      </c>
      <c r="D331" s="108" t="s">
        <v>198</v>
      </c>
      <c r="E331" s="116">
        <f ca="1">VLOOKUP(E327,E332:F334,2,TRUE)</f>
        <v>17880.738565182295</v>
      </c>
      <c r="J331" s="94"/>
      <c r="K331" s="73"/>
      <c r="L331" s="73"/>
      <c r="M331"/>
      <c r="N331"/>
    </row>
    <row r="332" spans="1:14" ht="13.5" thickTop="1" x14ac:dyDescent="0.2">
      <c r="D332" s="73" t="str">
        <f>"&lt;"&amp;E332</f>
        <v>&lt;0</v>
      </c>
      <c r="E332" s="77">
        <v>0</v>
      </c>
      <c r="F332" s="83">
        <v>977</v>
      </c>
      <c r="I332" s="73"/>
      <c r="J332" s="94"/>
      <c r="K332" s="73"/>
      <c r="L332" s="73"/>
      <c r="M332"/>
      <c r="N332"/>
    </row>
    <row r="333" spans="1:14" x14ac:dyDescent="0.2">
      <c r="D333" s="73" t="str">
        <f>"&lt;"&amp;E333</f>
        <v>&lt;7815,84</v>
      </c>
      <c r="E333" s="93">
        <f>19%*E2</f>
        <v>7815.84</v>
      </c>
      <c r="F333" s="118">
        <f ca="1">E327*12.5%</f>
        <v>17880.738565182295</v>
      </c>
      <c r="I333" s="73"/>
      <c r="J333" s="94"/>
      <c r="K333" s="73"/>
      <c r="L333" s="73"/>
      <c r="M333"/>
      <c r="N333"/>
    </row>
    <row r="334" spans="1:14" x14ac:dyDescent="0.2">
      <c r="D334" s="73" t="str">
        <f>"&lt;"&amp;E334</f>
        <v>&lt;329088</v>
      </c>
      <c r="E334" s="77">
        <f>8*E2</f>
        <v>329088</v>
      </c>
      <c r="F334" s="118">
        <f>+E334*12.5%</f>
        <v>41136</v>
      </c>
      <c r="I334" s="73"/>
      <c r="J334" s="94"/>
      <c r="K334" s="73"/>
      <c r="L334" s="73"/>
      <c r="M334"/>
      <c r="N334"/>
    </row>
    <row r="335" spans="1:14" ht="13.5" thickBot="1" x14ac:dyDescent="0.25">
      <c r="D335" s="73"/>
      <c r="E335" s="77"/>
      <c r="F335" s="84"/>
      <c r="I335" s="73"/>
      <c r="J335" s="94"/>
      <c r="K335" s="73"/>
      <c r="L335" s="73"/>
      <c r="M335"/>
      <c r="N335"/>
    </row>
    <row r="336" spans="1:14" ht="14.25" thickTop="1" thickBot="1" x14ac:dyDescent="0.25">
      <c r="B336" s="111" t="s">
        <v>374</v>
      </c>
      <c r="D336" s="108" t="s">
        <v>54</v>
      </c>
      <c r="E336" s="230">
        <v>390</v>
      </c>
      <c r="F336" s="73"/>
      <c r="J336" s="73"/>
      <c r="K336" s="73"/>
      <c r="L336" s="73"/>
      <c r="M336"/>
      <c r="N336"/>
    </row>
    <row r="337" spans="1:14" ht="13.5" thickTop="1" x14ac:dyDescent="0.2">
      <c r="D337" s="73"/>
      <c r="E337" s="77"/>
      <c r="F337" s="84"/>
      <c r="I337" s="73"/>
      <c r="J337" s="94"/>
      <c r="K337" s="73"/>
      <c r="L337" s="73"/>
      <c r="M337"/>
      <c r="N337"/>
    </row>
    <row r="338" spans="1:14" x14ac:dyDescent="0.2">
      <c r="D338" s="73"/>
      <c r="E338" s="77"/>
      <c r="F338" s="84"/>
      <c r="I338" s="73"/>
      <c r="J338" s="94"/>
      <c r="K338" s="73"/>
      <c r="L338" s="73"/>
      <c r="M338"/>
      <c r="N338"/>
    </row>
    <row r="339" spans="1:14" x14ac:dyDescent="0.2">
      <c r="D339" s="73"/>
      <c r="E339" s="238">
        <f ca="1">E331+E336</f>
        <v>18270.738565182295</v>
      </c>
      <c r="F339" s="73"/>
      <c r="I339" s="73"/>
      <c r="J339" s="73"/>
      <c r="K339" s="73"/>
      <c r="L339" s="73"/>
      <c r="M339"/>
      <c r="N339"/>
    </row>
    <row r="340" spans="1:14" x14ac:dyDescent="0.2">
      <c r="D340" s="73"/>
      <c r="E340" s="77"/>
      <c r="F340" s="73"/>
      <c r="G340" s="73"/>
      <c r="H340" s="73"/>
      <c r="I340" s="73"/>
      <c r="J340" s="73"/>
      <c r="K340" s="73"/>
      <c r="L340" s="73"/>
      <c r="M340"/>
      <c r="N340"/>
    </row>
    <row r="341" spans="1:14" x14ac:dyDescent="0.2">
      <c r="D341" s="73"/>
      <c r="E341" s="77"/>
      <c r="F341" s="73"/>
      <c r="G341" s="73"/>
      <c r="H341" s="73"/>
      <c r="I341" s="73"/>
      <c r="J341" s="73"/>
      <c r="K341" s="73"/>
      <c r="L341" s="73"/>
      <c r="M341"/>
      <c r="N341"/>
    </row>
    <row r="342" spans="1:14" x14ac:dyDescent="0.2">
      <c r="A342" s="209"/>
      <c r="B342" s="209"/>
      <c r="C342" s="209"/>
      <c r="D342" s="210"/>
      <c r="E342" s="209"/>
      <c r="F342" s="210"/>
      <c r="G342" s="210"/>
      <c r="H342" s="210"/>
      <c r="I342" s="210"/>
      <c r="J342" s="210"/>
      <c r="K342" s="210"/>
      <c r="L342" s="210"/>
      <c r="M342"/>
      <c r="N342"/>
    </row>
    <row r="343" spans="1:14" x14ac:dyDescent="0.2">
      <c r="D343" s="73" t="s">
        <v>39</v>
      </c>
      <c r="E343" s="77">
        <v>11</v>
      </c>
      <c r="F343" s="73"/>
      <c r="G343" s="73"/>
      <c r="H343" s="73"/>
      <c r="L343" s="73"/>
      <c r="M343"/>
      <c r="N343"/>
    </row>
    <row r="344" spans="1:14" x14ac:dyDescent="0.2">
      <c r="D344" s="73"/>
      <c r="E344" s="77"/>
      <c r="F344" s="73"/>
      <c r="G344" s="73"/>
      <c r="H344" s="73"/>
      <c r="L344" s="73"/>
      <c r="M344"/>
      <c r="N344"/>
    </row>
    <row r="345" spans="1:14" x14ac:dyDescent="0.2">
      <c r="D345" t="s">
        <v>140</v>
      </c>
      <c r="E345" s="220">
        <f ca="1">EI_IS_cotisations!G21</f>
        <v>143045.90852145836</v>
      </c>
      <c r="F345" s="73"/>
      <c r="G345" s="73"/>
      <c r="H345" s="73"/>
      <c r="L345" s="73"/>
      <c r="M345"/>
      <c r="N345"/>
    </row>
    <row r="346" spans="1:14" ht="13.5" thickBot="1" x14ac:dyDescent="0.25">
      <c r="D346" s="73"/>
      <c r="E346" s="77"/>
      <c r="F346" s="73"/>
      <c r="G346" s="73"/>
      <c r="H346" s="73"/>
      <c r="L346" s="73"/>
      <c r="M346"/>
      <c r="N346"/>
    </row>
    <row r="347" spans="1:14" ht="14.25" thickTop="1" thickBot="1" x14ac:dyDescent="0.25">
      <c r="B347" s="111" t="s">
        <v>375</v>
      </c>
      <c r="D347" s="108" t="s">
        <v>23</v>
      </c>
      <c r="E347" s="116">
        <f ca="1">MIN(F349,E345*E349)</f>
        <v>205.68</v>
      </c>
      <c r="H347" s="73"/>
      <c r="L347" s="73"/>
      <c r="M347"/>
      <c r="N347"/>
    </row>
    <row r="348" spans="1:14" ht="13.5" thickTop="1" x14ac:dyDescent="0.2">
      <c r="D348" s="81"/>
      <c r="F348" t="s">
        <v>240</v>
      </c>
      <c r="H348" s="73"/>
      <c r="L348" s="73"/>
      <c r="M348"/>
      <c r="N348"/>
    </row>
    <row r="349" spans="1:14" x14ac:dyDescent="0.2">
      <c r="D349" s="111" t="s">
        <v>18</v>
      </c>
      <c r="E349" s="222">
        <v>3.0000000000000001E-3</v>
      </c>
      <c r="F349" s="122">
        <f>E2*0.5%</f>
        <v>205.68</v>
      </c>
      <c r="H349" s="73"/>
      <c r="L349" s="73"/>
      <c r="M349"/>
      <c r="N349"/>
    </row>
    <row r="350" spans="1:14" x14ac:dyDescent="0.2">
      <c r="D350" s="73"/>
      <c r="E350" s="77"/>
      <c r="F350" s="73"/>
      <c r="G350" s="73"/>
      <c r="H350" s="73"/>
      <c r="L350" s="73"/>
      <c r="M350"/>
      <c r="N350"/>
    </row>
    <row r="351" spans="1:14" ht="13.5" thickBot="1" x14ac:dyDescent="0.25">
      <c r="D351" s="73"/>
      <c r="E351" s="77"/>
      <c r="F351" s="73"/>
      <c r="G351" s="73"/>
      <c r="H351" s="73"/>
      <c r="L351" s="73"/>
      <c r="M351"/>
      <c r="N351"/>
    </row>
    <row r="352" spans="1:14" ht="14.25" thickTop="1" thickBot="1" x14ac:dyDescent="0.25">
      <c r="B352" s="111" t="s">
        <v>376</v>
      </c>
      <c r="D352" s="108" t="s">
        <v>54</v>
      </c>
      <c r="E352" s="230">
        <v>618</v>
      </c>
      <c r="F352" s="73"/>
      <c r="J352" s="73"/>
      <c r="K352" s="73"/>
      <c r="L352" s="73"/>
      <c r="M352"/>
      <c r="N352"/>
    </row>
    <row r="353" spans="2:14" ht="14.25" thickTop="1" thickBot="1" x14ac:dyDescent="0.25">
      <c r="D353" s="73"/>
      <c r="E353" s="77"/>
      <c r="F353" s="73"/>
      <c r="G353" s="73"/>
      <c r="H353" s="73"/>
      <c r="L353" s="73"/>
      <c r="M353"/>
      <c r="N353"/>
    </row>
    <row r="354" spans="2:14" ht="14.25" thickTop="1" thickBot="1" x14ac:dyDescent="0.25">
      <c r="B354" s="111" t="s">
        <v>377</v>
      </c>
      <c r="D354" s="108" t="s">
        <v>213</v>
      </c>
      <c r="E354" s="230">
        <v>6160</v>
      </c>
      <c r="F354" s="73"/>
      <c r="G354" s="73"/>
      <c r="H354" s="73"/>
      <c r="L354" s="73"/>
      <c r="M354"/>
      <c r="N354"/>
    </row>
    <row r="355" spans="2:14" ht="13.5" thickTop="1" x14ac:dyDescent="0.2">
      <c r="D355" s="73"/>
      <c r="E355" s="77"/>
      <c r="F355" s="73"/>
      <c r="G355" s="73"/>
      <c r="H355" s="73"/>
      <c r="L355" s="73"/>
      <c r="M355"/>
      <c r="N355"/>
    </row>
    <row r="356" spans="2:14" ht="13.5" thickBot="1" x14ac:dyDescent="0.25">
      <c r="D356" s="73"/>
      <c r="E356" s="77"/>
      <c r="H356" s="73"/>
      <c r="L356" s="73"/>
      <c r="M356"/>
      <c r="N356"/>
    </row>
    <row r="357" spans="2:14" ht="14.25" thickTop="1" thickBot="1" x14ac:dyDescent="0.25">
      <c r="B357" s="111" t="s">
        <v>378</v>
      </c>
      <c r="D357" s="108" t="s">
        <v>214</v>
      </c>
      <c r="E357" s="230">
        <f ca="1">VLOOKUP(E345,E358:F368,2,TRUE)</f>
        <v>8624</v>
      </c>
      <c r="F357" s="73"/>
      <c r="G357" s="73"/>
      <c r="H357" s="73"/>
      <c r="L357" s="73"/>
      <c r="M357"/>
      <c r="N357"/>
    </row>
    <row r="358" spans="2:14" ht="13.5" thickTop="1" x14ac:dyDescent="0.2">
      <c r="D358" s="73" t="s">
        <v>40</v>
      </c>
      <c r="E358" s="77">
        <v>0</v>
      </c>
      <c r="F358" s="83">
        <v>2464</v>
      </c>
      <c r="G358" s="73"/>
      <c r="H358" s="73"/>
      <c r="L358" s="73"/>
      <c r="M358"/>
      <c r="N358"/>
    </row>
    <row r="359" spans="2:14" x14ac:dyDescent="0.2">
      <c r="D359" s="73" t="s">
        <v>41</v>
      </c>
      <c r="E359" s="77">
        <v>74560</v>
      </c>
      <c r="F359" s="83">
        <v>3696</v>
      </c>
      <c r="G359" s="73"/>
      <c r="H359" s="73"/>
      <c r="L359" s="73"/>
      <c r="M359"/>
      <c r="N359"/>
    </row>
    <row r="360" spans="2:14" x14ac:dyDescent="0.2">
      <c r="D360" s="73" t="s">
        <v>42</v>
      </c>
      <c r="E360" s="77">
        <v>89986</v>
      </c>
      <c r="F360" s="83">
        <v>4928</v>
      </c>
      <c r="G360" s="73"/>
      <c r="H360" s="73"/>
      <c r="L360" s="73"/>
      <c r="M360"/>
      <c r="N360"/>
    </row>
    <row r="361" spans="2:14" x14ac:dyDescent="0.2">
      <c r="D361" s="73" t="s">
        <v>43</v>
      </c>
      <c r="E361" s="77">
        <v>105412</v>
      </c>
      <c r="F361" s="83">
        <v>6160</v>
      </c>
      <c r="G361" s="73"/>
      <c r="H361" s="73"/>
      <c r="I361" s="73"/>
      <c r="L361" s="73"/>
      <c r="M361"/>
      <c r="N361"/>
    </row>
    <row r="362" spans="2:14" x14ac:dyDescent="0.2">
      <c r="D362" s="73" t="s">
        <v>44</v>
      </c>
      <c r="E362" s="77">
        <v>120838</v>
      </c>
      <c r="F362" s="83">
        <v>7392</v>
      </c>
      <c r="G362" s="73"/>
      <c r="H362" s="73"/>
      <c r="I362" s="73"/>
      <c r="L362" s="73"/>
      <c r="M362"/>
      <c r="N362"/>
    </row>
    <row r="363" spans="2:14" x14ac:dyDescent="0.2">
      <c r="D363" s="73" t="s">
        <v>45</v>
      </c>
      <c r="E363" s="77">
        <v>136264</v>
      </c>
      <c r="F363" s="83">
        <v>8624</v>
      </c>
      <c r="G363" s="73"/>
      <c r="H363" s="73"/>
      <c r="I363" s="73"/>
      <c r="L363" s="73"/>
      <c r="M363"/>
      <c r="N363"/>
    </row>
    <row r="364" spans="2:14" x14ac:dyDescent="0.2">
      <c r="D364" s="73" t="s">
        <v>46</v>
      </c>
      <c r="E364" s="77">
        <v>151690</v>
      </c>
      <c r="F364" s="83">
        <v>9856</v>
      </c>
      <c r="G364" s="73"/>
      <c r="H364" s="73"/>
      <c r="I364" s="73"/>
      <c r="L364" s="73"/>
      <c r="M364"/>
      <c r="N364"/>
    </row>
    <row r="365" spans="2:14" x14ac:dyDescent="0.2">
      <c r="D365" s="73" t="s">
        <v>47</v>
      </c>
      <c r="E365" s="77">
        <v>167116</v>
      </c>
      <c r="F365" s="83">
        <v>11088</v>
      </c>
      <c r="G365" s="73"/>
      <c r="H365" s="73"/>
      <c r="I365" s="73"/>
      <c r="L365" s="73"/>
      <c r="M365"/>
      <c r="N365"/>
    </row>
    <row r="366" spans="2:14" x14ac:dyDescent="0.2">
      <c r="D366" s="73" t="s">
        <v>48</v>
      </c>
      <c r="E366" s="77">
        <v>182542</v>
      </c>
      <c r="F366" s="83">
        <v>12320</v>
      </c>
      <c r="G366" s="73"/>
      <c r="H366" s="73"/>
      <c r="I366" s="73"/>
      <c r="L366" s="73"/>
      <c r="M366"/>
      <c r="N366"/>
    </row>
    <row r="367" spans="2:14" x14ac:dyDescent="0.2">
      <c r="D367" s="73" t="s">
        <v>49</v>
      </c>
      <c r="E367" s="77">
        <v>197968</v>
      </c>
      <c r="F367" s="83">
        <v>13552</v>
      </c>
      <c r="G367" s="73"/>
      <c r="H367" s="73"/>
      <c r="I367" s="73"/>
      <c r="L367" s="73"/>
      <c r="M367"/>
      <c r="N367"/>
    </row>
    <row r="368" spans="2:14" x14ac:dyDescent="0.2">
      <c r="D368" s="73" t="s">
        <v>50</v>
      </c>
      <c r="E368" s="77">
        <v>213394</v>
      </c>
      <c r="F368" s="83">
        <v>14784</v>
      </c>
      <c r="G368" s="73"/>
      <c r="H368" s="73"/>
      <c r="I368" s="73"/>
      <c r="L368" s="73"/>
      <c r="M368"/>
      <c r="N368"/>
    </row>
    <row r="369" spans="1:14" x14ac:dyDescent="0.2">
      <c r="D369" s="73"/>
      <c r="E369" s="77"/>
      <c r="F369" s="73"/>
      <c r="G369" s="73"/>
      <c r="H369" s="73"/>
      <c r="I369" s="73"/>
      <c r="L369" s="73"/>
      <c r="M369"/>
      <c r="N369"/>
    </row>
    <row r="370" spans="1:14" ht="13.5" thickBot="1" x14ac:dyDescent="0.25">
      <c r="D370" s="73"/>
      <c r="E370" s="77"/>
      <c r="F370" s="73"/>
      <c r="G370" s="73"/>
      <c r="H370" s="73"/>
      <c r="I370" s="73"/>
      <c r="L370" s="73"/>
      <c r="M370"/>
      <c r="N370"/>
    </row>
    <row r="371" spans="1:14" ht="14.25" thickTop="1" thickBot="1" x14ac:dyDescent="0.25">
      <c r="B371" s="111" t="s">
        <v>379</v>
      </c>
      <c r="D371" s="108" t="s">
        <v>26</v>
      </c>
      <c r="E371" s="230">
        <v>596</v>
      </c>
      <c r="F371" s="73"/>
      <c r="G371" s="73"/>
      <c r="H371" s="73"/>
      <c r="I371" s="73"/>
      <c r="L371" s="73"/>
      <c r="M371"/>
      <c r="N371"/>
    </row>
    <row r="372" spans="1:14" ht="14.25" thickTop="1" thickBot="1" x14ac:dyDescent="0.25">
      <c r="D372" s="73"/>
      <c r="E372" s="77"/>
      <c r="F372" s="73"/>
      <c r="G372" s="73"/>
      <c r="H372" s="73"/>
      <c r="I372" s="73"/>
      <c r="L372" s="73"/>
      <c r="M372"/>
      <c r="N372"/>
    </row>
    <row r="373" spans="1:14" ht="14.25" thickTop="1" thickBot="1" x14ac:dyDescent="0.25">
      <c r="B373" s="111" t="s">
        <v>380</v>
      </c>
      <c r="D373" s="108" t="s">
        <v>51</v>
      </c>
      <c r="E373" s="116">
        <f ca="1">MIN(E345,5*E2)*E374</f>
        <v>858.27545112875021</v>
      </c>
      <c r="F373" s="73"/>
      <c r="G373" s="73"/>
      <c r="H373" s="73"/>
      <c r="I373" s="73"/>
      <c r="L373" s="73"/>
      <c r="M373"/>
      <c r="N373"/>
    </row>
    <row r="374" spans="1:14" ht="13.5" thickTop="1" x14ac:dyDescent="0.2">
      <c r="D374" s="73" t="s">
        <v>207</v>
      </c>
      <c r="E374" s="244">
        <v>6.0000000000000001E-3</v>
      </c>
      <c r="F374" s="73"/>
      <c r="G374" s="73"/>
      <c r="H374" s="73"/>
      <c r="I374" s="73"/>
      <c r="L374" s="73"/>
      <c r="M374"/>
      <c r="N374"/>
    </row>
    <row r="375" spans="1:14" x14ac:dyDescent="0.2">
      <c r="D375" s="73"/>
      <c r="E375" s="77"/>
      <c r="F375" s="73"/>
      <c r="G375" s="73"/>
      <c r="H375" s="73"/>
      <c r="I375" s="73"/>
      <c r="L375" s="73"/>
      <c r="M375"/>
      <c r="N375"/>
    </row>
    <row r="376" spans="1:14" x14ac:dyDescent="0.2">
      <c r="D376" s="73"/>
      <c r="E376" s="238">
        <f ca="1">E352+E354+E357+E371+E373</f>
        <v>16856.275451128749</v>
      </c>
      <c r="F376" s="73"/>
      <c r="G376" s="73"/>
      <c r="H376" s="73"/>
      <c r="I376" s="73"/>
      <c r="L376" s="73"/>
      <c r="M376"/>
      <c r="N376"/>
    </row>
    <row r="377" spans="1:14" x14ac:dyDescent="0.2">
      <c r="D377" s="73"/>
      <c r="E377" s="77"/>
      <c r="F377" s="73"/>
      <c r="G377" s="73"/>
      <c r="H377" s="73"/>
      <c r="I377" s="73"/>
      <c r="L377" s="73"/>
      <c r="M377"/>
      <c r="N377"/>
    </row>
    <row r="378" spans="1:14" x14ac:dyDescent="0.2">
      <c r="A378" s="209"/>
      <c r="B378" s="209"/>
      <c r="C378" s="209"/>
      <c r="D378" s="210"/>
      <c r="E378" s="209"/>
      <c r="F378" s="210"/>
      <c r="G378" s="210"/>
      <c r="H378" s="210"/>
      <c r="I378" s="210"/>
      <c r="J378" s="210"/>
      <c r="K378" s="210"/>
      <c r="L378" s="210"/>
      <c r="M378"/>
      <c r="N378"/>
    </row>
  </sheetData>
  <pageMargins left="0.7" right="0.7" top="0.75" bottom="0.75" header="0.3" footer="0.3"/>
  <pageSetup orientation="portrait" horizontalDpi="1200" verticalDpi="12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85D9A-4D7C-4225-959A-B909D7A51E78}">
  <sheetPr>
    <tabColor theme="7"/>
  </sheetPr>
  <dimension ref="B2:Q72"/>
  <sheetViews>
    <sheetView showGridLines="0" topLeftCell="D18" zoomScale="115" zoomScaleNormal="115" workbookViewId="0">
      <selection activeCell="J14" sqref="J14"/>
    </sheetView>
  </sheetViews>
  <sheetFormatPr baseColWidth="10" defaultColWidth="11.42578125" defaultRowHeight="15" x14ac:dyDescent="0.3"/>
  <cols>
    <col min="1" max="1" width="11.42578125" style="156"/>
    <col min="2" max="2" width="9.140625" style="156" customWidth="1"/>
    <col min="3" max="3" width="7.85546875" style="156" customWidth="1"/>
    <col min="4" max="4" width="59.5703125" style="156" customWidth="1"/>
    <col min="5" max="10" width="14.7109375" style="156" customWidth="1"/>
    <col min="11" max="16384" width="11.42578125" style="156"/>
  </cols>
  <sheetData>
    <row r="2" spans="2:10" ht="38.25" customHeight="1" x14ac:dyDescent="0.3">
      <c r="B2" s="437" t="s">
        <v>250</v>
      </c>
      <c r="C2" s="437"/>
      <c r="D2" s="437"/>
      <c r="E2" s="437"/>
      <c r="F2" s="437"/>
      <c r="G2" s="437"/>
      <c r="H2" s="437"/>
      <c r="I2" s="437"/>
    </row>
    <row r="3" spans="2:10" ht="15" customHeight="1" x14ac:dyDescent="0.3">
      <c r="B3" s="437" t="s">
        <v>391</v>
      </c>
      <c r="C3" s="437"/>
      <c r="D3" s="437"/>
      <c r="E3" s="437"/>
      <c r="F3" s="437"/>
      <c r="G3" s="437"/>
      <c r="H3" s="437"/>
      <c r="I3" s="437"/>
      <c r="J3" s="157"/>
    </row>
    <row r="4" spans="2:10" ht="15" customHeight="1" x14ac:dyDescent="0.3">
      <c r="D4" s="158"/>
      <c r="E4" s="158"/>
      <c r="F4" s="158"/>
      <c r="G4" s="158"/>
      <c r="H4" s="158"/>
      <c r="I4" s="158"/>
      <c r="J4" s="157"/>
    </row>
    <row r="5" spans="2:10" x14ac:dyDescent="0.3">
      <c r="B5" s="159" t="s">
        <v>251</v>
      </c>
    </row>
    <row r="6" spans="2:10" ht="15" customHeight="1" x14ac:dyDescent="0.3">
      <c r="B6" s="438" t="s">
        <v>252</v>
      </c>
      <c r="C6" s="438"/>
      <c r="D6" s="438"/>
      <c r="E6" s="438"/>
      <c r="F6" s="438"/>
      <c r="G6" s="438"/>
      <c r="H6" s="438"/>
      <c r="I6" s="438"/>
    </row>
    <row r="7" spans="2:10" ht="52.5" customHeight="1" x14ac:dyDescent="0.3"/>
    <row r="8" spans="2:10" ht="15.75" customHeight="1" x14ac:dyDescent="0.3">
      <c r="B8" s="439" t="s">
        <v>253</v>
      </c>
      <c r="D8" s="160" t="s">
        <v>254</v>
      </c>
      <c r="H8" s="161"/>
      <c r="I8" s="161"/>
    </row>
    <row r="9" spans="2:10" ht="15.75" customHeight="1" x14ac:dyDescent="0.3">
      <c r="B9" s="439"/>
      <c r="D9" s="156" t="s">
        <v>157</v>
      </c>
      <c r="H9" s="162" t="str">
        <f>simulateur!N17</f>
        <v>Marié</v>
      </c>
    </row>
    <row r="10" spans="2:10" x14ac:dyDescent="0.3">
      <c r="B10" s="439"/>
      <c r="D10" s="163" t="s">
        <v>159</v>
      </c>
      <c r="H10" s="162">
        <f>simulateur!N18</f>
        <v>4</v>
      </c>
    </row>
    <row r="11" spans="2:10" x14ac:dyDescent="0.3">
      <c r="B11" s="439"/>
      <c r="D11" s="163" t="s">
        <v>68</v>
      </c>
      <c r="H11" s="162">
        <f>simulateur!N19</f>
        <v>3</v>
      </c>
    </row>
    <row r="12" spans="2:10" x14ac:dyDescent="0.3">
      <c r="B12" s="439"/>
      <c r="D12" s="163"/>
    </row>
    <row r="13" spans="2:10" x14ac:dyDescent="0.3">
      <c r="B13" s="439"/>
      <c r="D13" s="160" t="s">
        <v>255</v>
      </c>
    </row>
    <row r="14" spans="2:10" x14ac:dyDescent="0.3">
      <c r="B14" s="439"/>
      <c r="D14" s="164" t="s">
        <v>256</v>
      </c>
      <c r="E14" s="165" t="s">
        <v>257</v>
      </c>
      <c r="F14" s="165" t="s">
        <v>258</v>
      </c>
    </row>
    <row r="15" spans="2:10" x14ac:dyDescent="0.3">
      <c r="B15" s="439"/>
      <c r="D15" s="156" t="s">
        <v>259</v>
      </c>
      <c r="E15" s="260"/>
      <c r="F15" s="162">
        <f>+salaire_conjoint</f>
        <v>90000</v>
      </c>
    </row>
    <row r="16" spans="2:10" ht="15" customHeight="1" thickBot="1" x14ac:dyDescent="0.35">
      <c r="B16" s="439"/>
      <c r="D16" s="156" t="s">
        <v>260</v>
      </c>
      <c r="E16" s="260"/>
      <c r="F16" s="260"/>
    </row>
    <row r="17" spans="2:13" ht="15.75" thickBot="1" x14ac:dyDescent="0.35">
      <c r="B17" s="439"/>
      <c r="D17" s="156" t="s">
        <v>261</v>
      </c>
      <c r="E17" s="258">
        <f>E15+E16</f>
        <v>0</v>
      </c>
      <c r="F17" s="258">
        <f>F15+F16</f>
        <v>90000</v>
      </c>
      <c r="H17" s="167">
        <f>E17+F17</f>
        <v>90000</v>
      </c>
    </row>
    <row r="18" spans="2:13" ht="15.75" thickBot="1" x14ac:dyDescent="0.35">
      <c r="B18" s="439"/>
      <c r="D18" s="156" t="s">
        <v>262</v>
      </c>
      <c r="E18" s="258">
        <f>-MIN(E17*10%,EI_IS_param_IR!F23)</f>
        <v>0</v>
      </c>
      <c r="F18" s="258">
        <f>-MIN(F17*10%,EI_IS_param_IR!F23)</f>
        <v>-9000</v>
      </c>
    </row>
    <row r="19" spans="2:13" ht="15.75" thickBot="1" x14ac:dyDescent="0.35">
      <c r="B19" s="439"/>
      <c r="D19" s="156" t="s">
        <v>263</v>
      </c>
      <c r="E19" s="258">
        <f>E17+E18</f>
        <v>0</v>
      </c>
      <c r="F19" s="258">
        <f>F17+F18</f>
        <v>81000</v>
      </c>
      <c r="H19" s="167">
        <f>E19+F19</f>
        <v>81000</v>
      </c>
      <c r="K19" s="156" t="s">
        <v>447</v>
      </c>
      <c r="L19" s="156" t="s">
        <v>448</v>
      </c>
      <c r="M19" s="156" t="s">
        <v>449</v>
      </c>
    </row>
    <row r="20" spans="2:13" x14ac:dyDescent="0.3">
      <c r="B20" s="439"/>
      <c r="D20" s="156" t="s">
        <v>264</v>
      </c>
      <c r="H20" s="162">
        <f ca="1">EI_IS_cotisations!F21-MIN(EI_IS_cotisations!F21*10%,EI_IS_param_IR!F23)</f>
        <v>117329.13443283725</v>
      </c>
      <c r="I20" s="168" t="s">
        <v>451</v>
      </c>
      <c r="K20" s="190">
        <f ca="1">+EI_IS_cotisations!F21</f>
        <v>130158.13443283725</v>
      </c>
      <c r="L20" s="156">
        <f ca="1">-MIN(K20*10%,EI_IS_param_IR!F23)</f>
        <v>-12829</v>
      </c>
      <c r="M20" s="190">
        <f ca="1">+K20+L20</f>
        <v>117329.13443283725</v>
      </c>
    </row>
    <row r="21" spans="2:13" ht="15.75" thickBot="1" x14ac:dyDescent="0.35">
      <c r="B21" s="439"/>
      <c r="K21" s="169"/>
    </row>
    <row r="22" spans="2:13" ht="15.75" thickBot="1" x14ac:dyDescent="0.35">
      <c r="B22" s="439"/>
      <c r="E22" s="169"/>
      <c r="F22" s="169"/>
      <c r="I22" s="167">
        <f ca="1">+H19+H20</f>
        <v>198329.13443283725</v>
      </c>
    </row>
    <row r="23" spans="2:13" x14ac:dyDescent="0.3">
      <c r="B23" s="439"/>
      <c r="D23" s="164" t="s">
        <v>265</v>
      </c>
    </row>
    <row r="24" spans="2:13" x14ac:dyDescent="0.3">
      <c r="B24" s="439"/>
      <c r="D24" s="156" t="s">
        <v>266</v>
      </c>
      <c r="G24" s="260">
        <v>0</v>
      </c>
    </row>
    <row r="25" spans="2:13" x14ac:dyDescent="0.3">
      <c r="B25" s="439"/>
      <c r="D25" s="156" t="s">
        <v>267</v>
      </c>
      <c r="H25" s="162">
        <f>+simulateur!H34</f>
        <v>15220.199999999999</v>
      </c>
      <c r="I25" s="168" t="s">
        <v>406</v>
      </c>
    </row>
    <row r="26" spans="2:13" x14ac:dyDescent="0.3">
      <c r="B26" s="439"/>
      <c r="D26" s="156" t="s">
        <v>268</v>
      </c>
      <c r="H26" s="260"/>
      <c r="K26" s="169"/>
    </row>
    <row r="27" spans="2:13" ht="15.75" customHeight="1" x14ac:dyDescent="0.3">
      <c r="B27" s="439"/>
      <c r="D27" s="156" t="s">
        <v>269</v>
      </c>
      <c r="H27" s="162">
        <f>autres_revenus</f>
        <v>40000</v>
      </c>
    </row>
    <row r="28" spans="2:13" ht="15.75" thickBot="1" x14ac:dyDescent="0.35">
      <c r="B28" s="439"/>
      <c r="D28" s="164"/>
    </row>
    <row r="29" spans="2:13" ht="16.5" customHeight="1" thickBot="1" x14ac:dyDescent="0.35">
      <c r="B29" s="439"/>
      <c r="D29" s="164" t="s">
        <v>270</v>
      </c>
      <c r="H29" s="259">
        <f ca="1">H19+H20+H25+H26+H27</f>
        <v>253549.33443283726</v>
      </c>
    </row>
    <row r="30" spans="2:13" ht="15.75" thickBot="1" x14ac:dyDescent="0.35">
      <c r="B30" s="439"/>
      <c r="D30" s="156" t="s">
        <v>146</v>
      </c>
      <c r="H30" s="167">
        <f>-H25*6.8%</f>
        <v>-1034.9736</v>
      </c>
    </row>
    <row r="31" spans="2:13" x14ac:dyDescent="0.3">
      <c r="B31" s="439"/>
    </row>
    <row r="32" spans="2:13" x14ac:dyDescent="0.3">
      <c r="B32" s="439"/>
      <c r="D32" s="160" t="s">
        <v>271</v>
      </c>
    </row>
    <row r="33" spans="2:17" x14ac:dyDescent="0.3">
      <c r="B33" s="439"/>
      <c r="P33" s="156" t="s">
        <v>408</v>
      </c>
    </row>
    <row r="34" spans="2:17" x14ac:dyDescent="0.3">
      <c r="B34" s="439"/>
      <c r="D34" s="163"/>
      <c r="H34" s="170"/>
    </row>
    <row r="35" spans="2:17" x14ac:dyDescent="0.3">
      <c r="B35" s="439"/>
      <c r="D35" s="163" t="s">
        <v>272</v>
      </c>
      <c r="P35" s="169">
        <f ca="1">+H69</f>
        <v>68606.887941463254</v>
      </c>
      <c r="Q35" s="190">
        <v>0</v>
      </c>
    </row>
    <row r="36" spans="2:17" x14ac:dyDescent="0.3">
      <c r="B36" s="439"/>
      <c r="D36" s="171" t="s">
        <v>273</v>
      </c>
      <c r="E36" s="163"/>
      <c r="F36" s="163"/>
      <c r="H36" s="260"/>
      <c r="P36" s="190">
        <f ca="1">M20</f>
        <v>117329.13443283725</v>
      </c>
      <c r="Q36" s="303">
        <f t="dataTable" ref="Q36" dt2D="1" dtr="1" r1="H25" r2="H20" ca="1"/>
        <v>62790.945117463241</v>
      </c>
    </row>
    <row r="37" spans="2:17" ht="15.75" thickBot="1" x14ac:dyDescent="0.35">
      <c r="B37" s="439"/>
      <c r="D37" s="171"/>
      <c r="E37" s="163"/>
    </row>
    <row r="38" spans="2:17" ht="15.75" thickBot="1" x14ac:dyDescent="0.35">
      <c r="B38" s="439"/>
      <c r="D38" s="172" t="s">
        <v>274</v>
      </c>
      <c r="E38" s="163"/>
      <c r="F38" s="163"/>
      <c r="H38" s="167">
        <f ca="1">H29+H30+H36</f>
        <v>252514.36083283726</v>
      </c>
    </row>
    <row r="39" spans="2:17" ht="15.75" thickBot="1" x14ac:dyDescent="0.35">
      <c r="B39" s="439"/>
      <c r="D39" s="171"/>
      <c r="E39" s="163"/>
      <c r="F39" s="163"/>
      <c r="G39" s="163"/>
      <c r="H39" s="163"/>
      <c r="P39" s="169">
        <f ca="1">+H38</f>
        <v>252514.36083283726</v>
      </c>
      <c r="Q39" s="190">
        <v>0</v>
      </c>
    </row>
    <row r="40" spans="2:17" ht="15.75" thickBot="1" x14ac:dyDescent="0.35">
      <c r="B40" s="439"/>
      <c r="D40" s="171" t="s">
        <v>275</v>
      </c>
      <c r="E40" s="163"/>
      <c r="F40" s="163"/>
      <c r="G40" s="163"/>
      <c r="H40" s="167">
        <f ca="1">+EI_IS_param_IR!I56</f>
        <v>68606.887941463254</v>
      </c>
      <c r="P40" s="190">
        <f ca="1">M20</f>
        <v>117329.13443283725</v>
      </c>
      <c r="Q40" s="303">
        <f t="dataTable" ref="Q40" dt2D="1" dtr="1" r1="H25" r2="H20" ca="1"/>
        <v>238329.13443283719</v>
      </c>
    </row>
    <row r="41" spans="2:17" ht="15.75" thickBot="1" x14ac:dyDescent="0.35">
      <c r="B41" s="439"/>
      <c r="D41" s="171"/>
      <c r="E41" s="163"/>
      <c r="I41" s="173" t="s">
        <v>181</v>
      </c>
      <c r="J41" s="174" t="s">
        <v>59</v>
      </c>
    </row>
    <row r="42" spans="2:17" ht="15.75" thickBot="1" x14ac:dyDescent="0.35">
      <c r="B42" s="439"/>
      <c r="D42" s="171" t="s">
        <v>276</v>
      </c>
      <c r="E42" s="163"/>
      <c r="F42" s="163"/>
      <c r="G42" s="163"/>
      <c r="H42" s="175">
        <f ca="1">H40</f>
        <v>68606.887941463254</v>
      </c>
      <c r="I42" s="173">
        <f ca="1">IFERROR(H42/H38,0)</f>
        <v>0.27169499475271641</v>
      </c>
      <c r="J42" s="173">
        <f ca="1">IFERROR(EI_IS_param_IR!J47,0)</f>
        <v>0.41</v>
      </c>
    </row>
    <row r="43" spans="2:17" x14ac:dyDescent="0.3">
      <c r="B43" s="439"/>
      <c r="D43" s="171"/>
      <c r="E43" s="163"/>
      <c r="F43" s="163"/>
      <c r="G43" s="163"/>
    </row>
    <row r="44" spans="2:17" x14ac:dyDescent="0.3">
      <c r="B44" s="439"/>
      <c r="D44" s="160" t="s">
        <v>277</v>
      </c>
      <c r="E44" s="163"/>
      <c r="F44" s="163"/>
      <c r="G44" s="163"/>
    </row>
    <row r="45" spans="2:17" x14ac:dyDescent="0.3">
      <c r="B45" s="439"/>
      <c r="D45" s="171"/>
      <c r="E45" s="163"/>
    </row>
    <row r="46" spans="2:17" x14ac:dyDescent="0.3">
      <c r="B46" s="439"/>
      <c r="D46" s="156" t="s">
        <v>278</v>
      </c>
      <c r="E46" s="163"/>
      <c r="F46" s="163"/>
      <c r="G46" s="163"/>
    </row>
    <row r="47" spans="2:17" x14ac:dyDescent="0.3">
      <c r="B47" s="439"/>
      <c r="D47" s="156" t="s">
        <v>279</v>
      </c>
      <c r="E47" s="163"/>
      <c r="F47" s="163"/>
      <c r="G47" s="163"/>
    </row>
    <row r="48" spans="2:17" x14ac:dyDescent="0.3">
      <c r="B48" s="439"/>
      <c r="D48" s="156" t="s">
        <v>280</v>
      </c>
      <c r="E48" s="163"/>
      <c r="F48" s="163"/>
      <c r="G48" s="163"/>
    </row>
    <row r="49" spans="2:10" x14ac:dyDescent="0.3">
      <c r="B49" s="439"/>
      <c r="D49" s="171" t="s">
        <v>281</v>
      </c>
      <c r="E49" s="163"/>
      <c r="F49" s="163"/>
      <c r="G49" s="163"/>
      <c r="H49" s="260"/>
    </row>
    <row r="50" spans="2:10" ht="15.75" thickBot="1" x14ac:dyDescent="0.35">
      <c r="B50" s="439"/>
      <c r="D50" s="171"/>
      <c r="E50" s="163"/>
      <c r="F50" s="163"/>
      <c r="G50" s="163"/>
    </row>
    <row r="51" spans="2:10" ht="15.75" thickBot="1" x14ac:dyDescent="0.35">
      <c r="B51" s="439"/>
      <c r="D51" s="171" t="s">
        <v>282</v>
      </c>
      <c r="E51" s="163"/>
      <c r="F51" s="163"/>
      <c r="G51" s="163"/>
      <c r="H51" s="167">
        <f ca="1">H42+H49</f>
        <v>68606.887941463254</v>
      </c>
    </row>
    <row r="52" spans="2:10" ht="15.75" thickBot="1" x14ac:dyDescent="0.35">
      <c r="B52" s="439"/>
      <c r="D52" s="171"/>
      <c r="E52" s="163"/>
      <c r="F52" s="163"/>
      <c r="G52" s="163"/>
      <c r="H52" s="163"/>
      <c r="I52" s="174" t="s">
        <v>181</v>
      </c>
      <c r="J52" s="174" t="s">
        <v>59</v>
      </c>
    </row>
    <row r="53" spans="2:10" ht="15.75" thickBot="1" x14ac:dyDescent="0.35">
      <c r="B53" s="439"/>
      <c r="D53" s="171" t="s">
        <v>283</v>
      </c>
      <c r="E53" s="163"/>
      <c r="F53" s="163"/>
      <c r="G53" s="167">
        <f ca="1">H51</f>
        <v>68606.887941463254</v>
      </c>
      <c r="H53" s="163"/>
      <c r="I53" s="173">
        <f ca="1">+EI_IS_param_IR!I57</f>
        <v>0.27169499475271647</v>
      </c>
      <c r="J53" s="173">
        <f ca="1">+EI_IS_param_IR!J47</f>
        <v>0.41</v>
      </c>
    </row>
    <row r="54" spans="2:10" x14ac:dyDescent="0.3">
      <c r="B54" s="439"/>
      <c r="D54" s="171"/>
      <c r="E54" s="163"/>
      <c r="F54" s="163"/>
      <c r="G54" s="163"/>
      <c r="H54" s="163"/>
    </row>
    <row r="55" spans="2:10" x14ac:dyDescent="0.3">
      <c r="B55" s="439"/>
      <c r="D55" s="160" t="s">
        <v>284</v>
      </c>
      <c r="E55" s="163"/>
      <c r="F55" s="163"/>
      <c r="G55" s="163"/>
      <c r="H55" s="163"/>
    </row>
    <row r="56" spans="2:10" x14ac:dyDescent="0.3">
      <c r="B56" s="439"/>
      <c r="D56" s="171"/>
      <c r="E56" s="163"/>
      <c r="F56" s="163"/>
      <c r="G56" s="163"/>
      <c r="H56" s="163"/>
    </row>
    <row r="57" spans="2:10" x14ac:dyDescent="0.3">
      <c r="B57" s="439"/>
      <c r="D57" s="171" t="s">
        <v>390</v>
      </c>
      <c r="E57" s="163"/>
      <c r="F57" s="163"/>
      <c r="G57" s="163"/>
      <c r="H57" s="260"/>
    </row>
    <row r="58" spans="2:10" x14ac:dyDescent="0.3">
      <c r="D58" s="171"/>
      <c r="E58" s="163"/>
      <c r="F58" s="163"/>
      <c r="G58" s="163"/>
      <c r="H58" s="163"/>
    </row>
    <row r="59" spans="2:10" s="166" customFormat="1" x14ac:dyDescent="0.3">
      <c r="B59" s="156"/>
      <c r="D59" s="160" t="s">
        <v>285</v>
      </c>
      <c r="E59" s="163"/>
      <c r="F59" s="163"/>
      <c r="G59" s="163"/>
      <c r="H59" s="163"/>
      <c r="I59" s="156"/>
      <c r="J59" s="156"/>
    </row>
    <row r="60" spans="2:10" ht="15.75" thickBot="1" x14ac:dyDescent="0.35">
      <c r="E60" s="163"/>
      <c r="F60" s="163"/>
      <c r="G60" s="163"/>
      <c r="H60" s="163"/>
    </row>
    <row r="61" spans="2:10" ht="15.75" thickBot="1" x14ac:dyDescent="0.35">
      <c r="D61" s="171" t="s">
        <v>286</v>
      </c>
      <c r="E61" s="163"/>
      <c r="F61" s="163"/>
      <c r="G61" s="163"/>
      <c r="H61" s="167">
        <f ca="1">G53+H57</f>
        <v>68606.887941463254</v>
      </c>
    </row>
    <row r="62" spans="2:10" x14ac:dyDescent="0.3">
      <c r="D62" s="171"/>
      <c r="E62" s="163"/>
      <c r="F62" s="163"/>
      <c r="G62" s="171"/>
      <c r="H62" s="163"/>
      <c r="I62" s="163"/>
    </row>
    <row r="63" spans="2:10" x14ac:dyDescent="0.3">
      <c r="D63" s="171"/>
      <c r="E63" s="163"/>
      <c r="F63" s="163"/>
      <c r="G63" s="171"/>
      <c r="H63" s="163"/>
      <c r="I63" s="163"/>
      <c r="J63" s="166"/>
    </row>
    <row r="64" spans="2:10" x14ac:dyDescent="0.3">
      <c r="D64" s="160" t="s">
        <v>318</v>
      </c>
      <c r="E64" s="163"/>
      <c r="F64" s="163"/>
      <c r="G64" s="171"/>
      <c r="H64" s="163"/>
      <c r="I64" s="163"/>
    </row>
    <row r="65" spans="4:9" ht="15.75" thickBot="1" x14ac:dyDescent="0.35">
      <c r="E65" s="163"/>
      <c r="F65" s="163"/>
      <c r="G65" s="171"/>
      <c r="H65" s="163"/>
      <c r="I65" s="163"/>
    </row>
    <row r="66" spans="4:9" ht="15.75" thickBot="1" x14ac:dyDescent="0.35">
      <c r="D66" s="171" t="s">
        <v>318</v>
      </c>
      <c r="E66" s="163"/>
      <c r="F66" s="163"/>
      <c r="G66" s="171"/>
      <c r="H66" s="167">
        <f ca="1">EI_IS_param_IR!D84</f>
        <v>0</v>
      </c>
      <c r="I66" s="163"/>
    </row>
    <row r="67" spans="4:9" x14ac:dyDescent="0.3">
      <c r="D67" s="171"/>
      <c r="E67" s="163"/>
      <c r="F67" s="163"/>
      <c r="G67" s="171"/>
      <c r="H67" s="163"/>
      <c r="I67" s="163"/>
    </row>
    <row r="68" spans="4:9" x14ac:dyDescent="0.3">
      <c r="D68" s="171"/>
      <c r="E68" s="163"/>
      <c r="F68" s="163"/>
      <c r="G68" s="171"/>
      <c r="H68" s="163"/>
      <c r="I68" s="174" t="s">
        <v>181</v>
      </c>
    </row>
    <row r="69" spans="4:9" x14ac:dyDescent="0.3">
      <c r="D69" s="171"/>
      <c r="E69" s="163"/>
      <c r="F69" s="163"/>
      <c r="G69" s="171" t="s">
        <v>319</v>
      </c>
      <c r="H69" s="206">
        <f ca="1">H61+H66</f>
        <v>68606.887941463254</v>
      </c>
      <c r="I69" s="173">
        <f ca="1">H69/H38</f>
        <v>0.27169499475271641</v>
      </c>
    </row>
    <row r="70" spans="4:9" x14ac:dyDescent="0.3">
      <c r="D70" s="171"/>
      <c r="E70" s="163"/>
      <c r="F70" s="163"/>
      <c r="G70" s="171"/>
      <c r="H70" s="163"/>
      <c r="I70" s="163"/>
    </row>
    <row r="71" spans="4:9" x14ac:dyDescent="0.3">
      <c r="D71" s="171"/>
      <c r="E71" s="163"/>
      <c r="F71" s="163"/>
      <c r="G71" s="171"/>
      <c r="H71" s="163"/>
      <c r="I71" s="163"/>
    </row>
    <row r="72" spans="4:9" ht="15" customHeight="1" x14ac:dyDescent="0.3"/>
  </sheetData>
  <scenarios current="0" show="0" sqref="E42 L62 O41 P41">
    <scenario name="H1" count="2" user="Fabien Bocci" comment="Créé par Fabien Bocci le 28/11/2018_x000a_Modifié par: Fabien Bocci le 28/11/2018">
      <inputCells r="G24" val="33000" numFmtId="165"/>
      <inputCells r="H19" val="108000" numFmtId="165"/>
    </scenario>
    <scenario name="H2" count="2" user="Fabien Bocci" comment="Créé par Fabien Bocci le 28/11/2018_x000a_Modifié par: Fabien Bocci le 28/11/2018">
      <inputCells r="G24" val="50000" numFmtId="165"/>
      <inputCells r="H19" val="100000" numFmtId="165"/>
    </scenario>
    <scenario name="H3" locked="1" hidden="1" count="2" user="Fabien Bocci" comment="Créé par Fabien Bocci le 28/11/2018_x000a_Modifié par: Fabien Bocci le 28/11/2018">
      <inputCells r="G24" val="0" numFmtId="165"/>
      <inputCells r="H19" val="100000" numFmtId="165"/>
    </scenario>
    <scenario name="H4" locked="1" count="2" user="Fabien Bocci" comment="Créé par Fabien Bocci le 28/11/2018">
      <inputCells r="G24" val="0" numFmtId="165"/>
      <inputCells r="H19" val="100000" numFmtId="165"/>
    </scenario>
    <scenario name="H5" locked="1" count="2" user="Fabien Bocci" comment="Créé par Fabien Bocci le 28/11/2018">
      <inputCells r="G24" val="0" numFmtId="165"/>
      <inputCells r="H19" val="100000" numFmtId="165"/>
    </scenario>
  </scenarios>
  <mergeCells count="4">
    <mergeCell ref="B2:I2"/>
    <mergeCell ref="B3:I3"/>
    <mergeCell ref="B6:I6"/>
    <mergeCell ref="B8:B57"/>
  </mergeCells>
  <dataValidations disablePrompts="1" count="1">
    <dataValidation type="decimal" operator="lessThan" allowBlank="1" showInputMessage="1" showErrorMessage="1" error="Saisir une valeur négative" promptTitle="Important" prompt="Saisir une valeur négative" sqref="H49 H57" xr:uid="{2C28DF25-04EB-4504-AF65-BB9432BFB690}">
      <formula1>0</formula1>
    </dataValidation>
  </dataValidations>
  <printOptions horizontalCentered="1"/>
  <pageMargins left="0.70866141732283472" right="0.70866141732283472" top="0.74803149606299213" bottom="0.74803149606299213" header="0.31496062992125984" footer="0.31496062992125984"/>
  <pageSetup paperSize="8" scale="54" orientation="portrait" r:id="rId1"/>
  <headerFooter>
    <oddHeader>&amp;C&amp;F</oddHeader>
    <oddFooter>&amp;L&amp;G&amp;R&amp;D</oddFooter>
  </headerFooter>
  <legacyDrawingHF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B37B5-93FB-4B8C-919A-7D5CE4350907}">
  <sheetPr>
    <tabColor theme="7"/>
  </sheetPr>
  <dimension ref="B2:L84"/>
  <sheetViews>
    <sheetView topLeftCell="A28" workbookViewId="0">
      <selection activeCell="J14" sqref="J14"/>
    </sheetView>
  </sheetViews>
  <sheetFormatPr baseColWidth="10" defaultColWidth="11.42578125" defaultRowHeight="15" x14ac:dyDescent="0.25"/>
  <cols>
    <col min="1" max="2" width="11.42578125" style="262"/>
    <col min="3" max="3" width="54.28515625" style="262" customWidth="1"/>
    <col min="4" max="4" width="11.42578125" style="262"/>
    <col min="5" max="5" width="13" style="262" customWidth="1"/>
    <col min="6" max="6" width="12.140625" style="262" customWidth="1"/>
    <col min="7" max="7" width="1.7109375" style="262" customWidth="1"/>
    <col min="8" max="8" width="13.85546875" style="262" customWidth="1"/>
    <col min="9" max="9" width="14" style="262" customWidth="1"/>
    <col min="10" max="10" width="13.7109375" style="262" customWidth="1"/>
    <col min="11" max="12" width="11.42578125" style="262"/>
    <col min="13" max="13" width="34.7109375" style="262" customWidth="1"/>
    <col min="14" max="16384" width="11.42578125" style="262"/>
  </cols>
  <sheetData>
    <row r="2" spans="2:9" ht="15" customHeight="1" x14ac:dyDescent="0.25"/>
    <row r="3" spans="2:9" ht="31.5" customHeight="1" x14ac:dyDescent="0.25">
      <c r="B3" s="440" t="s">
        <v>287</v>
      </c>
      <c r="C3" s="440"/>
      <c r="D3" s="440"/>
      <c r="E3" s="440"/>
      <c r="F3" s="440"/>
      <c r="G3" s="440"/>
      <c r="H3" s="440"/>
      <c r="I3" s="440"/>
    </row>
    <row r="4" spans="2:9" ht="27.75" customHeight="1" x14ac:dyDescent="0.25">
      <c r="B4" s="441" t="str">
        <f>EI_IS_calcul_IR!B3</f>
        <v>Année 2022</v>
      </c>
      <c r="C4" s="441"/>
      <c r="D4" s="441"/>
      <c r="E4" s="441"/>
      <c r="F4" s="441"/>
      <c r="G4" s="441"/>
      <c r="H4" s="441"/>
      <c r="I4" s="441"/>
    </row>
    <row r="5" spans="2:9" ht="30" x14ac:dyDescent="0.25">
      <c r="B5" s="263"/>
      <c r="C5" s="264" t="s">
        <v>57</v>
      </c>
      <c r="D5" s="264" t="s">
        <v>58</v>
      </c>
      <c r="E5" s="264" t="s">
        <v>59</v>
      </c>
      <c r="F5" s="264" t="s">
        <v>60</v>
      </c>
      <c r="G5" s="265"/>
      <c r="H5" s="264" t="s">
        <v>61</v>
      </c>
      <c r="I5" s="264" t="s">
        <v>62</v>
      </c>
    </row>
    <row r="6" spans="2:9" ht="16.5" customHeight="1" x14ac:dyDescent="0.25">
      <c r="B6" s="263" t="s">
        <v>63</v>
      </c>
      <c r="C6" s="266">
        <v>0</v>
      </c>
      <c r="D6" s="283">
        <f>+'PARAM IR SOURCE'!D6</f>
        <v>10225</v>
      </c>
      <c r="E6" s="284">
        <f>+'PARAM IR SOURCE'!E6</f>
        <v>0</v>
      </c>
      <c r="F6" s="283">
        <f>+'PARAM IR SOURCE'!F6</f>
        <v>0</v>
      </c>
      <c r="G6" s="267"/>
      <c r="H6" s="266">
        <f ca="1">+IFERROR($E6*EI_IS_calcul_IR!$H$38-$F6*$F$20,0)</f>
        <v>0</v>
      </c>
      <c r="I6" s="266">
        <f ca="1">+IFERROR($E6*EI_IS_calcul_IR!$H$38-$F6*EI_IS_calcul_IR!$H$10,0)</f>
        <v>0</v>
      </c>
    </row>
    <row r="7" spans="2:9" x14ac:dyDescent="0.25">
      <c r="B7" s="263" t="s">
        <v>64</v>
      </c>
      <c r="C7" s="266">
        <f>+D6+1</f>
        <v>10226</v>
      </c>
      <c r="D7" s="283">
        <f>+'PARAM IR SOURCE'!D7</f>
        <v>26070</v>
      </c>
      <c r="E7" s="284">
        <f>+'PARAM IR SOURCE'!E7</f>
        <v>0.11</v>
      </c>
      <c r="F7" s="283">
        <f>+'PARAM IR SOURCE'!F7</f>
        <v>1124.75</v>
      </c>
      <c r="G7" s="267"/>
      <c r="H7" s="266">
        <f ca="1">+IFERROR($E7*EI_IS_calcul_IR!$H$38-$F7*$F$20,0)</f>
        <v>25527.0796916121</v>
      </c>
      <c r="I7" s="266">
        <f ca="1">+IFERROR($E7*EI_IS_calcul_IR!$H$38-$F7*EI_IS_calcul_IR!$H$10,0)</f>
        <v>23277.5796916121</v>
      </c>
    </row>
    <row r="8" spans="2:9" x14ac:dyDescent="0.25">
      <c r="B8" s="263" t="s">
        <v>65</v>
      </c>
      <c r="C8" s="266">
        <f>+D7+1</f>
        <v>26071</v>
      </c>
      <c r="D8" s="283">
        <f>+'PARAM IR SOURCE'!D8</f>
        <v>74545</v>
      </c>
      <c r="E8" s="284">
        <f>+'PARAM IR SOURCE'!E8</f>
        <v>0.3</v>
      </c>
      <c r="F8" s="283">
        <f>+'PARAM IR SOURCE'!F8</f>
        <v>6078.05</v>
      </c>
      <c r="G8" s="267"/>
      <c r="H8" s="266">
        <f ca="1">+IFERROR($E8*EI_IS_calcul_IR!$H$38-$F8*$F$20,0)</f>
        <v>63598.208249851181</v>
      </c>
      <c r="I8" s="266">
        <f ca="1">+IFERROR($E8*EI_IS_calcul_IR!$H$38-$F8*EI_IS_calcul_IR!$H$10,0)</f>
        <v>51442.108249851182</v>
      </c>
    </row>
    <row r="9" spans="2:9" x14ac:dyDescent="0.25">
      <c r="B9" s="263" t="s">
        <v>66</v>
      </c>
      <c r="C9" s="266">
        <f>+D8+1</f>
        <v>74546</v>
      </c>
      <c r="D9" s="283">
        <f>+'PARAM IR SOURCE'!D9</f>
        <v>160336</v>
      </c>
      <c r="E9" s="284">
        <f>+'PARAM IR SOURCE'!E9</f>
        <v>0.41</v>
      </c>
      <c r="F9" s="283">
        <f>+'PARAM IR SOURCE'!F9</f>
        <v>14278</v>
      </c>
      <c r="G9" s="267"/>
      <c r="H9" s="266">
        <f ca="1">+IFERROR($E9*EI_IS_calcul_IR!$H$38-$F9*$F$20,0)</f>
        <v>74974.887941463268</v>
      </c>
      <c r="I9" s="266">
        <f ca="1">+IFERROR($E9*EI_IS_calcul_IR!$H$38-$F9*EI_IS_calcul_IR!$H$10,0)</f>
        <v>46418.887941463268</v>
      </c>
    </row>
    <row r="10" spans="2:9" x14ac:dyDescent="0.25">
      <c r="B10" s="263" t="s">
        <v>67</v>
      </c>
      <c r="C10" s="266">
        <f>+D9+1</f>
        <v>160337</v>
      </c>
      <c r="D10" s="283">
        <f>+'PARAM IR SOURCE'!D10</f>
        <v>0</v>
      </c>
      <c r="E10" s="284">
        <f>+'PARAM IR SOURCE'!E10</f>
        <v>0.45</v>
      </c>
      <c r="F10" s="283">
        <f>+'PARAM IR SOURCE'!F10</f>
        <v>20691.439999999999</v>
      </c>
      <c r="G10" s="267"/>
      <c r="H10" s="266">
        <f ca="1">+IFERROR($E10*EI_IS_calcul_IR!$H$38-$F10*$F$20,0)</f>
        <v>72248.582374776772</v>
      </c>
      <c r="I10" s="266">
        <f ca="1">+IFERROR($E10*EI_IS_calcul_IR!$H$38-$F10*EI_IS_calcul_IR!$H$10,0)</f>
        <v>30865.702374776782</v>
      </c>
    </row>
    <row r="11" spans="2:9" x14ac:dyDescent="0.25">
      <c r="B11" s="263" t="s">
        <v>289</v>
      </c>
      <c r="C11" s="266"/>
      <c r="D11" s="283">
        <f>+'PARAM IR SOURCE'!D11</f>
        <v>0</v>
      </c>
      <c r="E11" s="284">
        <f>+'PARAM IR SOURCE'!E11</f>
        <v>0</v>
      </c>
      <c r="F11" s="283">
        <f>+'PARAM IR SOURCE'!F11</f>
        <v>0</v>
      </c>
      <c r="G11" s="267"/>
      <c r="H11" s="266">
        <f ca="1">+IFERROR($E11*EI_IS_calcul_IR!$H$38-$F11*$F$20,0)</f>
        <v>0</v>
      </c>
      <c r="I11" s="266">
        <f ca="1">+IFERROR($E11*EI_IS_calcul_IR!$H$38-$F11*EI_IS_calcul_IR!$H$10,0)</f>
        <v>0</v>
      </c>
    </row>
    <row r="12" spans="2:9" ht="17.25" x14ac:dyDescent="0.4">
      <c r="H12" s="268"/>
      <c r="I12" s="268"/>
    </row>
    <row r="13" spans="2:9" ht="17.25" x14ac:dyDescent="0.4">
      <c r="H13" s="268"/>
    </row>
    <row r="15" spans="2:9" x14ac:dyDescent="0.25">
      <c r="C15" s="442" t="s">
        <v>290</v>
      </c>
      <c r="D15" s="442"/>
      <c r="E15" s="442"/>
      <c r="F15" s="442"/>
    </row>
    <row r="16" spans="2:9" ht="6" customHeight="1" x14ac:dyDescent="0.25">
      <c r="C16" s="263"/>
      <c r="F16" s="269"/>
    </row>
    <row r="17" spans="2:12" x14ac:dyDescent="0.25">
      <c r="C17" s="263" t="s">
        <v>291</v>
      </c>
      <c r="F17" s="286" t="str">
        <f>+EI_IS_calcul_IR!H9</f>
        <v>Marié</v>
      </c>
    </row>
    <row r="18" spans="2:12" x14ac:dyDescent="0.25">
      <c r="C18" s="263" t="s">
        <v>292</v>
      </c>
      <c r="F18" s="286">
        <f ca="1">+EI_IS_calcul_IR!H38</f>
        <v>252514.36083283726</v>
      </c>
    </row>
    <row r="19" spans="2:12" x14ac:dyDescent="0.25">
      <c r="C19" s="263" t="s">
        <v>293</v>
      </c>
      <c r="F19" s="286">
        <f>+IF(EI_IS_calcul_IR!H11&lt;=2,EI_IS_calcul_IR!H11,2+(EI_IS_calcul_IR!H11-2)*2)</f>
        <v>4</v>
      </c>
    </row>
    <row r="20" spans="2:12" x14ac:dyDescent="0.25">
      <c r="C20" s="263" t="s">
        <v>69</v>
      </c>
      <c r="F20" s="286">
        <f>+IF(EI_IS_calcul_IR!H11&lt;=2,EI_IS_calcul_IR!H10-EI_IS_calcul_IR!H11/2,EI_IS_calcul_IR!H10-(1+(EI_IS_calcul_IR!H11-2)))</f>
        <v>2</v>
      </c>
    </row>
    <row r="21" spans="2:12" ht="6" customHeight="1" x14ac:dyDescent="0.25">
      <c r="C21" s="263"/>
      <c r="F21" s="269"/>
    </row>
    <row r="22" spans="2:12" x14ac:dyDescent="0.25">
      <c r="C22" s="263" t="s">
        <v>294</v>
      </c>
      <c r="F22" s="285">
        <f>+'PARAM IR SOURCE'!F22</f>
        <v>1592</v>
      </c>
      <c r="K22" s="271"/>
    </row>
    <row r="23" spans="2:12" x14ac:dyDescent="0.25">
      <c r="C23" s="263" t="s">
        <v>295</v>
      </c>
      <c r="F23" s="285">
        <f>+'PARAM IR SOURCE'!F23</f>
        <v>12829</v>
      </c>
    </row>
    <row r="24" spans="2:12" x14ac:dyDescent="0.25">
      <c r="C24" s="263"/>
    </row>
    <row r="25" spans="2:12" x14ac:dyDescent="0.25">
      <c r="C25" s="147" t="s">
        <v>70</v>
      </c>
    </row>
    <row r="26" spans="2:12" x14ac:dyDescent="0.25">
      <c r="C26" s="263" t="s">
        <v>297</v>
      </c>
      <c r="F26" s="285">
        <f>+'PARAM IR SOURCE'!F26</f>
        <v>1746</v>
      </c>
      <c r="K26" s="285">
        <f>+'PARAM IR SOURCE'!K26</f>
        <v>790</v>
      </c>
      <c r="L26" s="284">
        <f>+'PARAM IR SOURCE'!L26</f>
        <v>0.45250000000000001</v>
      </c>
    </row>
    <row r="27" spans="2:12" x14ac:dyDescent="0.25">
      <c r="B27" s="263"/>
      <c r="C27" s="263" t="s">
        <v>298</v>
      </c>
      <c r="F27" s="285">
        <f>+'PARAM IR SOURCE'!F27</f>
        <v>2888</v>
      </c>
      <c r="K27" s="285">
        <f>+'PARAM IR SOURCE'!K27</f>
        <v>1307</v>
      </c>
      <c r="L27" s="284">
        <f>+'PARAM IR SOURCE'!L27</f>
        <v>0.45250000000000001</v>
      </c>
    </row>
    <row r="28" spans="2:12" x14ac:dyDescent="0.25">
      <c r="B28" s="263"/>
      <c r="C28" s="263"/>
    </row>
    <row r="29" spans="2:12" x14ac:dyDescent="0.25">
      <c r="B29" s="272" t="s">
        <v>299</v>
      </c>
      <c r="C29" s="147" t="s">
        <v>71</v>
      </c>
    </row>
    <row r="30" spans="2:12" x14ac:dyDescent="0.25">
      <c r="B30" s="263"/>
      <c r="C30" s="263" t="s">
        <v>72</v>
      </c>
      <c r="F30" s="273"/>
    </row>
    <row r="31" spans="2:12" x14ac:dyDescent="0.25">
      <c r="B31" s="263"/>
      <c r="C31" s="274" t="s">
        <v>73</v>
      </c>
      <c r="F31" s="285">
        <f>+'PARAM IR SOURCE'!F31</f>
        <v>21248</v>
      </c>
    </row>
    <row r="32" spans="2:12" x14ac:dyDescent="0.25">
      <c r="B32" s="263"/>
      <c r="C32" s="274" t="s">
        <v>74</v>
      </c>
      <c r="F32" s="285">
        <f>+'PARAM IR SOURCE'!F32</f>
        <v>42486</v>
      </c>
    </row>
    <row r="33" spans="2:10" x14ac:dyDescent="0.25">
      <c r="B33" s="263"/>
      <c r="C33" s="274" t="s">
        <v>75</v>
      </c>
      <c r="F33" s="285">
        <f>+'PARAM IR SOURCE'!F33</f>
        <v>3835</v>
      </c>
    </row>
    <row r="34" spans="2:10" x14ac:dyDescent="0.25">
      <c r="B34" s="272" t="s">
        <v>300</v>
      </c>
      <c r="C34" s="275" t="s">
        <v>19</v>
      </c>
      <c r="F34" s="276"/>
    </row>
    <row r="35" spans="2:10" x14ac:dyDescent="0.25">
      <c r="B35" s="263"/>
      <c r="C35" s="274" t="s">
        <v>73</v>
      </c>
      <c r="F35" s="285">
        <f>+'PARAM IR SOURCE'!F35</f>
        <v>19175</v>
      </c>
    </row>
    <row r="36" spans="2:10" x14ac:dyDescent="0.25">
      <c r="B36" s="263"/>
      <c r="C36" s="274" t="s">
        <v>74</v>
      </c>
      <c r="F36" s="285">
        <f>+'PARAM IR SOURCE'!F36</f>
        <v>38350</v>
      </c>
    </row>
    <row r="37" spans="2:10" x14ac:dyDescent="0.25">
      <c r="B37" s="263"/>
      <c r="C37" s="274" t="s">
        <v>75</v>
      </c>
      <c r="F37" s="270">
        <f>+F33</f>
        <v>3835</v>
      </c>
    </row>
    <row r="38" spans="2:10" x14ac:dyDescent="0.25">
      <c r="B38" s="263"/>
      <c r="C38" s="274"/>
      <c r="F38" s="276"/>
    </row>
    <row r="39" spans="2:10" x14ac:dyDescent="0.25">
      <c r="B39" s="261" t="s">
        <v>302</v>
      </c>
      <c r="C39" s="275" t="s">
        <v>18</v>
      </c>
      <c r="F39" s="276"/>
    </row>
    <row r="40" spans="2:10" x14ac:dyDescent="0.25">
      <c r="B40" s="263"/>
      <c r="C40" s="274" t="s">
        <v>76</v>
      </c>
      <c r="F40" s="284">
        <v>0.2</v>
      </c>
    </row>
    <row r="41" spans="2:10" x14ac:dyDescent="0.25">
      <c r="B41" s="263"/>
      <c r="C41" s="274" t="s">
        <v>77</v>
      </c>
      <c r="F41" s="285">
        <v>2073</v>
      </c>
      <c r="G41" s="273"/>
    </row>
    <row r="42" spans="2:10" x14ac:dyDescent="0.25">
      <c r="B42" s="263"/>
      <c r="C42" s="274" t="s">
        <v>78</v>
      </c>
      <c r="F42" s="285">
        <v>4146</v>
      </c>
    </row>
    <row r="43" spans="2:10" x14ac:dyDescent="0.25">
      <c r="B43" s="263"/>
      <c r="C43" s="274"/>
      <c r="F43" s="276"/>
    </row>
    <row r="44" spans="2:10" x14ac:dyDescent="0.25">
      <c r="B44" s="263"/>
      <c r="C44" s="274"/>
      <c r="F44" s="276"/>
    </row>
    <row r="45" spans="2:10" x14ac:dyDescent="0.25">
      <c r="B45" s="263"/>
      <c r="C45" s="442" t="s">
        <v>303</v>
      </c>
      <c r="D45" s="442"/>
      <c r="E45" s="442"/>
      <c r="F45" s="442"/>
    </row>
    <row r="46" spans="2:10" x14ac:dyDescent="0.25">
      <c r="B46" s="263"/>
      <c r="J46" s="29" t="s">
        <v>59</v>
      </c>
    </row>
    <row r="47" spans="2:10" x14ac:dyDescent="0.25">
      <c r="C47" s="262" t="s">
        <v>304</v>
      </c>
      <c r="D47" s="55"/>
      <c r="E47" s="55"/>
      <c r="F47" s="55"/>
      <c r="G47" s="55"/>
      <c r="H47" s="270">
        <f ca="1">+EI_IS_calcul_IR!H38/EI_IS_param_IR!F20</f>
        <v>126257.18041641863</v>
      </c>
      <c r="I47" s="270">
        <f ca="1">+IFERROR(VLOOKUP(H47,C6:I11,6,TRUE),0)</f>
        <v>74974.887941463268</v>
      </c>
      <c r="J47" s="288">
        <f ca="1">+VLOOKUP(EI_IS_calcul_IR!$H$38/$F$20,C6:G11,3,TRUE)</f>
        <v>0.41</v>
      </c>
    </row>
    <row r="48" spans="2:10" x14ac:dyDescent="0.25">
      <c r="B48" s="28"/>
      <c r="C48" s="263" t="s">
        <v>305</v>
      </c>
      <c r="D48" s="28"/>
      <c r="E48" s="28"/>
      <c r="F48" s="28"/>
      <c r="G48" s="28"/>
      <c r="H48" s="270">
        <f ca="1">+EI_IS_calcul_IR!H38/EI_IS_calcul_IR!H10</f>
        <v>63128.590208209316</v>
      </c>
      <c r="I48" s="270">
        <f ca="1">+IFERROR(VLOOKUP(H48,C6:I11,7,TRUE),0)</f>
        <v>51442.108249851182</v>
      </c>
      <c r="J48" s="288">
        <f ca="1">+VLOOKUP(EI_IS_calcul_IR!$H$38/EI_IS_calcul_IR!$H$10,C6:G11,3,TRUE)</f>
        <v>0.3</v>
      </c>
    </row>
    <row r="49" spans="2:9" x14ac:dyDescent="0.25">
      <c r="C49" s="263"/>
    </row>
    <row r="50" spans="2:9" x14ac:dyDescent="0.25">
      <c r="C50" s="263" t="s">
        <v>306</v>
      </c>
      <c r="I50" s="270">
        <f ca="1">+I47-I48</f>
        <v>23532.779691612086</v>
      </c>
    </row>
    <row r="51" spans="2:9" x14ac:dyDescent="0.25">
      <c r="C51" s="263"/>
      <c r="I51" s="277"/>
    </row>
    <row r="52" spans="2:9" x14ac:dyDescent="0.25">
      <c r="C52" s="263" t="s">
        <v>307</v>
      </c>
      <c r="I52" s="270">
        <f>+F19*F22</f>
        <v>6368</v>
      </c>
    </row>
    <row r="54" spans="2:9" x14ac:dyDescent="0.25">
      <c r="C54" s="263" t="s">
        <v>308</v>
      </c>
      <c r="D54" s="278"/>
      <c r="I54" s="270">
        <f ca="1">+MIN(I50,I52)</f>
        <v>6368</v>
      </c>
    </row>
    <row r="55" spans="2:9" x14ac:dyDescent="0.25">
      <c r="C55" s="263"/>
    </row>
    <row r="56" spans="2:9" x14ac:dyDescent="0.25">
      <c r="C56" s="147" t="s">
        <v>309</v>
      </c>
      <c r="I56" s="270">
        <f ca="1">+I47-I54</f>
        <v>68606.887941463268</v>
      </c>
    </row>
    <row r="57" spans="2:9" x14ac:dyDescent="0.25">
      <c r="B57" s="28"/>
      <c r="C57" s="279" t="s">
        <v>310</v>
      </c>
      <c r="D57" s="28"/>
      <c r="E57" s="28"/>
      <c r="F57" s="28"/>
      <c r="G57" s="28"/>
      <c r="H57" s="28"/>
      <c r="I57" s="288">
        <f ca="1">+IFERROR(I56/EI_IS_calcul_IR!H38,0)</f>
        <v>0.27169499475271647</v>
      </c>
    </row>
    <row r="58" spans="2:9" x14ac:dyDescent="0.25">
      <c r="B58" s="28"/>
      <c r="C58" s="279"/>
      <c r="D58" s="28"/>
      <c r="E58" s="28"/>
      <c r="F58" s="28"/>
      <c r="G58" s="28"/>
      <c r="H58" s="28"/>
      <c r="I58" s="280"/>
    </row>
    <row r="59" spans="2:9" x14ac:dyDescent="0.25">
      <c r="B59" s="28"/>
      <c r="C59" s="279" t="s">
        <v>70</v>
      </c>
      <c r="D59" s="28"/>
      <c r="E59" s="28"/>
      <c r="F59" s="28"/>
      <c r="G59" s="28"/>
      <c r="H59" s="28"/>
      <c r="I59" s="285">
        <f ca="1">+IF(AND(F17="célibataire",I56&lt;F26,I56&gt;0),MAX(0,K26-I56*L26),IF(AND(F17="mariés",I56&lt;F27,I56&gt;0),MAX(0,K27-I56*L27),0))</f>
        <v>0</v>
      </c>
    </row>
    <row r="60" spans="2:9" x14ac:dyDescent="0.25">
      <c r="B60" s="28"/>
      <c r="C60" s="279"/>
      <c r="D60" s="28"/>
      <c r="E60" s="28"/>
      <c r="F60" s="28"/>
      <c r="G60" s="28"/>
      <c r="H60" s="28"/>
      <c r="I60" s="280"/>
    </row>
    <row r="61" spans="2:9" x14ac:dyDescent="0.25">
      <c r="B61" s="28"/>
      <c r="C61" s="279" t="s">
        <v>311</v>
      </c>
      <c r="D61" s="28"/>
      <c r="E61" s="28"/>
      <c r="F61" s="28"/>
      <c r="G61" s="28"/>
      <c r="H61" s="28"/>
      <c r="I61" s="270">
        <f ca="1">+I56-I59</f>
        <v>68606.887941463268</v>
      </c>
    </row>
    <row r="62" spans="2:9" x14ac:dyDescent="0.25">
      <c r="B62" s="28"/>
      <c r="C62" s="279"/>
      <c r="D62" s="28"/>
      <c r="E62" s="28"/>
      <c r="F62" s="28"/>
      <c r="G62" s="28"/>
      <c r="H62" s="28"/>
      <c r="I62" s="281"/>
    </row>
    <row r="63" spans="2:9" x14ac:dyDescent="0.25">
      <c r="B63" s="28"/>
      <c r="C63" s="279" t="s">
        <v>80</v>
      </c>
      <c r="D63" s="28"/>
      <c r="E63" s="28"/>
      <c r="F63" s="28"/>
      <c r="G63" s="28"/>
      <c r="H63" s="28"/>
      <c r="I63" s="270">
        <f>+IF(F17="célibataire",F31+F33*F19,F32+F33*F19)</f>
        <v>57826</v>
      </c>
    </row>
    <row r="64" spans="2:9" x14ac:dyDescent="0.25">
      <c r="B64" s="28"/>
      <c r="C64" s="279" t="s">
        <v>81</v>
      </c>
      <c r="D64" s="28"/>
      <c r="E64" s="28"/>
      <c r="F64" s="28"/>
      <c r="G64" s="28"/>
      <c r="H64" s="28"/>
      <c r="I64" s="270">
        <f>+IF(F17="célibataire",F35+F37*F19,F36+F33*F19)</f>
        <v>53690</v>
      </c>
    </row>
    <row r="65" spans="2:9" x14ac:dyDescent="0.25">
      <c r="B65" s="28"/>
      <c r="C65" s="279" t="s">
        <v>82</v>
      </c>
      <c r="D65" s="28"/>
      <c r="E65" s="28"/>
      <c r="F65" s="28"/>
      <c r="G65" s="28"/>
      <c r="H65" s="28"/>
      <c r="I65" s="270">
        <f ca="1">+F18</f>
        <v>252514.36083283726</v>
      </c>
    </row>
    <row r="66" spans="2:9" x14ac:dyDescent="0.25">
      <c r="B66" s="28"/>
      <c r="C66" s="279" t="s">
        <v>83</v>
      </c>
      <c r="D66" s="28"/>
      <c r="E66" s="28"/>
      <c r="F66" s="28"/>
      <c r="G66" s="28"/>
      <c r="H66" s="28"/>
      <c r="I66" s="270">
        <f ca="1">+IF(I65&lt;I64,20%,IF(AND(F17="Célibataire",F18&lt;(F31+F33*F19)),F40*(F31+F33*F19-F18)/F41,IF(AND(F17="mariés",F18&lt;(F32+F33*F19)),F40*(F32+F33*F19-F18)/F42,0)))</f>
        <v>0</v>
      </c>
    </row>
    <row r="67" spans="2:9" x14ac:dyDescent="0.25">
      <c r="B67" s="28"/>
      <c r="C67" s="279" t="s">
        <v>84</v>
      </c>
      <c r="D67" s="28"/>
      <c r="E67" s="28"/>
      <c r="F67" s="28"/>
      <c r="G67" s="28"/>
      <c r="H67" s="28"/>
      <c r="I67" s="270">
        <f ca="1">+I61*I66</f>
        <v>0</v>
      </c>
    </row>
    <row r="68" spans="2:9" ht="17.25" x14ac:dyDescent="0.4">
      <c r="B68" s="28"/>
      <c r="C68" s="279" t="s">
        <v>85</v>
      </c>
      <c r="D68" s="28"/>
      <c r="E68" s="28"/>
      <c r="F68" s="28"/>
      <c r="G68" s="28"/>
      <c r="H68" s="28"/>
      <c r="I68" s="287">
        <f ca="1">+I61-I67</f>
        <v>68606.887941463268</v>
      </c>
    </row>
    <row r="69" spans="2:9" x14ac:dyDescent="0.25">
      <c r="B69" s="28"/>
      <c r="C69" s="279"/>
      <c r="D69" s="28"/>
      <c r="E69" s="28"/>
      <c r="F69" s="28"/>
      <c r="G69" s="28"/>
      <c r="H69" s="28"/>
      <c r="I69" s="281"/>
    </row>
    <row r="71" spans="2:9" x14ac:dyDescent="0.25">
      <c r="C71" s="443" t="s">
        <v>392</v>
      </c>
      <c r="D71" s="443"/>
      <c r="E71" s="443"/>
    </row>
    <row r="72" spans="2:9" x14ac:dyDescent="0.25">
      <c r="C72" s="299"/>
      <c r="D72" s="299"/>
      <c r="E72" s="299"/>
    </row>
    <row r="73" spans="2:9" x14ac:dyDescent="0.25">
      <c r="C73" s="3"/>
      <c r="D73" s="289" t="s">
        <v>86</v>
      </c>
      <c r="E73" s="290" t="s">
        <v>87</v>
      </c>
    </row>
    <row r="74" spans="2:9" x14ac:dyDescent="0.25">
      <c r="C74" s="282" t="s">
        <v>88</v>
      </c>
      <c r="D74" s="291">
        <v>0.03</v>
      </c>
      <c r="E74" s="292">
        <v>0.03</v>
      </c>
    </row>
    <row r="75" spans="2:9" x14ac:dyDescent="0.25">
      <c r="C75" s="3" t="s">
        <v>89</v>
      </c>
      <c r="D75" s="293">
        <v>250001</v>
      </c>
      <c r="E75" s="294">
        <v>500001</v>
      </c>
    </row>
    <row r="76" spans="2:9" x14ac:dyDescent="0.25">
      <c r="C76" s="3" t="s">
        <v>90</v>
      </c>
      <c r="D76" s="293">
        <v>500000</v>
      </c>
      <c r="E76" s="294">
        <v>1000000</v>
      </c>
    </row>
    <row r="77" spans="2:9" x14ac:dyDescent="0.25">
      <c r="C77" s="3" t="s">
        <v>91</v>
      </c>
      <c r="D77" s="295">
        <f>IF(F17="Célibataire",IF(F18&lt;=D75,0,MIN(F18-D75,D76-D75)),0)</f>
        <v>0</v>
      </c>
      <c r="E77" s="296">
        <f ca="1">IF(F17="marié",IF(F18&lt;=E75,0,MIN(F18-E75,E76-E75)),0)</f>
        <v>0</v>
      </c>
    </row>
    <row r="78" spans="2:9" x14ac:dyDescent="0.25">
      <c r="C78" s="3" t="s">
        <v>92</v>
      </c>
      <c r="D78" s="295">
        <f ca="1">D77*D74+E77*E74</f>
        <v>0</v>
      </c>
      <c r="E78" s="296"/>
    </row>
    <row r="79" spans="2:9" x14ac:dyDescent="0.25">
      <c r="C79" s="282" t="s">
        <v>93</v>
      </c>
      <c r="D79" s="291">
        <v>0.04</v>
      </c>
      <c r="E79" s="292">
        <v>0.04</v>
      </c>
    </row>
    <row r="80" spans="2:9" x14ac:dyDescent="0.25">
      <c r="C80" s="3" t="s">
        <v>89</v>
      </c>
      <c r="D80" s="293">
        <f>+D76+1</f>
        <v>500001</v>
      </c>
      <c r="E80" s="294">
        <f>+E76+1</f>
        <v>1000001</v>
      </c>
    </row>
    <row r="81" spans="3:5" x14ac:dyDescent="0.25">
      <c r="C81" s="3" t="s">
        <v>94</v>
      </c>
      <c r="D81" s="295">
        <f>IF($F$17=1,IF($F$18&gt;D80,$F$18-D80,0),0)</f>
        <v>0</v>
      </c>
      <c r="E81" s="296">
        <f>IF($F$17=1,IF($F$18&gt;E80,$F$18-E80,0),0)</f>
        <v>0</v>
      </c>
    </row>
    <row r="82" spans="3:5" x14ac:dyDescent="0.25">
      <c r="C82" s="3" t="s">
        <v>91</v>
      </c>
      <c r="D82" s="295">
        <f>+IF(E46&gt;D80,E46-D80,0)</f>
        <v>0</v>
      </c>
      <c r="E82" s="296">
        <f>+IF(E46&gt;E80,E46-E80,0)</f>
        <v>0</v>
      </c>
    </row>
    <row r="83" spans="3:5" x14ac:dyDescent="0.25">
      <c r="C83" s="3" t="s">
        <v>95</v>
      </c>
      <c r="D83" s="295">
        <f>D82*D79+E82*E79</f>
        <v>0</v>
      </c>
      <c r="E83" s="296"/>
    </row>
    <row r="84" spans="3:5" x14ac:dyDescent="0.25">
      <c r="C84" s="3" t="s">
        <v>96</v>
      </c>
      <c r="D84" s="297">
        <f ca="1">+D78+D83</f>
        <v>0</v>
      </c>
      <c r="E84" s="298"/>
    </row>
  </sheetData>
  <mergeCells count="5">
    <mergeCell ref="B3:I3"/>
    <mergeCell ref="B4:I4"/>
    <mergeCell ref="C15:F15"/>
    <mergeCell ref="C45:F45"/>
    <mergeCell ref="C71:E71"/>
  </mergeCells>
  <hyperlinks>
    <hyperlink ref="B39" r:id="rId1" location="impot-sur-le-revenu-2019-tranches-2020" display="https://droit-finances.commentcamarche.com/faq/20217-impot-sur-le-revenu-bareme-2020 - impot-sur-le-revenu-2019-tranches-2020" xr:uid="{D0561F40-960E-43C5-9735-89F8321653A8}"/>
  </hyperlinks>
  <pageMargins left="0.7" right="0.7" top="0.75" bottom="0.75" header="0.3" footer="0.3"/>
  <pageSetup paperSize="9" orientation="portrait"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6AA92-6106-4FE2-927D-218B3C268D5D}">
  <dimension ref="A1"/>
  <sheetViews>
    <sheetView workbookViewId="0">
      <selection activeCell="X62" sqref="X62"/>
    </sheetView>
  </sheetViews>
  <sheetFormatPr baseColWidth="10" defaultRowHeight="12.7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17393-140C-46D8-A056-06F4449E2FD6}">
  <sheetPr>
    <tabColor theme="8" tint="0.59999389629810485"/>
  </sheetPr>
  <dimension ref="B2:P89"/>
  <sheetViews>
    <sheetView topLeftCell="A43" workbookViewId="0">
      <selection activeCell="X62" sqref="X62"/>
    </sheetView>
  </sheetViews>
  <sheetFormatPr baseColWidth="10" defaultColWidth="11.42578125" defaultRowHeight="15" x14ac:dyDescent="0.3"/>
  <cols>
    <col min="1" max="4" width="11.42578125" style="156"/>
    <col min="5" max="5" width="13" style="156" customWidth="1"/>
    <col min="6" max="6" width="12.140625" style="156" customWidth="1"/>
    <col min="7" max="7" width="1.7109375" style="156" customWidth="1"/>
    <col min="8" max="8" width="13.85546875" style="156" customWidth="1"/>
    <col min="9" max="9" width="14" style="156" customWidth="1"/>
    <col min="10" max="10" width="13.7109375" style="156" customWidth="1"/>
    <col min="11" max="12" width="11.42578125" style="156"/>
    <col min="13" max="13" width="34.7109375" style="156" customWidth="1"/>
    <col min="14" max="16384" width="11.42578125" style="156"/>
  </cols>
  <sheetData>
    <row r="2" spans="2:16" ht="15" customHeight="1" x14ac:dyDescent="0.3"/>
    <row r="3" spans="2:16" ht="31.5" customHeight="1" x14ac:dyDescent="0.3">
      <c r="B3" s="447" t="s">
        <v>287</v>
      </c>
      <c r="C3" s="447"/>
      <c r="D3" s="447"/>
      <c r="E3" s="447"/>
      <c r="F3" s="447"/>
      <c r="G3" s="447"/>
      <c r="H3" s="447"/>
      <c r="I3" s="447"/>
    </row>
    <row r="4" spans="2:16" ht="27.75" customHeight="1" x14ac:dyDescent="0.3">
      <c r="B4" s="448" t="e">
        <f>+#REF!</f>
        <v>#REF!</v>
      </c>
      <c r="C4" s="448"/>
      <c r="D4" s="448"/>
      <c r="E4" s="448"/>
      <c r="F4" s="448"/>
      <c r="G4" s="448"/>
      <c r="H4" s="448"/>
      <c r="I4" s="448"/>
    </row>
    <row r="5" spans="2:16" ht="30" x14ac:dyDescent="0.3">
      <c r="B5" s="163"/>
      <c r="C5" s="176" t="s">
        <v>57</v>
      </c>
      <c r="D5" s="176" t="s">
        <v>58</v>
      </c>
      <c r="E5" s="176" t="s">
        <v>59</v>
      </c>
      <c r="F5" s="176" t="s">
        <v>60</v>
      </c>
      <c r="G5" s="177"/>
      <c r="H5" s="176" t="s">
        <v>61</v>
      </c>
      <c r="I5" s="176" t="s">
        <v>62</v>
      </c>
    </row>
    <row r="6" spans="2:16" ht="16.5" customHeight="1" x14ac:dyDescent="0.3">
      <c r="B6" s="163" t="s">
        <v>63</v>
      </c>
      <c r="C6" s="178">
        <v>0</v>
      </c>
      <c r="D6" s="179">
        <v>10225</v>
      </c>
      <c r="E6" s="179">
        <v>0</v>
      </c>
      <c r="F6" s="179">
        <v>0</v>
      </c>
      <c r="G6" s="180"/>
      <c r="H6" s="178">
        <f>+IFERROR($E6*#REF!-$F6*$F$20,0)</f>
        <v>0</v>
      </c>
      <c r="I6" s="178">
        <f>+IFERROR($E6*#REF!-$F6*#REF!,0)</f>
        <v>0</v>
      </c>
      <c r="J6" s="156" t="s">
        <v>288</v>
      </c>
      <c r="M6" s="156">
        <v>9807</v>
      </c>
      <c r="N6" s="181">
        <f>+D6/M6-1</f>
        <v>4.2622616498419585E-2</v>
      </c>
      <c r="O6" s="156">
        <v>0</v>
      </c>
      <c r="P6" s="181" t="e">
        <f>+F6/O6-1</f>
        <v>#DIV/0!</v>
      </c>
    </row>
    <row r="7" spans="2:16" x14ac:dyDescent="0.3">
      <c r="B7" s="163" t="s">
        <v>64</v>
      </c>
      <c r="C7" s="178">
        <f>+D6+1</f>
        <v>10226</v>
      </c>
      <c r="D7" s="179">
        <v>26070</v>
      </c>
      <c r="E7" s="179">
        <v>0.11</v>
      </c>
      <c r="F7" s="179">
        <v>1124.75</v>
      </c>
      <c r="G7" s="180"/>
      <c r="H7" s="178">
        <f>+IFERROR($E7*#REF!-$F7*$F$20,0)</f>
        <v>0</v>
      </c>
      <c r="I7" s="178">
        <f>+IFERROR($E7*#REF!-$F7*#REF!,0)</f>
        <v>0</v>
      </c>
      <c r="J7" s="156" t="s">
        <v>288</v>
      </c>
      <c r="M7" s="156">
        <v>27086</v>
      </c>
      <c r="N7" s="181">
        <f t="shared" ref="N7:P10" si="0">+D7/M7-1</f>
        <v>-3.7510152846488953E-2</v>
      </c>
      <c r="O7" s="156">
        <v>1372.98</v>
      </c>
      <c r="P7" s="181">
        <f t="shared" si="0"/>
        <v>-0.18079651560838472</v>
      </c>
    </row>
    <row r="8" spans="2:16" x14ac:dyDescent="0.3">
      <c r="B8" s="163" t="s">
        <v>65</v>
      </c>
      <c r="C8" s="178">
        <f>+D7+1</f>
        <v>26071</v>
      </c>
      <c r="D8" s="179">
        <v>74545</v>
      </c>
      <c r="E8" s="179">
        <v>0.3</v>
      </c>
      <c r="F8" s="179">
        <v>6078.05</v>
      </c>
      <c r="G8" s="180"/>
      <c r="H8" s="178">
        <f>+IFERROR($E8*#REF!-$F8*$F$20,0)</f>
        <v>0</v>
      </c>
      <c r="I8" s="178">
        <f>+IFERROR($E8*#REF!-$F8*#REF!,0)</f>
        <v>0</v>
      </c>
      <c r="J8" s="156" t="s">
        <v>288</v>
      </c>
      <c r="M8" s="156">
        <v>72617</v>
      </c>
      <c r="N8" s="181">
        <f t="shared" si="0"/>
        <v>2.655025682691381E-2</v>
      </c>
      <c r="O8" s="156">
        <v>5706.74</v>
      </c>
      <c r="P8" s="181">
        <f t="shared" si="0"/>
        <v>6.5065168555077157E-2</v>
      </c>
    </row>
    <row r="9" spans="2:16" x14ac:dyDescent="0.3">
      <c r="B9" s="163" t="s">
        <v>66</v>
      </c>
      <c r="C9" s="178">
        <f>+D8+1</f>
        <v>74546</v>
      </c>
      <c r="D9" s="179">
        <v>160336</v>
      </c>
      <c r="E9" s="179">
        <v>0.41</v>
      </c>
      <c r="F9" s="179">
        <v>14278</v>
      </c>
      <c r="G9" s="180"/>
      <c r="H9" s="178">
        <f>+IFERROR($E9*#REF!-$F9*$F$20,0)</f>
        <v>0</v>
      </c>
      <c r="I9" s="178">
        <f>+IFERROR($E9*#REF!-$F9*#REF!,0)</f>
        <v>0</v>
      </c>
      <c r="J9" s="156" t="s">
        <v>288</v>
      </c>
      <c r="M9" s="156">
        <v>153783</v>
      </c>
      <c r="N9" s="181">
        <f t="shared" si="0"/>
        <v>4.2611992222807427E-2</v>
      </c>
      <c r="O9" s="156">
        <v>13694.61</v>
      </c>
      <c r="P9" s="181">
        <f t="shared" si="0"/>
        <v>4.259997181372821E-2</v>
      </c>
    </row>
    <row r="10" spans="2:16" x14ac:dyDescent="0.3">
      <c r="B10" s="163" t="s">
        <v>67</v>
      </c>
      <c r="C10" s="178">
        <f>+D9+1</f>
        <v>160337</v>
      </c>
      <c r="D10" s="179">
        <v>0</v>
      </c>
      <c r="E10" s="179">
        <v>0.45</v>
      </c>
      <c r="F10" s="179">
        <v>20691.439999999999</v>
      </c>
      <c r="G10" s="180"/>
      <c r="H10" s="178">
        <f>+IFERROR($E10*#REF!-$F10*$F$20,0)</f>
        <v>0</v>
      </c>
      <c r="I10" s="178">
        <f>+IFERROR($E10*#REF!-$F10*#REF!,0)</f>
        <v>0</v>
      </c>
      <c r="J10" s="156" t="s">
        <v>288</v>
      </c>
      <c r="M10" s="156">
        <v>153784</v>
      </c>
      <c r="N10" s="181">
        <f t="shared" si="0"/>
        <v>-1</v>
      </c>
      <c r="O10" s="156">
        <v>19845.93</v>
      </c>
      <c r="P10" s="181">
        <f t="shared" si="0"/>
        <v>4.2603697584340905E-2</v>
      </c>
    </row>
    <row r="11" spans="2:16" x14ac:dyDescent="0.3">
      <c r="B11" s="163" t="s">
        <v>289</v>
      </c>
      <c r="C11" s="178"/>
      <c r="D11" s="179">
        <v>0</v>
      </c>
      <c r="E11" s="179">
        <v>0</v>
      </c>
      <c r="F11" s="179">
        <v>0</v>
      </c>
      <c r="G11" s="180"/>
      <c r="H11" s="178">
        <f>+IFERROR($E11*#REF!-$F11*$F$20,0)</f>
        <v>0</v>
      </c>
      <c r="I11" s="178">
        <f>+IFERROR($E11*#REF!-$F11*#REF!,0)</f>
        <v>0</v>
      </c>
      <c r="J11" s="156" t="s">
        <v>288</v>
      </c>
    </row>
    <row r="12" spans="2:16" ht="17.25" x14ac:dyDescent="0.45">
      <c r="H12" s="182"/>
      <c r="I12" s="182"/>
    </row>
    <row r="13" spans="2:16" ht="17.25" x14ac:dyDescent="0.45">
      <c r="H13" s="182"/>
    </row>
    <row r="15" spans="2:16" x14ac:dyDescent="0.3">
      <c r="C15" s="449" t="s">
        <v>290</v>
      </c>
      <c r="D15" s="449"/>
      <c r="E15" s="449"/>
      <c r="F15" s="449"/>
    </row>
    <row r="16" spans="2:16" ht="6" customHeight="1" x14ac:dyDescent="0.3">
      <c r="C16" s="163"/>
      <c r="F16" s="183"/>
    </row>
    <row r="17" spans="2:12" x14ac:dyDescent="0.3">
      <c r="C17" s="163" t="s">
        <v>291</v>
      </c>
      <c r="F17" s="184" t="e">
        <f>+#REF!</f>
        <v>#REF!</v>
      </c>
    </row>
    <row r="18" spans="2:12" x14ac:dyDescent="0.3">
      <c r="C18" s="163" t="s">
        <v>292</v>
      </c>
      <c r="F18" s="184" t="e">
        <f>+#REF!</f>
        <v>#REF!</v>
      </c>
    </row>
    <row r="19" spans="2:12" x14ac:dyDescent="0.3">
      <c r="C19" s="163" t="s">
        <v>293</v>
      </c>
      <c r="F19" s="184" t="e">
        <f>+IF(#REF!&lt;=2,#REF!,2+(#REF!-2)*2)</f>
        <v>#REF!</v>
      </c>
    </row>
    <row r="20" spans="2:12" x14ac:dyDescent="0.3">
      <c r="C20" s="163" t="s">
        <v>69</v>
      </c>
      <c r="F20" s="184" t="e">
        <f>+IF(#REF!&lt;=2,#REF!-#REF!/2,#REF!-(1+(#REF!-2)))</f>
        <v>#REF!</v>
      </c>
    </row>
    <row r="21" spans="2:12" ht="6" customHeight="1" x14ac:dyDescent="0.3">
      <c r="C21" s="163"/>
      <c r="F21" s="183"/>
    </row>
    <row r="22" spans="2:12" x14ac:dyDescent="0.3">
      <c r="C22" s="163" t="s">
        <v>294</v>
      </c>
      <c r="F22" s="179">
        <v>1592</v>
      </c>
      <c r="H22" s="156" t="s">
        <v>288</v>
      </c>
      <c r="K22" s="185">
        <f>1551/1527-1</f>
        <v>1.5717092337917515E-2</v>
      </c>
    </row>
    <row r="23" spans="2:12" x14ac:dyDescent="0.3">
      <c r="C23" s="163" t="s">
        <v>295</v>
      </c>
      <c r="F23" s="179">
        <v>12829</v>
      </c>
      <c r="H23" s="156" t="s">
        <v>296</v>
      </c>
    </row>
    <row r="24" spans="2:12" x14ac:dyDescent="0.3">
      <c r="C24" s="163"/>
      <c r="K24" s="156">
        <f>9306+3102</f>
        <v>12408</v>
      </c>
      <c r="L24" s="156">
        <f>12305*1.016</f>
        <v>12501.880000000001</v>
      </c>
    </row>
    <row r="25" spans="2:12" x14ac:dyDescent="0.3">
      <c r="C25" s="171" t="s">
        <v>70</v>
      </c>
    </row>
    <row r="26" spans="2:12" x14ac:dyDescent="0.3">
      <c r="C26" s="163" t="s">
        <v>297</v>
      </c>
      <c r="F26" s="179">
        <v>1746</v>
      </c>
      <c r="H26" s="156" t="s">
        <v>288</v>
      </c>
      <c r="K26" s="179">
        <v>790</v>
      </c>
      <c r="L26" s="179">
        <v>0.45250000000000001</v>
      </c>
    </row>
    <row r="27" spans="2:12" x14ac:dyDescent="0.3">
      <c r="B27" s="163"/>
      <c r="C27" s="163" t="s">
        <v>298</v>
      </c>
      <c r="F27" s="179">
        <v>2888</v>
      </c>
      <c r="H27" s="156" t="s">
        <v>288</v>
      </c>
      <c r="K27" s="179">
        <v>1307</v>
      </c>
      <c r="L27" s="179">
        <v>0.45250000000000001</v>
      </c>
    </row>
    <row r="28" spans="2:12" x14ac:dyDescent="0.3">
      <c r="B28" s="163"/>
      <c r="C28" s="163"/>
    </row>
    <row r="29" spans="2:12" x14ac:dyDescent="0.3">
      <c r="B29" s="186" t="s">
        <v>299</v>
      </c>
      <c r="C29" s="171" t="s">
        <v>71</v>
      </c>
    </row>
    <row r="30" spans="2:12" x14ac:dyDescent="0.3">
      <c r="B30" s="163"/>
      <c r="C30" s="163" t="s">
        <v>72</v>
      </c>
      <c r="F30" s="187"/>
    </row>
    <row r="31" spans="2:12" x14ac:dyDescent="0.3">
      <c r="B31" s="163"/>
      <c r="C31" s="188" t="s">
        <v>73</v>
      </c>
      <c r="F31" s="179">
        <v>21248</v>
      </c>
      <c r="H31" s="156" t="s">
        <v>288</v>
      </c>
    </row>
    <row r="32" spans="2:12" x14ac:dyDescent="0.3">
      <c r="B32" s="163"/>
      <c r="C32" s="188" t="s">
        <v>74</v>
      </c>
      <c r="F32" s="179">
        <v>42486</v>
      </c>
      <c r="H32" s="156" t="s">
        <v>288</v>
      </c>
    </row>
    <row r="33" spans="2:12" x14ac:dyDescent="0.3">
      <c r="B33" s="163"/>
      <c r="C33" s="188" t="s">
        <v>75</v>
      </c>
      <c r="F33" s="179">
        <v>3835</v>
      </c>
      <c r="H33" s="156" t="s">
        <v>288</v>
      </c>
    </row>
    <row r="34" spans="2:12" x14ac:dyDescent="0.3">
      <c r="B34" s="186" t="s">
        <v>300</v>
      </c>
      <c r="C34" s="189" t="s">
        <v>19</v>
      </c>
      <c r="F34" s="190"/>
    </row>
    <row r="35" spans="2:12" x14ac:dyDescent="0.3">
      <c r="B35" s="163"/>
      <c r="C35" s="188" t="s">
        <v>73</v>
      </c>
      <c r="F35" s="179">
        <v>19175</v>
      </c>
      <c r="H35" s="156" t="s">
        <v>288</v>
      </c>
    </row>
    <row r="36" spans="2:12" x14ac:dyDescent="0.3">
      <c r="B36" s="163"/>
      <c r="C36" s="188" t="s">
        <v>74</v>
      </c>
      <c r="F36" s="179">
        <v>38350</v>
      </c>
      <c r="H36" s="156" t="s">
        <v>288</v>
      </c>
    </row>
    <row r="37" spans="2:12" x14ac:dyDescent="0.3">
      <c r="B37" s="163"/>
      <c r="C37" s="188" t="s">
        <v>75</v>
      </c>
      <c r="F37" s="184">
        <f>+F33</f>
        <v>3835</v>
      </c>
    </row>
    <row r="38" spans="2:12" ht="28.5" x14ac:dyDescent="0.45">
      <c r="B38" s="163"/>
      <c r="C38" s="188"/>
      <c r="F38" s="190"/>
      <c r="L38" s="191" t="s">
        <v>301</v>
      </c>
    </row>
    <row r="39" spans="2:12" ht="15.75" x14ac:dyDescent="0.3">
      <c r="B39" s="12" t="s">
        <v>302</v>
      </c>
      <c r="C39" s="189" t="s">
        <v>18</v>
      </c>
      <c r="F39" s="190"/>
    </row>
    <row r="40" spans="2:12" x14ac:dyDescent="0.3">
      <c r="B40" s="163"/>
      <c r="C40" s="188" t="s">
        <v>76</v>
      </c>
      <c r="F40" s="179">
        <v>0.2</v>
      </c>
      <c r="H40" s="156" t="s">
        <v>288</v>
      </c>
    </row>
    <row r="41" spans="2:12" x14ac:dyDescent="0.3">
      <c r="B41" s="163"/>
      <c r="C41" s="188" t="s">
        <v>77</v>
      </c>
      <c r="F41" s="179">
        <v>2073</v>
      </c>
      <c r="G41" s="187"/>
      <c r="H41" s="156" t="s">
        <v>288</v>
      </c>
    </row>
    <row r="42" spans="2:12" x14ac:dyDescent="0.3">
      <c r="B42" s="163"/>
      <c r="C42" s="188" t="s">
        <v>78</v>
      </c>
      <c r="F42" s="179">
        <v>4146</v>
      </c>
      <c r="H42" s="156" t="s">
        <v>288</v>
      </c>
    </row>
    <row r="43" spans="2:12" x14ac:dyDescent="0.3">
      <c r="B43" s="163"/>
      <c r="C43" s="188"/>
      <c r="F43" s="190"/>
    </row>
    <row r="44" spans="2:12" x14ac:dyDescent="0.3">
      <c r="B44" s="163"/>
      <c r="C44" s="188"/>
      <c r="F44" s="190"/>
    </row>
    <row r="45" spans="2:12" x14ac:dyDescent="0.3">
      <c r="B45" s="163"/>
      <c r="C45" s="449" t="s">
        <v>303</v>
      </c>
      <c r="D45" s="449"/>
      <c r="E45" s="449"/>
      <c r="F45" s="449"/>
    </row>
    <row r="46" spans="2:12" ht="15.75" x14ac:dyDescent="0.35">
      <c r="B46" s="163"/>
      <c r="J46" s="192" t="s">
        <v>59</v>
      </c>
    </row>
    <row r="47" spans="2:12" ht="15.75" x14ac:dyDescent="0.35">
      <c r="C47" s="156" t="s">
        <v>304</v>
      </c>
      <c r="D47" s="193"/>
      <c r="E47" s="193"/>
      <c r="F47" s="193"/>
      <c r="G47" s="193"/>
      <c r="H47" s="194" t="e">
        <f>+#REF!/'PARAM IR SOURCE'!F20</f>
        <v>#REF!</v>
      </c>
      <c r="I47" s="195">
        <f>+IFERROR(VLOOKUP(H47,C6:I11,6,TRUE),0)</f>
        <v>0</v>
      </c>
      <c r="J47" s="196" t="e">
        <f>+VLOOKUP(#REF!/$F$20,C6:G11,3,TRUE)</f>
        <v>#REF!</v>
      </c>
    </row>
    <row r="48" spans="2:12" ht="15.75" x14ac:dyDescent="0.35">
      <c r="B48" s="166"/>
      <c r="C48" s="163" t="s">
        <v>305</v>
      </c>
      <c r="D48" s="166"/>
      <c r="E48" s="166"/>
      <c r="F48" s="166"/>
      <c r="G48" s="166"/>
      <c r="H48" s="194" t="e">
        <f>+#REF!/#REF!</f>
        <v>#REF!</v>
      </c>
      <c r="I48" s="195">
        <f>+IFERROR(VLOOKUP(H48,C6:I11,7,TRUE),0)</f>
        <v>0</v>
      </c>
      <c r="J48" s="196" t="e">
        <f>+VLOOKUP(#REF!/#REF!,C6:G11,3,TRUE)</f>
        <v>#REF!</v>
      </c>
    </row>
    <row r="49" spans="2:12" x14ac:dyDescent="0.3">
      <c r="C49" s="163"/>
    </row>
    <row r="50" spans="2:12" x14ac:dyDescent="0.3">
      <c r="C50" s="163" t="s">
        <v>306</v>
      </c>
      <c r="I50" s="197">
        <f>+I47-I48</f>
        <v>0</v>
      </c>
    </row>
    <row r="51" spans="2:12" x14ac:dyDescent="0.3">
      <c r="C51" s="163"/>
      <c r="I51" s="195"/>
    </row>
    <row r="52" spans="2:12" x14ac:dyDescent="0.3">
      <c r="C52" s="163" t="s">
        <v>307</v>
      </c>
      <c r="I52" s="198" t="e">
        <f>+F19*F22</f>
        <v>#REF!</v>
      </c>
    </row>
    <row r="53" spans="2:12" x14ac:dyDescent="0.3">
      <c r="L53" s="185">
        <f>1196/1177-1</f>
        <v>1.6142735768903904E-2</v>
      </c>
    </row>
    <row r="54" spans="2:12" x14ac:dyDescent="0.3">
      <c r="C54" s="163" t="s">
        <v>308</v>
      </c>
      <c r="D54" s="198"/>
      <c r="I54" s="169" t="e">
        <f>+MIN(I50,I52)</f>
        <v>#REF!</v>
      </c>
      <c r="L54" s="185">
        <f>1970/1939-1</f>
        <v>1.5987622485817532E-2</v>
      </c>
    </row>
    <row r="55" spans="2:12" x14ac:dyDescent="0.3">
      <c r="C55" s="163"/>
    </row>
    <row r="56" spans="2:12" x14ac:dyDescent="0.3">
      <c r="C56" s="171" t="s">
        <v>309</v>
      </c>
      <c r="I56" s="199" t="e">
        <f>+I47-I54</f>
        <v>#REF!</v>
      </c>
    </row>
    <row r="57" spans="2:12" x14ac:dyDescent="0.3">
      <c r="B57" s="166"/>
      <c r="C57" s="200" t="s">
        <v>310</v>
      </c>
      <c r="D57" s="166"/>
      <c r="E57" s="166"/>
      <c r="F57" s="166"/>
      <c r="G57" s="166"/>
      <c r="H57" s="166"/>
      <c r="I57" s="201">
        <f>+IFERROR(I56/#REF!,0)</f>
        <v>0</v>
      </c>
    </row>
    <row r="58" spans="2:12" x14ac:dyDescent="0.3">
      <c r="B58" s="166"/>
      <c r="C58" s="200"/>
      <c r="D58" s="166"/>
      <c r="E58" s="166"/>
      <c r="F58" s="166"/>
      <c r="G58" s="166"/>
      <c r="H58" s="166"/>
      <c r="I58" s="201"/>
    </row>
    <row r="59" spans="2:12" x14ac:dyDescent="0.3">
      <c r="B59" s="166"/>
      <c r="C59" s="200" t="s">
        <v>70</v>
      </c>
      <c r="D59" s="166"/>
      <c r="E59" s="166"/>
      <c r="F59" s="166"/>
      <c r="G59" s="166"/>
      <c r="H59" s="166"/>
      <c r="I59" s="202" t="e">
        <f>+IF(AND(F17="célibataire",I56&lt;F26,I56&gt;0),MAX(0,K26-I56*L26),IF(AND(F17="mariés",I56&lt;F27,I56&gt;0),MAX(0,K27-I56*L27),0))</f>
        <v>#REF!</v>
      </c>
      <c r="J59" s="156" t="s">
        <v>288</v>
      </c>
    </row>
    <row r="60" spans="2:12" x14ac:dyDescent="0.3">
      <c r="B60" s="166"/>
      <c r="C60" s="200"/>
      <c r="D60" s="166"/>
      <c r="E60" s="166"/>
      <c r="F60" s="166"/>
      <c r="G60" s="166"/>
      <c r="H60" s="166"/>
      <c r="I60" s="201"/>
    </row>
    <row r="61" spans="2:12" x14ac:dyDescent="0.3">
      <c r="B61" s="166"/>
      <c r="C61" s="200" t="s">
        <v>311</v>
      </c>
      <c r="D61" s="166"/>
      <c r="E61" s="166"/>
      <c r="F61" s="166"/>
      <c r="G61" s="166"/>
      <c r="H61" s="166"/>
      <c r="I61" s="203" t="e">
        <f>+I56-I59</f>
        <v>#REF!</v>
      </c>
    </row>
    <row r="62" spans="2:12" x14ac:dyDescent="0.3">
      <c r="B62" s="166"/>
      <c r="C62" s="200"/>
      <c r="D62" s="166"/>
      <c r="E62" s="166"/>
      <c r="F62" s="166"/>
      <c r="G62" s="166"/>
      <c r="H62" s="166"/>
      <c r="I62" s="203"/>
    </row>
    <row r="63" spans="2:12" x14ac:dyDescent="0.3">
      <c r="B63" s="166"/>
      <c r="C63" s="200" t="s">
        <v>80</v>
      </c>
      <c r="D63" s="166"/>
      <c r="E63" s="166"/>
      <c r="F63" s="166"/>
      <c r="G63" s="166"/>
      <c r="H63" s="166"/>
      <c r="I63" s="204" t="e">
        <f>+IF(F17="célibataire",F31+F33*F19,F32+F33*F19)</f>
        <v>#REF!</v>
      </c>
      <c r="J63" s="156" t="s">
        <v>312</v>
      </c>
    </row>
    <row r="64" spans="2:12" x14ac:dyDescent="0.3">
      <c r="B64" s="166"/>
      <c r="C64" s="200" t="s">
        <v>81</v>
      </c>
      <c r="D64" s="166"/>
      <c r="E64" s="166"/>
      <c r="F64" s="166"/>
      <c r="G64" s="166"/>
      <c r="H64" s="166"/>
      <c r="I64" s="204" t="e">
        <f>+IF(F17="célibataire",F35+F37*F19,F36+F33*F19)</f>
        <v>#REF!</v>
      </c>
      <c r="J64" s="156" t="s">
        <v>313</v>
      </c>
    </row>
    <row r="65" spans="2:9" x14ac:dyDescent="0.3">
      <c r="B65" s="166"/>
      <c r="C65" s="200" t="s">
        <v>82</v>
      </c>
      <c r="D65" s="166"/>
      <c r="E65" s="166"/>
      <c r="F65" s="166"/>
      <c r="G65" s="166"/>
      <c r="H65" s="166"/>
      <c r="I65" s="204" t="e">
        <f>+F18</f>
        <v>#REF!</v>
      </c>
    </row>
    <row r="66" spans="2:9" x14ac:dyDescent="0.3">
      <c r="B66" s="166"/>
      <c r="C66" s="200" t="s">
        <v>83</v>
      </c>
      <c r="D66" s="166"/>
      <c r="E66" s="166"/>
      <c r="F66" s="166"/>
      <c r="G66" s="166"/>
      <c r="H66" s="166"/>
      <c r="I66" s="201" t="e">
        <f>+IF(I65&lt;I64,20%,IF(AND(F17="Célibataire",F18&lt;(F31+F33*F19)),F40*(F31+F33*F19-F18)/F41,IF(AND(F17="mariés",F18&lt;(F32+F33*F19)),F40*(F32+F33*F19-F18)/F42,0)))</f>
        <v>#REF!</v>
      </c>
    </row>
    <row r="67" spans="2:9" x14ac:dyDescent="0.3">
      <c r="B67" s="166"/>
      <c r="C67" s="200" t="s">
        <v>84</v>
      </c>
      <c r="D67" s="166"/>
      <c r="E67" s="166"/>
      <c r="F67" s="166"/>
      <c r="G67" s="166"/>
      <c r="H67" s="166"/>
      <c r="I67" s="204" t="e">
        <f>+I61*I66</f>
        <v>#REF!</v>
      </c>
    </row>
    <row r="68" spans="2:9" x14ac:dyDescent="0.3">
      <c r="B68" s="166"/>
      <c r="C68" s="200" t="s">
        <v>85</v>
      </c>
      <c r="D68" s="166"/>
      <c r="E68" s="166"/>
      <c r="F68" s="166"/>
      <c r="G68" s="166"/>
      <c r="H68" s="166"/>
      <c r="I68" s="203" t="e">
        <f>+I61-I67</f>
        <v>#REF!</v>
      </c>
    </row>
    <row r="69" spans="2:9" x14ac:dyDescent="0.3">
      <c r="B69" s="166"/>
      <c r="C69" s="200"/>
      <c r="D69" s="166"/>
      <c r="E69" s="166"/>
      <c r="F69" s="166"/>
      <c r="G69" s="166"/>
      <c r="H69" s="166"/>
      <c r="I69" s="203"/>
    </row>
    <row r="71" spans="2:9" ht="15" customHeight="1" x14ac:dyDescent="0.3">
      <c r="B71" s="163"/>
      <c r="C71" s="205" t="s">
        <v>314</v>
      </c>
      <c r="D71" s="163"/>
      <c r="E71" s="163"/>
      <c r="F71" s="163"/>
      <c r="G71" s="163"/>
      <c r="H71" s="163"/>
      <c r="I71" s="206"/>
    </row>
    <row r="72" spans="2:9" x14ac:dyDescent="0.3">
      <c r="C72" s="450" t="s">
        <v>315</v>
      </c>
      <c r="D72" s="450"/>
      <c r="E72" s="450"/>
      <c r="F72" s="450"/>
      <c r="G72" s="450"/>
      <c r="H72" s="450"/>
    </row>
    <row r="73" spans="2:9" x14ac:dyDescent="0.3">
      <c r="C73" s="451" t="s">
        <v>316</v>
      </c>
      <c r="D73" s="451"/>
      <c r="E73" s="451"/>
      <c r="F73" s="451"/>
      <c r="G73" s="451"/>
      <c r="H73" s="451"/>
    </row>
    <row r="74" spans="2:9" x14ac:dyDescent="0.3">
      <c r="C74" s="444" t="s">
        <v>317</v>
      </c>
      <c r="D74" s="444"/>
      <c r="E74" s="444"/>
      <c r="F74" s="444"/>
      <c r="G74" s="444"/>
      <c r="H74" s="444"/>
    </row>
    <row r="78" spans="2:9" x14ac:dyDescent="0.3">
      <c r="C78" s="67"/>
      <c r="D78" s="96" t="s">
        <v>86</v>
      </c>
      <c r="E78" s="96" t="s">
        <v>87</v>
      </c>
    </row>
    <row r="79" spans="2:9" x14ac:dyDescent="0.3">
      <c r="C79" s="69" t="s">
        <v>88</v>
      </c>
      <c r="D79" s="70">
        <v>0.03</v>
      </c>
      <c r="E79" s="70">
        <v>0.03</v>
      </c>
    </row>
    <row r="80" spans="2:9" x14ac:dyDescent="0.3">
      <c r="C80" s="67" t="s">
        <v>89</v>
      </c>
      <c r="D80" s="71">
        <v>250001</v>
      </c>
      <c r="E80" s="71">
        <v>500001</v>
      </c>
    </row>
    <row r="81" spans="3:5" x14ac:dyDescent="0.3">
      <c r="C81" s="67" t="s">
        <v>90</v>
      </c>
      <c r="D81" s="71">
        <v>500000</v>
      </c>
      <c r="E81" s="71">
        <v>1000000</v>
      </c>
    </row>
    <row r="82" spans="3:5" x14ac:dyDescent="0.3">
      <c r="C82" s="67" t="s">
        <v>91</v>
      </c>
      <c r="D82" s="68" t="e">
        <f>IF(F17="Célibataire",IF(F18&lt;=D80,0,MIN(F18-D80,D81-D80)),0)</f>
        <v>#REF!</v>
      </c>
      <c r="E82" s="68" t="e">
        <f>IF(F17="marié",IF(F18&lt;=E80,0,MIN(F18-E80,E81-E80)),0)</f>
        <v>#REF!</v>
      </c>
    </row>
    <row r="83" spans="3:5" x14ac:dyDescent="0.3">
      <c r="C83" s="67" t="s">
        <v>92</v>
      </c>
      <c r="D83" s="445" t="e">
        <f>D82*D79+E82*E79</f>
        <v>#REF!</v>
      </c>
      <c r="E83" s="445"/>
    </row>
    <row r="84" spans="3:5" x14ac:dyDescent="0.3">
      <c r="C84" s="69" t="s">
        <v>93</v>
      </c>
      <c r="D84" s="70">
        <v>0.04</v>
      </c>
      <c r="E84" s="70">
        <v>0.04</v>
      </c>
    </row>
    <row r="85" spans="3:5" x14ac:dyDescent="0.3">
      <c r="C85" s="67" t="s">
        <v>89</v>
      </c>
      <c r="D85" s="71">
        <f>+D81+1</f>
        <v>500001</v>
      </c>
      <c r="E85" s="71">
        <f>+E81+1</f>
        <v>1000001</v>
      </c>
    </row>
    <row r="86" spans="3:5" x14ac:dyDescent="0.3">
      <c r="C86" s="67" t="s">
        <v>94</v>
      </c>
      <c r="D86" s="68" t="e">
        <f>IF($F$17=1,IF($F$18&gt;D85,$F$18-D85,0),0)</f>
        <v>#REF!</v>
      </c>
      <c r="E86" s="68" t="e">
        <f>IF($F$17=1,IF($F$18&gt;E85,$F$18-E85,0),0)</f>
        <v>#REF!</v>
      </c>
    </row>
    <row r="87" spans="3:5" x14ac:dyDescent="0.3">
      <c r="C87" s="67" t="s">
        <v>91</v>
      </c>
      <c r="D87" s="68">
        <f>+IF(E46&gt;D85,E46-D85,0)</f>
        <v>0</v>
      </c>
      <c r="E87" s="68">
        <f>+IF(E46&gt;E85,E46-E85,0)</f>
        <v>0</v>
      </c>
    </row>
    <row r="88" spans="3:5" x14ac:dyDescent="0.3">
      <c r="C88" s="67" t="s">
        <v>95</v>
      </c>
      <c r="D88" s="445">
        <f>D87*D84+E87*E84</f>
        <v>0</v>
      </c>
      <c r="E88" s="445"/>
    </row>
    <row r="89" spans="3:5" x14ac:dyDescent="0.3">
      <c r="C89" s="67" t="s">
        <v>96</v>
      </c>
      <c r="D89" s="446" t="e">
        <f>+D83+D88</f>
        <v>#REF!</v>
      </c>
      <c r="E89" s="446"/>
    </row>
  </sheetData>
  <mergeCells count="10">
    <mergeCell ref="C74:H74"/>
    <mergeCell ref="D83:E83"/>
    <mergeCell ref="D88:E88"/>
    <mergeCell ref="D89:E89"/>
    <mergeCell ref="B3:I3"/>
    <mergeCell ref="B4:I4"/>
    <mergeCell ref="C15:F15"/>
    <mergeCell ref="C45:F45"/>
    <mergeCell ref="C72:H72"/>
    <mergeCell ref="C73:H73"/>
  </mergeCells>
  <hyperlinks>
    <hyperlink ref="B39" r:id="rId1" location="impot-sur-le-revenu-2019-tranches-2020" display="https://droit-finances.commentcamarche.com/faq/20217-impot-sur-le-revenu-bareme-2020 - impot-sur-le-revenu-2019-tranches-2020" xr:uid="{6860FD1B-2768-49F4-8660-937577ECD029}"/>
  </hyperlinks>
  <pageMargins left="0.7" right="0.7" top="0.75" bottom="0.75" header="0.3" footer="0.3"/>
  <pageSetup paperSize="9" orientation="portrait"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579FF-9397-4450-AA1D-069DF30DD85E}">
  <sheetPr>
    <tabColor theme="8" tint="0.39997558519241921"/>
  </sheetPr>
  <dimension ref="A5:E28"/>
  <sheetViews>
    <sheetView workbookViewId="0">
      <selection activeCell="X62" sqref="X62"/>
    </sheetView>
  </sheetViews>
  <sheetFormatPr baseColWidth="10" defaultRowHeight="12.75" x14ac:dyDescent="0.2"/>
  <cols>
    <col min="1" max="1" width="38" customWidth="1"/>
    <col min="2" max="2" width="36.7109375" customWidth="1"/>
    <col min="3" max="5" width="20.7109375" style="111" customWidth="1"/>
  </cols>
  <sheetData>
    <row r="5" spans="1:5" x14ac:dyDescent="0.2">
      <c r="B5" s="121" t="s">
        <v>0</v>
      </c>
      <c r="C5" s="301" t="s">
        <v>202</v>
      </c>
      <c r="D5" s="301" t="s">
        <v>393</v>
      </c>
      <c r="E5" s="301" t="s">
        <v>394</v>
      </c>
    </row>
    <row r="6" spans="1:5" x14ac:dyDescent="0.2">
      <c r="B6" s="72" t="s">
        <v>244</v>
      </c>
      <c r="C6" s="111" t="s">
        <v>242</v>
      </c>
      <c r="D6" s="81" t="s">
        <v>28</v>
      </c>
      <c r="E6" s="81">
        <v>1</v>
      </c>
    </row>
    <row r="7" spans="1:5" x14ac:dyDescent="0.2">
      <c r="B7" s="72" t="s">
        <v>415</v>
      </c>
      <c r="C7" s="111" t="s">
        <v>243</v>
      </c>
      <c r="D7" s="81" t="s">
        <v>28</v>
      </c>
      <c r="E7" s="81">
        <v>2</v>
      </c>
    </row>
    <row r="8" spans="1:5" x14ac:dyDescent="0.2">
      <c r="B8" s="72"/>
      <c r="D8" s="81"/>
      <c r="E8" s="81"/>
    </row>
    <row r="9" spans="1:5" x14ac:dyDescent="0.2">
      <c r="B9" s="92" t="s">
        <v>416</v>
      </c>
      <c r="D9" s="81"/>
      <c r="E9" s="81"/>
    </row>
    <row r="10" spans="1:5" x14ac:dyDescent="0.2">
      <c r="A10" t="str">
        <f>"   "&amp;B10</f>
        <v xml:space="preserve">   Architecte</v>
      </c>
      <c r="B10" s="246" t="s">
        <v>97</v>
      </c>
      <c r="C10" s="81">
        <v>1</v>
      </c>
      <c r="D10" s="81" t="s">
        <v>27</v>
      </c>
      <c r="E10" s="81">
        <v>3</v>
      </c>
    </row>
    <row r="11" spans="1:5" x14ac:dyDescent="0.2">
      <c r="A11" t="str">
        <f t="shared" ref="A11:A28" si="0">"   "&amp;B11</f>
        <v xml:space="preserve">   Avocat</v>
      </c>
      <c r="B11" s="246" t="s">
        <v>3</v>
      </c>
      <c r="C11" s="81">
        <v>2</v>
      </c>
      <c r="D11" s="300" t="s">
        <v>12</v>
      </c>
      <c r="E11" s="300">
        <v>3</v>
      </c>
    </row>
    <row r="12" spans="1:5" x14ac:dyDescent="0.2">
      <c r="A12" t="str">
        <f t="shared" si="0"/>
        <v xml:space="preserve">   Biologiste/Pharmaciens</v>
      </c>
      <c r="B12" s="72" t="s">
        <v>98</v>
      </c>
      <c r="C12" s="81">
        <v>11</v>
      </c>
      <c r="D12" s="81" t="s">
        <v>34</v>
      </c>
      <c r="E12" s="81">
        <v>3</v>
      </c>
    </row>
    <row r="13" spans="1:5" x14ac:dyDescent="0.2">
      <c r="A13" t="str">
        <f t="shared" si="0"/>
        <v xml:space="preserve">   Chirurgien dentiste</v>
      </c>
      <c r="B13" s="72" t="s">
        <v>99</v>
      </c>
      <c r="C13" s="81">
        <v>12</v>
      </c>
      <c r="D13" s="81" t="s">
        <v>35</v>
      </c>
      <c r="E13" s="81">
        <v>3</v>
      </c>
    </row>
    <row r="14" spans="1:5" x14ac:dyDescent="0.2">
      <c r="A14" t="str">
        <f t="shared" si="0"/>
        <v xml:space="preserve">   Conseil en propriété industrielle</v>
      </c>
      <c r="B14" s="72" t="s">
        <v>100</v>
      </c>
      <c r="C14" s="81">
        <v>1</v>
      </c>
      <c r="D14" s="81" t="s">
        <v>27</v>
      </c>
      <c r="E14" s="81">
        <v>3</v>
      </c>
    </row>
    <row r="15" spans="1:5" x14ac:dyDescent="0.2">
      <c r="A15" t="str">
        <f t="shared" si="0"/>
        <v xml:space="preserve">   Expert agricole</v>
      </c>
      <c r="B15" s="72" t="s">
        <v>101</v>
      </c>
      <c r="C15" s="81">
        <v>1</v>
      </c>
      <c r="D15" s="81" t="s">
        <v>27</v>
      </c>
      <c r="E15" s="81">
        <v>3</v>
      </c>
    </row>
    <row r="16" spans="1:5" x14ac:dyDescent="0.2">
      <c r="A16" t="str">
        <f t="shared" si="0"/>
        <v xml:space="preserve">   Expert comptable- commissaire aux comptes</v>
      </c>
      <c r="B16" s="72" t="s">
        <v>1</v>
      </c>
      <c r="C16" s="81">
        <v>3</v>
      </c>
      <c r="D16" s="81" t="s">
        <v>24</v>
      </c>
      <c r="E16" s="81">
        <v>3</v>
      </c>
    </row>
    <row r="17" spans="1:5" x14ac:dyDescent="0.2">
      <c r="A17" t="str">
        <f t="shared" si="0"/>
        <v xml:space="preserve">   Géomètre-expert</v>
      </c>
      <c r="B17" s="72" t="s">
        <v>102</v>
      </c>
      <c r="C17" s="81">
        <v>1</v>
      </c>
      <c r="D17" s="81" t="s">
        <v>27</v>
      </c>
      <c r="E17" s="81">
        <v>3</v>
      </c>
    </row>
    <row r="18" spans="1:5" x14ac:dyDescent="0.2">
      <c r="A18" t="str">
        <f t="shared" si="0"/>
        <v xml:space="preserve">   Infirmier</v>
      </c>
      <c r="B18" s="72" t="s">
        <v>103</v>
      </c>
      <c r="C18" s="81">
        <v>14</v>
      </c>
      <c r="D18" s="81" t="s">
        <v>21</v>
      </c>
      <c r="E18" s="81">
        <v>3</v>
      </c>
    </row>
    <row r="19" spans="1:5" x14ac:dyDescent="0.2">
      <c r="A19" t="str">
        <f t="shared" si="0"/>
        <v xml:space="preserve">   Kinésitherapeute</v>
      </c>
      <c r="B19" s="72" t="s">
        <v>104</v>
      </c>
      <c r="C19" s="81">
        <v>14</v>
      </c>
      <c r="D19" s="81" t="s">
        <v>21</v>
      </c>
      <c r="E19" s="81">
        <v>3</v>
      </c>
    </row>
    <row r="20" spans="1:5" x14ac:dyDescent="0.2">
      <c r="A20" t="str">
        <f t="shared" si="0"/>
        <v xml:space="preserve">   Médecin secteur 1</v>
      </c>
      <c r="B20" s="72" t="s">
        <v>417</v>
      </c>
      <c r="C20" s="81">
        <v>10</v>
      </c>
      <c r="D20" s="81" t="s">
        <v>25</v>
      </c>
      <c r="E20" s="81">
        <v>3</v>
      </c>
    </row>
    <row r="21" spans="1:5" x14ac:dyDescent="0.2">
      <c r="A21" t="str">
        <f t="shared" si="0"/>
        <v xml:space="preserve">   Médecin spécialiste secteur 2</v>
      </c>
      <c r="B21" s="72" t="s">
        <v>106</v>
      </c>
      <c r="C21" s="81">
        <v>16</v>
      </c>
      <c r="D21" s="81" t="s">
        <v>25</v>
      </c>
      <c r="E21" s="81">
        <v>3</v>
      </c>
    </row>
    <row r="22" spans="1:5" x14ac:dyDescent="0.2">
      <c r="A22" t="str">
        <f t="shared" si="0"/>
        <v xml:space="preserve">   Notaire</v>
      </c>
      <c r="B22" s="72" t="s">
        <v>4</v>
      </c>
      <c r="C22" s="81">
        <v>4</v>
      </c>
      <c r="D22" s="81" t="s">
        <v>30</v>
      </c>
      <c r="E22" s="81">
        <v>3</v>
      </c>
    </row>
    <row r="23" spans="1:5" x14ac:dyDescent="0.2">
      <c r="A23" t="str">
        <f t="shared" si="0"/>
        <v xml:space="preserve">   Officier ministeriel</v>
      </c>
      <c r="B23" s="72" t="s">
        <v>105</v>
      </c>
      <c r="C23" s="81">
        <v>5</v>
      </c>
      <c r="D23" s="81" t="s">
        <v>31</v>
      </c>
      <c r="E23" s="81">
        <v>3</v>
      </c>
    </row>
    <row r="24" spans="1:5" x14ac:dyDescent="0.2">
      <c r="A24" t="str">
        <f t="shared" si="0"/>
        <v xml:space="preserve">   Orthophoniste</v>
      </c>
      <c r="B24" s="72" t="s">
        <v>107</v>
      </c>
      <c r="C24" s="81">
        <v>14</v>
      </c>
      <c r="D24" s="81" t="s">
        <v>21</v>
      </c>
      <c r="E24" s="81">
        <v>3</v>
      </c>
    </row>
    <row r="25" spans="1:5" x14ac:dyDescent="0.2">
      <c r="A25" t="str">
        <f t="shared" si="0"/>
        <v xml:space="preserve">   Orthoptiste</v>
      </c>
      <c r="B25" s="72" t="s">
        <v>109</v>
      </c>
      <c r="C25" s="81">
        <v>14</v>
      </c>
      <c r="D25" s="81" t="s">
        <v>21</v>
      </c>
      <c r="E25" s="81">
        <v>3</v>
      </c>
    </row>
    <row r="26" spans="1:5" x14ac:dyDescent="0.2">
      <c r="A26" t="str">
        <f t="shared" si="0"/>
        <v xml:space="preserve">   Pédicure  Podologue</v>
      </c>
      <c r="B26" s="72" t="s">
        <v>110</v>
      </c>
      <c r="C26" s="81">
        <v>14</v>
      </c>
      <c r="D26" s="81" t="s">
        <v>21</v>
      </c>
      <c r="E26" s="81">
        <v>3</v>
      </c>
    </row>
    <row r="27" spans="1:5" x14ac:dyDescent="0.2">
      <c r="A27" t="str">
        <f t="shared" si="0"/>
        <v xml:space="preserve">   Sage femme</v>
      </c>
      <c r="B27" s="72" t="s">
        <v>111</v>
      </c>
      <c r="C27" s="81">
        <v>15</v>
      </c>
      <c r="D27" s="81" t="s">
        <v>35</v>
      </c>
      <c r="E27" s="81">
        <v>3</v>
      </c>
    </row>
    <row r="28" spans="1:5" x14ac:dyDescent="0.2">
      <c r="A28" t="str">
        <f t="shared" si="0"/>
        <v xml:space="preserve">   Vétérinaire</v>
      </c>
      <c r="B28" s="72" t="s">
        <v>108</v>
      </c>
      <c r="C28" s="81">
        <v>13</v>
      </c>
      <c r="D28" s="81" t="s">
        <v>36</v>
      </c>
      <c r="E28" s="81">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0355-D836-4B27-8CAC-06088A8E69C0}">
  <sheetPr>
    <tabColor rgb="FFFFFF00"/>
  </sheetPr>
  <dimension ref="A1:D58"/>
  <sheetViews>
    <sheetView workbookViewId="0"/>
  </sheetViews>
  <sheetFormatPr baseColWidth="10" defaultColWidth="11.42578125" defaultRowHeight="12.75" x14ac:dyDescent="0.2"/>
  <cols>
    <col min="1" max="1" width="11.42578125" style="6"/>
  </cols>
  <sheetData>
    <row r="1" spans="1:4" s="4" customFormat="1" x14ac:dyDescent="0.2">
      <c r="A1" s="5">
        <v>2022</v>
      </c>
    </row>
    <row r="3" spans="1:4" x14ac:dyDescent="0.2">
      <c r="A3" s="7">
        <v>44689</v>
      </c>
      <c r="B3" t="s">
        <v>132</v>
      </c>
      <c r="C3" s="1" t="s">
        <v>23</v>
      </c>
      <c r="D3" s="1" t="s">
        <v>131</v>
      </c>
    </row>
    <row r="4" spans="1:4" x14ac:dyDescent="0.2">
      <c r="A4" s="8"/>
      <c r="B4" t="s">
        <v>133</v>
      </c>
      <c r="D4" t="s">
        <v>134</v>
      </c>
    </row>
    <row r="5" spans="1:4" x14ac:dyDescent="0.2">
      <c r="A5" s="8"/>
    </row>
    <row r="6" spans="1:4" x14ac:dyDescent="0.2">
      <c r="A6" s="8"/>
    </row>
    <row r="7" spans="1:4" x14ac:dyDescent="0.2">
      <c r="A7" s="8"/>
    </row>
    <row r="8" spans="1:4" x14ac:dyDescent="0.2">
      <c r="A8" s="8"/>
    </row>
    <row r="9" spans="1:4" x14ac:dyDescent="0.2">
      <c r="A9" s="8"/>
    </row>
    <row r="10" spans="1:4" x14ac:dyDescent="0.2">
      <c r="A10" s="8"/>
    </row>
    <row r="11" spans="1:4" x14ac:dyDescent="0.2">
      <c r="A11" s="8"/>
    </row>
    <row r="12" spans="1:4" x14ac:dyDescent="0.2">
      <c r="A12" s="8"/>
    </row>
    <row r="13" spans="1:4" x14ac:dyDescent="0.2">
      <c r="A13" s="8"/>
    </row>
    <row r="14" spans="1:4" x14ac:dyDescent="0.2">
      <c r="A14" s="8"/>
    </row>
    <row r="15" spans="1:4" x14ac:dyDescent="0.2">
      <c r="A15" s="8"/>
    </row>
    <row r="16" spans="1:4" x14ac:dyDescent="0.2">
      <c r="A16" s="8"/>
      <c r="B16" s="1" t="s">
        <v>23</v>
      </c>
    </row>
    <row r="17" spans="1:3" x14ac:dyDescent="0.2">
      <c r="A17" s="8"/>
      <c r="C17" s="1" t="s">
        <v>123</v>
      </c>
    </row>
    <row r="18" spans="1:3" x14ac:dyDescent="0.2">
      <c r="A18" s="8"/>
      <c r="C18" s="1" t="s">
        <v>126</v>
      </c>
    </row>
    <row r="19" spans="1:3" x14ac:dyDescent="0.2">
      <c r="A19" s="8"/>
    </row>
    <row r="20" spans="1:3" x14ac:dyDescent="0.2">
      <c r="A20" s="8"/>
      <c r="B20" s="1" t="s">
        <v>124</v>
      </c>
    </row>
    <row r="21" spans="1:3" x14ac:dyDescent="0.2">
      <c r="A21" s="8"/>
      <c r="C21" s="1" t="s">
        <v>125</v>
      </c>
    </row>
    <row r="22" spans="1:3" x14ac:dyDescent="0.2">
      <c r="A22" s="8"/>
    </row>
    <row r="23" spans="1:3" x14ac:dyDescent="0.2">
      <c r="A23" s="8"/>
      <c r="B23" s="1" t="s">
        <v>127</v>
      </c>
    </row>
    <row r="24" spans="1:3" x14ac:dyDescent="0.2">
      <c r="A24" s="8"/>
      <c r="C24" s="1" t="s">
        <v>128</v>
      </c>
    </row>
    <row r="25" spans="1:3" x14ac:dyDescent="0.2">
      <c r="A25" s="8"/>
      <c r="C25" s="2" t="s">
        <v>129</v>
      </c>
    </row>
    <row r="26" spans="1:3" x14ac:dyDescent="0.2">
      <c r="A26" s="8"/>
      <c r="C26" s="2" t="s">
        <v>130</v>
      </c>
    </row>
    <row r="34" spans="1:3" s="4" customFormat="1" x14ac:dyDescent="0.2">
      <c r="A34" s="5">
        <v>2021</v>
      </c>
    </row>
    <row r="37" spans="1:3" x14ac:dyDescent="0.2">
      <c r="B37" s="1" t="s">
        <v>3</v>
      </c>
      <c r="C37" s="1" t="s">
        <v>112</v>
      </c>
    </row>
    <row r="42" spans="1:3" x14ac:dyDescent="0.2">
      <c r="B42" t="s">
        <v>113</v>
      </c>
      <c r="C42" t="s">
        <v>114</v>
      </c>
    </row>
    <row r="43" spans="1:3" x14ac:dyDescent="0.2">
      <c r="C43" t="s">
        <v>115</v>
      </c>
    </row>
    <row r="46" spans="1:3" x14ac:dyDescent="0.2">
      <c r="B46" t="s">
        <v>116</v>
      </c>
      <c r="C46" t="s">
        <v>117</v>
      </c>
    </row>
    <row r="47" spans="1:3" x14ac:dyDescent="0.2">
      <c r="C47" t="s">
        <v>118</v>
      </c>
    </row>
    <row r="50" spans="1:3" x14ac:dyDescent="0.2">
      <c r="C50" t="s">
        <v>119</v>
      </c>
    </row>
    <row r="51" spans="1:3" x14ac:dyDescent="0.2">
      <c r="C51" t="s">
        <v>120</v>
      </c>
    </row>
    <row r="52" spans="1:3" x14ac:dyDescent="0.2">
      <c r="C52" t="s">
        <v>121</v>
      </c>
    </row>
    <row r="55" spans="1:3" x14ac:dyDescent="0.2">
      <c r="C55" t="s">
        <v>122</v>
      </c>
    </row>
    <row r="58" spans="1:3" s="4" customFormat="1" x14ac:dyDescent="0.2">
      <c r="A58"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C7463744A9A504BBB09A0493AB417F7" ma:contentTypeVersion="13" ma:contentTypeDescription="Crée un document." ma:contentTypeScope="" ma:versionID="23b0eef89516e7e73f7325f02d7b46d3">
  <xsd:schema xmlns:xsd="http://www.w3.org/2001/XMLSchema" xmlns:xs="http://www.w3.org/2001/XMLSchema" xmlns:p="http://schemas.microsoft.com/office/2006/metadata/properties" xmlns:ns3="51e622f2-a939-4675-9a67-fab51b3b9c69" xmlns:ns4="21367894-f0fa-4203-bb62-f793eeb9614c" targetNamespace="http://schemas.microsoft.com/office/2006/metadata/properties" ma:root="true" ma:fieldsID="75b40a5975f6c05b3a87888bd8c81193" ns3:_="" ns4:_="">
    <xsd:import namespace="51e622f2-a939-4675-9a67-fab51b3b9c69"/>
    <xsd:import namespace="21367894-f0fa-4203-bb62-f793eeb9614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Location" minOccurs="0"/>
                <xsd:element ref="ns4:MediaServiceOCR"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e622f2-a939-4675-9a67-fab51b3b9c69"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367894-f0fa-4203-bb62-f793eeb9614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A3CD60-1A09-4E13-903E-BCCEB8D95C8A}">
  <ds:schemaRefs>
    <ds:schemaRef ds:uri="21367894-f0fa-4203-bb62-f793eeb9614c"/>
    <ds:schemaRef ds:uri="http://schemas.microsoft.com/office/2006/documentManagement/types"/>
    <ds:schemaRef ds:uri="http://schemas.microsoft.com/office/2006/metadata/properties"/>
    <ds:schemaRef ds:uri="51e622f2-a939-4675-9a67-fab51b3b9c69"/>
    <ds:schemaRef ds:uri="http://purl.org/dc/elements/1.1/"/>
    <ds:schemaRef ds:uri="http://schemas.openxmlformats.org/package/2006/metadata/core-properties"/>
    <ds:schemaRef ds:uri="http://purl.org/dc/dcmitype/"/>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075D8499-7532-4BD5-BF74-0ED8A68CC2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e622f2-a939-4675-9a67-fab51b3b9c69"/>
    <ds:schemaRef ds:uri="21367894-f0fa-4203-bb62-f793eeb961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C3EB24-DACB-408B-BBBB-BF1B072F90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16</vt:i4>
      </vt:variant>
      <vt:variant>
        <vt:lpstr>Plages nommées</vt:lpstr>
      </vt:variant>
      <vt:variant>
        <vt:i4>73</vt:i4>
      </vt:variant>
    </vt:vector>
  </HeadingPairs>
  <TitlesOfParts>
    <vt:vector size="89" baseType="lpstr">
      <vt:lpstr>Avertissement</vt:lpstr>
      <vt:lpstr>simulateur</vt:lpstr>
      <vt:lpstr>             </vt:lpstr>
      <vt:lpstr>EI_IR_cotisations</vt:lpstr>
      <vt:lpstr>EI_IR_retraite_ID</vt:lpstr>
      <vt:lpstr>EI_IR_calcul_IR</vt:lpstr>
      <vt:lpstr>EI_IR_param_IR</vt:lpstr>
      <vt:lpstr>            </vt:lpstr>
      <vt:lpstr>EI_IS_cotisations</vt:lpstr>
      <vt:lpstr>EI_IS_retraite_ID</vt:lpstr>
      <vt:lpstr>EI_IS_calcul_IR</vt:lpstr>
      <vt:lpstr>EI_IS_param_IR</vt:lpstr>
      <vt:lpstr> </vt:lpstr>
      <vt:lpstr>PARAM IR SOURCE</vt:lpstr>
      <vt:lpstr>Profession</vt:lpstr>
      <vt:lpstr>A VOIR</vt:lpstr>
      <vt:lpstr>autres_revenus</vt:lpstr>
      <vt:lpstr>benef_avant_cotis_et_rem</vt:lpstr>
      <vt:lpstr>benef_avant_rem</vt:lpstr>
      <vt:lpstr>cotis_facult_is</vt:lpstr>
      <vt:lpstr>cotisations_facultatives</vt:lpstr>
      <vt:lpstr>ID_1</vt:lpstr>
      <vt:lpstr>ID_10</vt:lpstr>
      <vt:lpstr>ID_11</vt:lpstr>
      <vt:lpstr>ID_12</vt:lpstr>
      <vt:lpstr>ID_13</vt:lpstr>
      <vt:lpstr>ID_14</vt:lpstr>
      <vt:lpstr>ID_15</vt:lpstr>
      <vt:lpstr>ID_16</vt:lpstr>
      <vt:lpstr>ID_2</vt:lpstr>
      <vt:lpstr>ID_3</vt:lpstr>
      <vt:lpstr>ID_4</vt:lpstr>
      <vt:lpstr>ID_5</vt:lpstr>
      <vt:lpstr>ID_AC</vt:lpstr>
      <vt:lpstr>ID_PLNR</vt:lpstr>
      <vt:lpstr>nom_cabinet</vt:lpstr>
      <vt:lpstr>nom_ec</vt:lpstr>
      <vt:lpstr>nombre_parts</vt:lpstr>
      <vt:lpstr>Profession</vt:lpstr>
      <vt:lpstr>RB_1_2</vt:lpstr>
      <vt:lpstr>RB_2_2</vt:lpstr>
      <vt:lpstr>RC_1_11</vt:lpstr>
      <vt:lpstr>RC_1_12</vt:lpstr>
      <vt:lpstr>RC_1_14</vt:lpstr>
      <vt:lpstr>RC_1_15</vt:lpstr>
      <vt:lpstr>RC_1_4</vt:lpstr>
      <vt:lpstr>RC_2_1</vt:lpstr>
      <vt:lpstr>RC_2_10</vt:lpstr>
      <vt:lpstr>RC_2_11</vt:lpstr>
      <vt:lpstr>RC_2_12</vt:lpstr>
      <vt:lpstr>RC_2_13</vt:lpstr>
      <vt:lpstr>RC_2_14</vt:lpstr>
      <vt:lpstr>RC_2_15</vt:lpstr>
      <vt:lpstr>RC_2_16</vt:lpstr>
      <vt:lpstr>RC_2_2</vt:lpstr>
      <vt:lpstr>RC_2_3</vt:lpstr>
      <vt:lpstr>RC_2_4</vt:lpstr>
      <vt:lpstr>RC_2_5</vt:lpstr>
      <vt:lpstr>RC_2_AC</vt:lpstr>
      <vt:lpstr>RC_2_PLNR</vt:lpstr>
      <vt:lpstr>RC_3_12</vt:lpstr>
      <vt:lpstr>RC_3_15</vt:lpstr>
      <vt:lpstr>RC_4_10</vt:lpstr>
      <vt:lpstr>RC_4_11</vt:lpstr>
      <vt:lpstr>RC_4_14</vt:lpstr>
      <vt:lpstr>RC_4_15</vt:lpstr>
      <vt:lpstr>RC_4_16</vt:lpstr>
      <vt:lpstr>RC_5_10</vt:lpstr>
      <vt:lpstr>RC_5_11</vt:lpstr>
      <vt:lpstr>RC_5_12</vt:lpstr>
      <vt:lpstr>RC_5_14</vt:lpstr>
      <vt:lpstr>RC_5_15</vt:lpstr>
      <vt:lpstr>RC_5_16</vt:lpstr>
      <vt:lpstr>RC_6_10</vt:lpstr>
      <vt:lpstr>RC_6_12</vt:lpstr>
      <vt:lpstr>RC_6_15</vt:lpstr>
      <vt:lpstr>RC_6_16</vt:lpstr>
      <vt:lpstr>remuneration_versee_dirigeant</vt:lpstr>
      <vt:lpstr>salaire_conjoint</vt:lpstr>
      <vt:lpstr>URPS_10</vt:lpstr>
      <vt:lpstr>URPS_11</vt:lpstr>
      <vt:lpstr>URPS_14</vt:lpstr>
      <vt:lpstr>URPS_16</vt:lpstr>
      <vt:lpstr>EI_IR_calcul_IR!Zone_d_impression</vt:lpstr>
      <vt:lpstr>EI_IR_cotisations!Zone_d_impression</vt:lpstr>
      <vt:lpstr>EI_IS_calcul_IR!Zone_d_impression</vt:lpstr>
      <vt:lpstr>EI_IS_cotisations!Zone_d_impression</vt:lpstr>
      <vt:lpstr>simulateur!Zone_d_impression</vt:lpstr>
      <vt:lpstr>zone01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PG</dc:creator>
  <cp:keywords/>
  <dc:description/>
  <cp:lastModifiedBy>Fabien Bocci</cp:lastModifiedBy>
  <cp:revision/>
  <cp:lastPrinted>2022-06-29T09:37:50Z</cp:lastPrinted>
  <dcterms:created xsi:type="dcterms:W3CDTF">2002-10-17T16:00:39Z</dcterms:created>
  <dcterms:modified xsi:type="dcterms:W3CDTF">2022-10-13T08:29:21Z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0x010100CC7463744A9A504BBB09A0493AB417F7</vt:lpwstr>
  </property>
</Properties>
</file>